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3"/>
    <sheet state="visible" name="Filtered" sheetId="2" r:id="rId4"/>
    <sheet state="visible" name="For merging to master" sheetId="3" r:id="rId5"/>
    <sheet state="visible" name="pr-type" sheetId="4" r:id="rId6"/>
    <sheet state="visible" name="preprint version" sheetId="5" r:id="rId7"/>
    <sheet state="visible" name="coreviewer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64">
      <text>
        <t xml:space="preserve">Will need to fix urls in these
	-Jessica Polka
why?
	-Tony Ross-Hellauer
I just copied from one..they are in the form nature.com/[ABBREVIATION]/for-referees where [ABBREVIATION] changes from journal to journal
	-Jessica Polka</t>
      </text>
    </comment>
    <comment authorId="0" ref="H309">
      <text>
        <t xml:space="preserve">I revised this row to make OPR options not specified (except open IDs - optional). If you agree, I suggest we can paste these answers for all Nature Research journals (except Nature Comms)
	-Tony Ross-Hellauer
Sounds good - except I just notice these say a link is provided to the preprint version &amp; don't know where to find this info?
	-Jessica Polka
I changed to "unsure" -if we revert, will need to change for other nature journals (except reviews &amp; comms, below)
	-Jessica Polka
Also , just noting a to-do: the URLs should be cleaned up/matched to each individual journal
	-Jessica Polka
Just did this
	-Jessica Polka
ok1
	-Tony Ross-Hellauer
ok!
	-Tony Ross-Hellauer</t>
      </text>
    </comment>
    <comment authorId="0" ref="AE6">
      <text>
        <t xml:space="preserve">I interpreted this as unsure, b/c it says you must ask for permission from editor - who presumably can say no - hence not certain you can ...
	-Tony Ross-Hellauer
+jessica.polka@gmail.com
	-Tony Ross-Hellauer
This sounds good; I have completed subsequent journals with this in mind
	-Jessica Polka</t>
      </text>
    </comment>
    <comment authorId="0" ref="Y356">
      <text>
        <t xml:space="preserve">Actually please see above! I think these are Optional - at request of referee
	-Jessica Polka</t>
      </text>
    </comment>
  </commentList>
</comments>
</file>

<file path=xl/sharedStrings.xml><?xml version="1.0" encoding="utf-8"?>
<sst xmlns="http://schemas.openxmlformats.org/spreadsheetml/2006/main" count="15594" uniqueCount="1835">
  <si>
    <t>reviewer 1</t>
  </si>
  <si>
    <t>review date</t>
  </si>
  <si>
    <t>Group</t>
  </si>
  <si>
    <t>Property</t>
  </si>
  <si>
    <t>reviewer 2</t>
  </si>
  <si>
    <t>Description/Instructions</t>
  </si>
  <si>
    <t>Allowed entries</t>
  </si>
  <si>
    <t>Please enter information about journals you represent to this sheet, with one column per journal. If entries are not inputted in the proper format (see "Allowed entries" column) the cell will be highlighted in red. Please leave fields marked by a blue description blank.
If you have any questions, please contact transpose-publishing@googlegroups.com
All contributions will be released under the CC0 waiver.
Example entry below.</t>
  </si>
  <si>
    <t>Entry</t>
  </si>
  <si>
    <t>reviewer 3</t>
  </si>
  <si>
    <t>review 3 date</t>
  </si>
  <si>
    <t>To discuss</t>
  </si>
  <si>
    <t>issn</t>
  </si>
  <si>
    <t>email</t>
  </si>
  <si>
    <t>title</t>
  </si>
  <si>
    <t>Your email address 
(not shared publicly)</t>
  </si>
  <si>
    <t>Top journals in... [field] (added by JP from https://docs.google.com/spreadsheets/d/1Dluo5DNWU4UrmwIZLzqcToioRdyZ1qc1EofAk4ypiW8/edit#gid=1793295014)</t>
  </si>
  <si>
    <t>[email address]</t>
  </si>
  <si>
    <t>editor@examplejournal.com</t>
  </si>
  <si>
    <t>publisher</t>
  </si>
  <si>
    <t>pr-type</t>
  </si>
  <si>
    <t>transpose-publishing.github.io</t>
  </si>
  <si>
    <t>To discuss (COMMENTS FROM REVIEWER 3)</t>
  </si>
  <si>
    <t>Top journals in</t>
  </si>
  <si>
    <t>pr-policy</t>
  </si>
  <si>
    <t>pr-form-url</t>
  </si>
  <si>
    <t>pr-credit-url</t>
  </si>
  <si>
    <t>pr-database</t>
  </si>
  <si>
    <t>pr-transfer-policy</t>
  </si>
  <si>
    <t>pr-transfer-url</t>
  </si>
  <si>
    <t>opr-reports</t>
  </si>
  <si>
    <t>opr-responses</t>
  </si>
  <si>
    <t>opr-letters</t>
  </si>
  <si>
    <t>opr-versions</t>
  </si>
  <si>
    <t>opr-identities-published</t>
  </si>
  <si>
    <t>opr-indenties-author</t>
  </si>
  <si>
    <t>opr-comments</t>
  </si>
  <si>
    <t>opr-interaction</t>
  </si>
  <si>
    <t>opr-additional</t>
  </si>
  <si>
    <t>coreview-policy</t>
  </si>
  <si>
    <t>coreview-url</t>
  </si>
  <si>
    <t>coreview-email</t>
  </si>
  <si>
    <t>coreview-form</t>
  </si>
  <si>
    <t>coreview-database</t>
  </si>
  <si>
    <t>preprint-url</t>
  </si>
  <si>
    <t>preprint-version</t>
  </si>
  <si>
    <t>preprint-servers</t>
  </si>
  <si>
    <t>preprint-citation</t>
  </si>
  <si>
    <t>preprint-link</t>
  </si>
  <si>
    <t>preprint-media</t>
  </si>
  <si>
    <t>preprint-licensing</t>
  </si>
  <si>
    <t>preprint-scoop</t>
  </si>
  <si>
    <t>preprint-review</t>
  </si>
  <si>
    <t>Free Notes/Observations</t>
  </si>
  <si>
    <t>date</t>
  </si>
  <si>
    <t>Time taken to do the Survey</t>
  </si>
  <si>
    <t>Reviewer 2 changes</t>
  </si>
  <si>
    <t>Entry date</t>
  </si>
  <si>
    <t>Your initials</t>
  </si>
  <si>
    <t>[YYYY-MM-DD]</t>
  </si>
  <si>
    <t>Journal ISSN 
 (optional. Please enter just one ISSN associated with your journal, which can be print or electronic)</t>
  </si>
  <si>
    <t>Journal title 
 (one per column)</t>
  </si>
  <si>
    <t>Publisher</t>
  </si>
  <si>
    <t>Type of peer review
 Single blind - reviewers are anonymous to the author. Double blind - reviewers and authors are
 anonymous to each other.</t>
  </si>
  <si>
    <t>Peer review policy URL</t>
  </si>
  <si>
    <t>Peer review form URL (a copy of the peer review form)</t>
  </si>
  <si>
    <t>Peer review credit policy URL</t>
  </si>
  <si>
    <t>Peer reviewer activity deposited into open databases? Examples include Publons and ORCID</t>
  </si>
  <si>
    <t>Peer review transfer policy</t>
  </si>
  <si>
    <t>Peer review transfer policy URL</t>
  </si>
  <si>
    <t>Peer review reports - published?, attributes (An example of "Conditional" publication: reviews are published unless the reviewer recommends rejection or withdraws.)</t>
  </si>
  <si>
    <t>Author responses to reviews - published?, attributes</t>
  </si>
  <si>
    <t>Editorial decision letters - published?, attributes</t>
  </si>
  <si>
    <t>Previous versions of the manuscript - published?, attributes</t>
  </si>
  <si>
    <t>Reviewer identities published?</t>
  </si>
  <si>
    <t>Reviewer identities revealed to the author (even if not published)?</t>
  </si>
  <si>
    <t>Public commenting during formal peer review?</t>
  </si>
  <si>
    <t>Open interaction (reviewers consult with one another)?</t>
  </si>
  <si>
    <t>Additional OPR information
 Add any notes here about the nature of "conditional" publishing, etc</t>
  </si>
  <si>
    <t>Co-reviewer policy Co-reviewers are people whom a peer reviewer invites to help them write a peer review. Often these are junior scholars in the same lab/group as the peer reviewer.</t>
  </si>
  <si>
    <t>Co-reviewer policy URL</t>
  </si>
  <si>
    <t>Co-reviewers can contribute?</t>
  </si>
  <si>
    <t>Dedicated place in the peer review form to identify co-reviewers?</t>
  </si>
  <si>
    <t>Peer reviewer activity for co-reviewers deposited into open databases?</t>
  </si>
  <si>
    <t>Preprint policy URL(s)</t>
  </si>
  <si>
    <t>Version of the paper that can be posted to a preprint server</t>
  </si>
  <si>
    <t>Acceptable servers or characteristics of preprint servers</t>
  </si>
  <si>
    <t>Preprints allowed in citation list? If citations are only permitted to preprints that appear in certain servers, please select and describe in "Other."</t>
  </si>
  <si>
    <t>Link provided to preprint version of a paper?</t>
  </si>
  <si>
    <t>Preprint media coverage policy What type of coverage about preprints is permitted? (eg blog posts, social media, news outlets, etc). Paste the policy here.</t>
  </si>
  <si>
    <t>Preprint licensing policy What licenses (CC BY, etc) are permitted for preprints?</t>
  </si>
  <si>
    <t>Scoop protection policy "Scoop protection" refers to policies about whether submitted preprint will be rejected if a competing work comes out in another journal after the date of preprinting.</t>
  </si>
  <si>
    <t>Community review policy for preprints</t>
  </si>
  <si>
    <t>[Initials of first, last name]</t>
  </si>
  <si>
    <t>Global</t>
  </si>
  <si>
    <t>Journal ISSN 
(optional. Please enter just one ISSN associated with your journal, which can be print or electronic)</t>
  </si>
  <si>
    <t>0000-0000</t>
  </si>
  <si>
    <t>Journal title 
(one per column)</t>
  </si>
  <si>
    <t>[string]</t>
  </si>
  <si>
    <t>Example Journal</t>
  </si>
  <si>
    <t>Single blind, Double blind, Not blinded, unsure, other</t>
  </si>
  <si>
    <t>ACS Applied Materials &amp; Interfaces</t>
  </si>
  <si>
    <t>Accounts of Chemical Research</t>
  </si>
  <si>
    <t>ACS Catalysis</t>
  </si>
  <si>
    <t>[link]</t>
  </si>
  <si>
    <t>Academy of Management Journal</t>
  </si>
  <si>
    <t>ACS Nano</t>
  </si>
  <si>
    <t>Yes, No, Unsure</t>
  </si>
  <si>
    <t>Advanced Energy Materials</t>
  </si>
  <si>
    <t>Advanced Functional Materials</t>
  </si>
  <si>
    <t>Advanced Materials</t>
  </si>
  <si>
    <t>Mandatory, Conditional, Optional, No, Not specified
 Attributes: Have date, Have DOI, Free to read (not paywalled), Under a Creative Commons License, Deposited into PubMed Central</t>
  </si>
  <si>
    <t>American Economic Review</t>
  </si>
  <si>
    <t>American Journal of Political Science</t>
  </si>
  <si>
    <t>American Journal of Public Health</t>
  </si>
  <si>
    <t>American Political Science Review</t>
  </si>
  <si>
    <t>American Sociological Review</t>
  </si>
  <si>
    <t>Angewandte Chemie International Edition</t>
  </si>
  <si>
    <t>Annals of Internal Medicine</t>
  </si>
  <si>
    <t>Annals of Oncology</t>
  </si>
  <si>
    <t>Annals of the Rheumatic Diseases</t>
  </si>
  <si>
    <t>Annals of Tourism Research</t>
  </si>
  <si>
    <t>Applied Energy</t>
  </si>
  <si>
    <t>Applied Linguistics</t>
  </si>
  <si>
    <t>Applied Physics Letters</t>
  </si>
  <si>
    <t>Astronomy &amp; Astrophysics</t>
  </si>
  <si>
    <t>Biomaterials</t>
  </si>
  <si>
    <t>Blood</t>
  </si>
  <si>
    <t>BMJ</t>
  </si>
  <si>
    <t>Cancer Cell</t>
  </si>
  <si>
    <t>Cancer Research</t>
  </si>
  <si>
    <t>Cell</t>
  </si>
  <si>
    <t>Cell Metabolism</t>
  </si>
  <si>
    <t>Cell Stem Cell</t>
  </si>
  <si>
    <t>Chemical communications (Cambridge, England)</t>
  </si>
  <si>
    <t>Chemical Reviews</t>
  </si>
  <si>
    <t>Chemical Society reviews</t>
  </si>
  <si>
    <t>Chemistry of Materials</t>
  </si>
  <si>
    <t>Circulation</t>
  </si>
  <si>
    <t>Circulation Research</t>
  </si>
  <si>
    <t>Clinical Cancer Research</t>
  </si>
  <si>
    <t>Computers &amp; Education</t>
  </si>
  <si>
    <t>Diabetes Care</t>
  </si>
  <si>
    <t>Digital Journalism</t>
  </si>
  <si>
    <t>Econometrica</t>
  </si>
  <si>
    <t>Energy and Environmental Science</t>
  </si>
  <si>
    <t>Mandatory, Conditional, Optional, No, Not specified</t>
  </si>
  <si>
    <t>Environmental Science &amp; Technology</t>
  </si>
  <si>
    <t>European Heart Journal</t>
  </si>
  <si>
    <t>European Urology</t>
  </si>
  <si>
    <t>Gastroenterology</t>
  </si>
  <si>
    <t>Gender &amp; Society</t>
  </si>
  <si>
    <t>Geophysical Research Letters</t>
  </si>
  <si>
    <t>Global Environmental Change</t>
  </si>
  <si>
    <t>Government Information Quarterly</t>
  </si>
  <si>
    <t>Gut</t>
  </si>
  <si>
    <t>Health Affairs</t>
  </si>
  <si>
    <t>Hepatology</t>
  </si>
  <si>
    <t>IEEE Communications Magazine</t>
  </si>
  <si>
    <t>IEEE Communications Surveys &amp; Tutorials</t>
  </si>
  <si>
    <t>IEEE Conference on Computer Vision and Pattern Recognition, CVPR</t>
  </si>
  <si>
    <t>IEEE International Conference on Computer Vision</t>
  </si>
  <si>
    <t>IEEE Transactions on Automatic Control</t>
  </si>
  <si>
    <t>IEEE Transactions on Industrial Electronics</t>
  </si>
  <si>
    <t>IEEE Transactions on Pattern Analysis and Machine Intelligence</t>
  </si>
  <si>
    <t>IEEE Transactions on Power Electronics</t>
  </si>
  <si>
    <t>IEEE Transactions on Signal Processing</t>
  </si>
  <si>
    <t>Immunity</t>
  </si>
  <si>
    <t>International Journal of Communication</t>
  </si>
  <si>
    <t>International Journal of Production Economics</t>
  </si>
  <si>
    <t>Journal of the American Medical Association</t>
  </si>
  <si>
    <t>Journal of Allergy and Clinical Immunology</t>
  </si>
  <si>
    <t>Journal of Banking &amp; Finance</t>
  </si>
  <si>
    <t>Journal of Business Ethics</t>
  </si>
  <si>
    <t>Journal of Business Research</t>
  </si>
  <si>
    <t>Journal of Cleaner Production</t>
  </si>
  <si>
    <t>Journal of Clinical Oncology</t>
  </si>
  <si>
    <t>Journal of Communication</t>
  </si>
  <si>
    <t>Journal of Cosmology and Astroparticle Physics</t>
  </si>
  <si>
    <t>[link or links, separated by commas]</t>
  </si>
  <si>
    <t>Journal of Economic Perspectives</t>
  </si>
  <si>
    <t>Journal of Educational Psychology</t>
  </si>
  <si>
    <t>Journal of Financial Economics</t>
  </si>
  <si>
    <t>Journal of Geophysical Research</t>
  </si>
  <si>
    <t>Journal of Hepatology</t>
  </si>
  <si>
    <t>Journal of High Energy Physics</t>
  </si>
  <si>
    <t>Journal of Management</t>
  </si>
  <si>
    <t>Journal of Materials Chemistry. A</t>
  </si>
  <si>
    <t>Journal of Pragmatics</t>
  </si>
  <si>
    <t>No preprint policy
 None (preprints not allowed)
 First submission only (before peer review)
 After peer review (but not final, copyedited version)
 Any
 Unsure (preprints are allowed, but it's not clear what version)
 Other</t>
  </si>
  <si>
    <t>Journal of the American Chemical Society</t>
  </si>
  <si>
    <t>Journal of the American College of Cardiology</t>
  </si>
  <si>
    <t>Yes, in the reference list
 Yes, but only in the text (not the reference list)
 No
 Not specified
 Unsure
 Other</t>
  </si>
  <si>
    <t>Journal of Youth and Adolescence</t>
  </si>
  <si>
    <t>Journalism</t>
  </si>
  <si>
    <t>Journalism Practice</t>
  </si>
  <si>
    <t>Journalism Studies</t>
  </si>
  <si>
    <t>Land Use Policy</t>
  </si>
  <si>
    <t>Language Learning</t>
  </si>
  <si>
    <t>Lingua</t>
  </si>
  <si>
    <t>Management Information Systems Quarterly</t>
  </si>
  <si>
    <t>Management Science</t>
  </si>
  <si>
    <t>Media, Culture &amp; Society</t>
  </si>
  <si>
    <t>Molecular Cell</t>
  </si>
  <si>
    <t>Monthly Notices of the Royal Astronomical Society</t>
  </si>
  <si>
    <t>Nano Letters</t>
  </si>
  <si>
    <t>Nanoscale</t>
  </si>
  <si>
    <t>Nature</t>
  </si>
  <si>
    <t>Nature Biotechnology</t>
  </si>
  <si>
    <t>Nature Cell Biology</t>
  </si>
  <si>
    <t>Nature Chemistry</t>
  </si>
  <si>
    <t>Nature Climate Change</t>
  </si>
  <si>
    <t>Nature Communications</t>
  </si>
  <si>
    <t>Nature Genetics</t>
  </si>
  <si>
    <t>Nature Immunology</t>
  </si>
  <si>
    <t>Nature Materials</t>
  </si>
  <si>
    <t>Nature Medicine</t>
  </si>
  <si>
    <t>Nature Methods</t>
  </si>
  <si>
    <t>Nature Nanotechnology</t>
  </si>
  <si>
    <t>Nature Neuroscience</t>
  </si>
  <si>
    <t>Nature Photonics</t>
  </si>
  <si>
    <t>Nature Physics</t>
  </si>
  <si>
    <t>Nature Reviews Cancer</t>
  </si>
  <si>
    <t>Nature Reviews Genetics</t>
  </si>
  <si>
    <t>Nature Reviews Immunology</t>
  </si>
  <si>
    <t>Nature Reviews Neuroscience</t>
  </si>
  <si>
    <t>Nature Reviews. Drug Discovery</t>
  </si>
  <si>
    <t>Nature Reviews. Molecular Cell Biology</t>
  </si>
  <si>
    <t>Neural Information Processing Systems (NIPS)</t>
  </si>
  <si>
    <t>NeuroImage</t>
  </si>
  <si>
    <t>Neuron</t>
  </si>
  <si>
    <t>New Media and Society</t>
  </si>
  <si>
    <t>Noûs</t>
  </si>
  <si>
    <t>Nucleic Acids Research</t>
  </si>
  <si>
    <t>Obstetrical &amp; Gynecological Survey</t>
  </si>
  <si>
    <t>Optics Express</t>
  </si>
  <si>
    <t>Pediatrics</t>
  </si>
  <si>
    <t>Philosophical Studies</t>
  </si>
  <si>
    <t>SR</t>
  </si>
  <si>
    <t>Physical Review B</t>
  </si>
  <si>
    <t>Physical Review D</t>
  </si>
  <si>
    <t>Physical Review Letters</t>
  </si>
  <si>
    <t>Physical Review X</t>
  </si>
  <si>
    <t>Physics Letters B</t>
  </si>
  <si>
    <t>PLoS One</t>
  </si>
  <si>
    <t>Proceedings of the National Academy of Sciences</t>
  </si>
  <si>
    <t>Progress in Human Geography</t>
  </si>
  <si>
    <t>Public Opinion Quarterly</t>
  </si>
  <si>
    <t>Regional Studies</t>
  </si>
  <si>
    <t>Renewable and Sustainable Energy Reviews</t>
  </si>
  <si>
    <t>Research Policy</t>
  </si>
  <si>
    <t>Review of Economics and Statistics</t>
  </si>
  <si>
    <t>Reviews of Modern Physics</t>
  </si>
  <si>
    <t>Science</t>
  </si>
  <si>
    <t>Science Translational Medicine</t>
  </si>
  <si>
    <t>Scientific Reports</t>
  </si>
  <si>
    <t>Social Science &amp; Medicine</t>
  </si>
  <si>
    <t>Strategic Management Journal</t>
  </si>
  <si>
    <t>TRH</t>
  </si>
  <si>
    <t>Synthese</t>
  </si>
  <si>
    <t>System</t>
  </si>
  <si>
    <t>Teaching and Teacher Education</t>
  </si>
  <si>
    <t>TESOL Quarterly</t>
  </si>
  <si>
    <t>The Astrophysical Journal</t>
  </si>
  <si>
    <t>The China Quarterly</t>
  </si>
  <si>
    <t>The Cochrane Database of Systematic Reviews</t>
  </si>
  <si>
    <t>The European Physical Journal C</t>
  </si>
  <si>
    <t>The Journal of Clinical Investigation</t>
  </si>
  <si>
    <t>The Journal of Finance</t>
  </si>
  <si>
    <t>The Journal of Physical Chemistry Letters</t>
  </si>
  <si>
    <t>The Lancet</t>
  </si>
  <si>
    <t>The Lancet Neurology</t>
  </si>
  <si>
    <t>The Lancet Oncology</t>
  </si>
  <si>
    <t>The Modern Language Journal</t>
  </si>
  <si>
    <t>The New England Journal of Medicine</t>
  </si>
  <si>
    <t>The Quarterly Journal of Economics</t>
  </si>
  <si>
    <t>The Review of Economic Studies</t>
  </si>
  <si>
    <t>The Review of Financial Studies</t>
  </si>
  <si>
    <t>Tourism Management</t>
  </si>
  <si>
    <t>World Development</t>
  </si>
  <si>
    <t>JP</t>
  </si>
  <si>
    <t>doi</t>
  </si>
  <si>
    <t>No</t>
  </si>
  <si>
    <t>DOI of journal
This is not inputted by user; comes from Crossref API</t>
  </si>
  <si>
    <t>1040-2446</t>
  </si>
  <si>
    <t>Academic Medicine</t>
  </si>
  <si>
    <t>Social Sciences</t>
  </si>
  <si>
    <t>oa</t>
  </si>
  <si>
    <t>OA or non OA
Not inputted by user; comes from DOAJ</t>
  </si>
  <si>
    <t>OA, hybrid, nonOA</t>
  </si>
  <si>
    <t>Wolters Kluwer</t>
  </si>
  <si>
    <t>Single blind</t>
  </si>
  <si>
    <t>Example Publisher</t>
  </si>
  <si>
    <t>https://journals.lww.com/academicmedicine/Pages/InstructionsforAuthors.aspx#peerreview</t>
  </si>
  <si>
    <t>American Chemical Society</t>
  </si>
  <si>
    <t>Academy of Management</t>
  </si>
  <si>
    <t>Wiley-VCH</t>
  </si>
  <si>
    <t>American Economic Association</t>
  </si>
  <si>
    <t>Midwest Political Science Association</t>
  </si>
  <si>
    <t>Cambridge University Press</t>
  </si>
  <si>
    <t>SAGE/American Sociological Association</t>
  </si>
  <si>
    <t>https://journals.lww.com/academicmedicine/Documents/ReviewerFAQs_Sept2012_v1.pdf</t>
  </si>
  <si>
    <t>American College of Physicians</t>
  </si>
  <si>
    <t>Oxford Academic</t>
  </si>
  <si>
    <t>BMJ/EULAR</t>
  </si>
  <si>
    <t>Elsevier</t>
  </si>
  <si>
    <t>American Institute of Physics</t>
  </si>
  <si>
    <t>EDP Sciences</t>
  </si>
  <si>
    <t>British Medical Association</t>
  </si>
  <si>
    <t>CellPress (Elsevier)</t>
  </si>
  <si>
    <t>American Association for Cancer Research (AACR)</t>
  </si>
  <si>
    <t>Royal Society of Chemistry</t>
  </si>
  <si>
    <t>American Chemical Society (ACS)</t>
  </si>
  <si>
    <t>American Heart Association (AHA)</t>
  </si>
  <si>
    <t>American Heart Association/American Stroke Association (AHA/ASA)</t>
  </si>
  <si>
    <t>Unsure</t>
  </si>
  <si>
    <t>American Diabetes Association (ADA)</t>
  </si>
  <si>
    <t>Taylor &amp; Francis</t>
  </si>
  <si>
    <t>Wiley (for the Econometric Society)</t>
  </si>
  <si>
    <t>ACS Publications</t>
  </si>
  <si>
    <t>Oxford Academic/European Society of Cardiology</t>
  </si>
  <si>
    <t>Elsevier/The American Gatsorenterological Association</t>
  </si>
  <si>
    <t>SAGE</t>
  </si>
  <si>
    <t>Wiley/Advancing Earth and Space Science</t>
  </si>
  <si>
    <t>Not specified</t>
  </si>
  <si>
    <t>British Society of Gastroenterology/BMJ</t>
  </si>
  <si>
    <t>Project HOPE</t>
  </si>
  <si>
    <t>Optional</t>
  </si>
  <si>
    <t>Wiley on behalf of the American Association for the Study of Liver Diseases</t>
  </si>
  <si>
    <t>Conditional</t>
  </si>
  <si>
    <t>IEEE Communications Society</t>
  </si>
  <si>
    <t>IEEE</t>
  </si>
  <si>
    <t>University of Southern California</t>
  </si>
  <si>
    <t>American Medical Association</t>
  </si>
  <si>
    <t>Elsevier/American Academy of Allergy, Asthma &amp; Immunology</t>
  </si>
  <si>
    <t>SpringerNature</t>
  </si>
  <si>
    <t>American Society of Clinical Oncology</t>
  </si>
  <si>
    <t>Oxford University Press (formerly Wiley until 2018) for International Communication Association</t>
  </si>
  <si>
    <t>IOP Publishing &amp; SISSA (International School for Advanced Studies)</t>
  </si>
  <si>
    <t>American Psychological Association</t>
  </si>
  <si>
    <t>American Geophysical Union</t>
  </si>
  <si>
    <t>Springer</t>
  </si>
  <si>
    <t>SAGE in association with the Southern Management Association</t>
  </si>
  <si>
    <t>American College of Cardiology, Elsevier</t>
  </si>
  <si>
    <t>Wiley</t>
  </si>
  <si>
    <t>Association for Information Systems</t>
  </si>
  <si>
    <t>The Institute for Operations Research and the Management Sciences</t>
  </si>
  <si>
    <t>Springer Nature</t>
  </si>
  <si>
    <t>Cell Press</t>
  </si>
  <si>
    <t>Oxford University Press</t>
  </si>
  <si>
    <t>Lippincott Williams &amp; Wilkins</t>
  </si>
  <si>
    <t>Optical Society</t>
  </si>
  <si>
    <t>https://journals.lww.com/academicmedicine/Pages/InstructionsforAuthors.aspx#publicationaheadofprint</t>
  </si>
  <si>
    <t>American Academy of Pediatrics</t>
  </si>
  <si>
    <t>American Physical Society</t>
  </si>
  <si>
    <t>PLoS</t>
  </si>
  <si>
    <t>National Academy of Sciences</t>
  </si>
  <si>
    <t>The MIT Press</t>
  </si>
  <si>
    <t>American Association for the Advancement of Science</t>
  </si>
  <si>
    <t>Wiley, Strategic Management Society</t>
  </si>
  <si>
    <t>Wiley, TESOL International Association</t>
  </si>
  <si>
    <t>IOP, American Astronomical Society</t>
  </si>
  <si>
    <t>Cochrane Library</t>
  </si>
  <si>
    <t>American Society for Clinical Investigation</t>
  </si>
  <si>
    <t>Unsure (prerints allowed, but unclear which version</t>
  </si>
  <si>
    <t>Wiley &amp; American Finance Association (AFA)</t>
  </si>
  <si>
    <t>Yes, in the reference list</t>
  </si>
  <si>
    <t>Massachusetts Medical Society</t>
  </si>
  <si>
    <t>Society for Financial Studies/Oxford Academic</t>
  </si>
  <si>
    <t>Yes</t>
  </si>
  <si>
    <t>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t>
  </si>
  <si>
    <t>verified</t>
  </si>
  <si>
    <t>Record is journal verified? 
If you are a representative of the journal and can verify that the information below is correct, select "Yes."</t>
  </si>
  <si>
    <t>Yes, No</t>
  </si>
  <si>
    <t>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t>
  </si>
  <si>
    <t>prefilled-URL</t>
  </si>
  <si>
    <t>Prefilled URL
If entry is from crowdsourced form, URL points to prefilled form to edit the record.</t>
  </si>
  <si>
    <t>Review</t>
  </si>
  <si>
    <t>entry-review-date</t>
  </si>
  <si>
    <t>Entry review date
Latest review/data cleaning date (Not inputted by user)</t>
  </si>
  <si>
    <t>entry-reviewer</t>
  </si>
  <si>
    <t>Entry reviewer
Latest review/data cleaning team member (Not inputted by user)</t>
  </si>
  <si>
    <t>Jessica</t>
  </si>
  <si>
    <t>entry-notes</t>
  </si>
  <si>
    <t>Review notes
Notes about review or data entry (Not inputted by user)</t>
  </si>
  <si>
    <t>Cleaning up Raw Master. Changes are made directly to the round 3 spreadsheet</t>
  </si>
  <si>
    <t>display-this-version</t>
  </si>
  <si>
    <t>Display this version
Enter "y" to force display and "n" to force hide on website. (Not inputted by user)</t>
  </si>
  <si>
    <t>Peer review</t>
  </si>
  <si>
    <t>Type of peer review
Single blind - reviewers are anonymous to the author. Double blind - reviewers and authors are
anonymous to each other.</t>
  </si>
  <si>
    <t>Single blind, Double blind, Not blinded, None, Unsure, Other</t>
  </si>
  <si>
    <t>Where do "No"s come from in peer review &amp; responses published? [TRH - changed to not specified]. Changed coreviewer policy according to link [see note - i still think unsure is the better interpretation]</t>
  </si>
  <si>
    <t>Single Blind</t>
  </si>
  <si>
    <t>Double blind</t>
  </si>
  <si>
    <t>Unsure: at least single blind "2.10 To ensure the confidentiality of the names and other details of referees; adjudication and
appeal referees may be informed of the names of prior referees, if appropriate."</t>
  </si>
  <si>
    <t>Unsure - at least single blind "2.10 To ensure the confidentiality of the names and other details of referees; adjudication and
appeal referees may be informed of the names of prior referees, if appropriate."</t>
  </si>
  <si>
    <t>Not blinded</t>
  </si>
  <si>
    <t>Single blind, Double blind (optional)</t>
  </si>
  <si>
    <t>Other (apppears to offer choice of single blind or double blind)</t>
  </si>
  <si>
    <t>Single-blind</t>
  </si>
  <si>
    <t>Other: author choice of single or double blind</t>
  </si>
  <si>
    <t>Double-blind</t>
  </si>
  <si>
    <t>Unsure (at least single blind)</t>
  </si>
  <si>
    <t>Other: Single blind is standard (but authors can choose Double blind, and reviewers can sign their names if they wish)</t>
  </si>
  <si>
    <t>Other (Single blind is standard but authors can choose Double blind, and reviewers can sign their names if they wish)</t>
  </si>
  <si>
    <t>"If you wish to involve a
specially qualified colleague in the review (or perhaps want to guide a junior colleague in learning
how to review), you must contact the editorial office and ask for permission ahead of time."</t>
  </si>
  <si>
    <t>Other (Triple blind)</t>
  </si>
  <si>
    <t>Unsure (reviewers anon, but not clear if author anon or not)</t>
  </si>
  <si>
    <t>Single blind (Single blind peer review inferred: referee must disclose COI based on author relationship (knows identity) but typically referee identity is not disclosed)</t>
  </si>
  <si>
    <t>Unsure - but possibly double blinded as instructions to authors say "If you cite your own work in your paper, please do not blind that citation so that the reviewers can better assess what literature you are reviewing."</t>
  </si>
  <si>
    <t xml:space="preserve">Double blind </t>
  </si>
  <si>
    <t>Single blind (inferred; reviewers see author identity to know COI)</t>
  </si>
  <si>
    <t>http://examplejournal.com/peerreview</t>
  </si>
  <si>
    <t>https://pubs.acs.org/paragonplus/submission/aamick/aamick_authguide.pdf
https://pubs.acs.org/publish/peer_reviews</t>
  </si>
  <si>
    <t>https://pubs.acs.org/paragonplus/submission/achre4/achre4_authguide.pdf</t>
  </si>
  <si>
    <t>1944-8252</t>
  </si>
  <si>
    <t>Chemical &amp; Materials Sciences, Engineering &amp; Computer Science</t>
  </si>
  <si>
    <t>https://pubs.acs.org/page/accacs/submission/reviewers.html and https://pubs.acs.org/userimages/ContentEditor/1218054468605/ethics.pdf</t>
  </si>
  <si>
    <t>http://aom.org/Publications/AMJ/Information-for-Contributors.aspx, https://aom.org/Publications/AMR/Frequently-Asked-Questions.aspx#amrR7</t>
  </si>
  <si>
    <t>https://pubs.acs.org/userimages/ContentEditor/1218054468605/ethics.pdf</t>
  </si>
  <si>
    <t>Not blinded (?)</t>
  </si>
  <si>
    <t>https://pubs.acs.org/paragonplus/submission/aamick/aamick_authguide.pdf</t>
  </si>
  <si>
    <t>https://application.wiley-vch.de/util/cta/euchems_ethicalguidelines.pdf</t>
  </si>
  <si>
    <t>Authors select a new journal; manuscript Transfer
 simplifies and shortens manuscript submission to another ACS journal, as all the coauthors,
 suggested reviewers, manuscript files, and responses to submission questions are copied to the
 new submission.</t>
  </si>
  <si>
    <t>Drafts can be published in preprint repositories</t>
  </si>
  <si>
    <t>Co-reviewing is not permitted in this journal.</t>
  </si>
  <si>
    <t>https://wol-prod-cdn.literatumonline.com/pb-assets/assets/15214095/2089_guidelines-1510017322000.pdf</t>
  </si>
  <si>
    <t>unsure</t>
  </si>
  <si>
    <t>https://www.aeaweb.org/journals/aer/reviewers</t>
  </si>
  <si>
    <t>First draft only (prior to submission)</t>
  </si>
  <si>
    <t>preprint service such as ChemRxiv, arXiv, bioRxiv, or the applicable repository for their discipline prior to submission; Publication of a preprint or extended abstract in an ACS division meeting preprint book, in either
 print or electronic format, does not preclude consideration of a manuscript for publication,
 provided that the manuscript includes significant new information and data beyond what was in
 the preprint or extended abstract. It is the author’s responsibility to provide the editor with copies
 of any relevant preprint(s).
 Upon publication, authors are advised to add a link from the preprint to the published paper via
 the Digital Object Identifier (DOI). For further details, contact the Editorial Office.
 The Editors of ACS Applied Materials &amp; Interfaces have determined that content from the
 following publically available sources may also be reused, with permission from the copyright
 holder, in an ACS Applied Materials &amp; Interfaces Article (co)authored by at least one of the
 authors of the original material:
 1) A thesis or dissertation required to obtain a degree.
 2) A publically available research report that was mandated by a government agency or
 funding agency.</t>
  </si>
  <si>
    <t>Authors need to provide a link to the editor</t>
  </si>
  <si>
    <t>CC-BY and CC-BY-NC-ND</t>
  </si>
  <si>
    <t>Only peer review</t>
  </si>
  <si>
    <t>The journal does not permit co-reviewing, so there is no co-reviewing policy in sensu stricto.</t>
  </si>
  <si>
    <t>1 hour</t>
  </si>
  <si>
    <t>https://ajps.org/guidelines-for-manuscripts/</t>
  </si>
  <si>
    <t>https://ajph.aphapublications.org/page/authors.html</t>
  </si>
  <si>
    <t>https://pubs.acs.org/publish/peer_reviews</t>
  </si>
  <si>
    <t>Delete above</t>
  </si>
  <si>
    <t>https://www.apsanet.org/APSR-Submission-Guidelines</t>
  </si>
  <si>
    <t>Blank</t>
  </si>
  <si>
    <t>https://pubs.acs.org/page/aamick/submission/prior.html, https://pubs.acs.org/paragonplus/submission/aamick/aamick_authguide.pdf</t>
  </si>
  <si>
    <t>First submission only (before peer review)</t>
  </si>
  <si>
    <t>https://us.sagepub.com/en-us/nam/journal/american-sociological-review#submission-guidelines</t>
  </si>
  <si>
    <t>-</t>
  </si>
  <si>
    <t>Where a "-" is given, this indicates the above should be deleted and the field left blank</t>
  </si>
  <si>
    <t>Single blind inferred from reviewer COI, but anonymity of peer review. Where do Nos come from in OPR section?; Reviewer identities revealed to author set as conditional based on: https://pubs.acs.org/userimages/ContentEditor/1218054468605/ethics.pdf</t>
  </si>
  <si>
    <t>https://authorservices.wiley.com/Reviewers/journal-reviewers/tools-and-resources/review-confidentiality-policy.html, https://onlinelibrary.wiley.com/page/journal/15213773/homepage/notice-to-authors</t>
  </si>
  <si>
    <t>http://annals.org/aim/pages/authors</t>
  </si>
  <si>
    <t>https://academic.oup.com/annonc/pages/General_Instructions</t>
  </si>
  <si>
    <t>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</si>
  <si>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https://ard.bmj.com/pages/about/</t>
  </si>
  <si>
    <t>https://www.elsevier.com/journals/annals-of-tourism-research/0160-7383?generatepdf=true</t>
  </si>
  <si>
    <t>1520-4898</t>
  </si>
  <si>
    <t>Chemical &amp; Materials Sciences</t>
  </si>
  <si>
    <t>https://www.elsevier.com/journals/applied-energy/0306-2619/guide-for-authors#20910</t>
  </si>
  <si>
    <t>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t>
  </si>
  <si>
    <t>https://pubs.acs.org/page/policy/manuscript_transfer/index.html</t>
  </si>
  <si>
    <t>https://academic.oup.com/applij/pages/General_Instructions</t>
  </si>
  <si>
    <t>https://aip.scitation.org/apl/info/policies</t>
  </si>
  <si>
    <t>https://www.aanda.org/doc_journal/instructions/aadoc.pdf (p 16)</t>
  </si>
  <si>
    <t>https://www.elsevier.com/journals/biomaterials/0142-9612?generatepdf=true</t>
  </si>
  <si>
    <t xml:space="preserve">http://www.bloodjournal.org/page/authors/author-guide/peer-review        </t>
  </si>
  <si>
    <t>None (preprints not allowed)</t>
  </si>
  <si>
    <t>No preprints allowed</t>
  </si>
  <si>
    <t>Yes, in reference list</t>
  </si>
  <si>
    <t>https://www.bmj.com/about-bmj/resources-reviewers</t>
  </si>
  <si>
    <t>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</si>
  <si>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https://pubs.acs.org/paragonplus/submission/achre4/achre4_authguide.pdf, https://pubs.acs.org/page/policy/manuscript_transfer/index.html</t>
  </si>
  <si>
    <t>https://www.cell.com/reviewers</t>
  </si>
  <si>
    <t>Because Accounts of Chemical Research publishes review-like content, the posting of manuscripts on a preprint server such as ArXiv, BioRxiv or ChemRxiv is not appropriate. Manuscripts that have been publicly posted will not be accepted.</t>
  </si>
  <si>
    <t>http://aacrjournals.org/content/authors/editorial-process#peerrev</t>
  </si>
  <si>
    <t>Where do Nos come from in OPR section?; Reviewer identities revealed to author set as conditional based on: https://pubs.acs.org/userimages/ContentEditor/1218054468605/ethics.pdf</t>
  </si>
  <si>
    <t>"Reviewer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</si>
  <si>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http://www.rsc.org/journals-books-databases/journal-authors-reviewers/reviewer-responsibilities/</t>
  </si>
  <si>
    <t>https://pubs.acs.org/page/chreay/submission/reviewers.html</t>
  </si>
  <si>
    <t>https://pubs.acs.org/paragonplus/submission/cmatex/cmatex_scope.pdf</t>
  </si>
  <si>
    <t>https://www.ahajournals.org/pb-assets/Ethical%20ConductPolicyApril2017finalWeb.pdf</t>
  </si>
  <si>
    <t>NP</t>
  </si>
  <si>
    <t>https://www.elsevier.com/journals/computers-and-education/0360-1315?generatepdf=true</t>
  </si>
  <si>
    <t>2155-5435</t>
  </si>
  <si>
    <t>http://www.diabetesjournals.org/content/journal-policies#peerreview</t>
  </si>
  <si>
    <t>https://www.tandfonline.com/action/authorSubmission?journalCode=rdij20&amp;page=instructions#Peer_review</t>
  </si>
  <si>
    <t>https://www.econometricsociety.org/publications/econometrica/information-authors/editorial-procedures-and-policies#reviewprocess</t>
  </si>
  <si>
    <t>http://pubs.acs.org/paragonplus/submission/accacs/accacs_authguide.pdf</t>
  </si>
  <si>
    <t>http://www.rsc.org/journals-books-databases/journal-authors-reviewers/reviewer-responsibilities/#review-procedure</t>
  </si>
  <si>
    <t>Copyedited version can only be published after choosing an appropriate open access option</t>
  </si>
  <si>
    <t xml:space="preserve">https://pubs.acs.org/paragonplus/submission/esthag/esthag_authguide.pdf                </t>
  </si>
  <si>
    <t>https://academic.oup.com/eurheartj/pages/General_Instructions#3.1</t>
  </si>
  <si>
    <t>https://www.europeanurology.com/content/resources-for-authors</t>
  </si>
  <si>
    <t>https://pubs.acs.org/page/accacs/submission/prior.html https://pubs.acs.org/page/policy/authorchoice/index.html</t>
  </si>
  <si>
    <t>https://www.gastrojournal.org/content/authorinfo</t>
  </si>
  <si>
    <t>https://uk.sagepub.com/en-gb/eur/gender-society/journal200793#submission-guidelines</t>
  </si>
  <si>
    <t>First Submissions only</t>
  </si>
  <si>
    <t>Not specified, the policy simply states that "Posting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</si>
  <si>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Other; copies of all related works that are “in press”, “accepted”, or “submitted” for publication or in
 the late stages of preparation must be uploaded as Supporting Information for Review Only at
 the time of submission. For references only available online at the time of submission, please
 provide the DOI number. Actual citation should be included before publication, if possible.</t>
  </si>
  <si>
    <t>Not specified; the policy does not mention anything about media coverage (apparently, this is not an issue to the editors)</t>
  </si>
  <si>
    <t>CC-BY or CC-BY-NC-ND</t>
  </si>
  <si>
    <t>In general, the peer review policy of ACM Catalyst is scattered across many documents with different URLs (sometimes linked). There is then no single coherent peer review policy. Several of the elements looked for in the above category system are missing from the journal's policy documents, such as various aspects of the peer review process (e.g., what happens to reviewer identities in case of acceptance and rejection, whether editorial decisions are published or not etc.). Unless otherwise specified, these instances were recorded as negative answers ("no" or "not specified"). Considerations that were absent from the policy documents are considered as not being an issue for the editors. In general, the peer review policy seems to be rather sketchy.</t>
  </si>
  <si>
    <t>https://publications.agu.org/author-resource-center/steps-to-publication/</t>
  </si>
  <si>
    <t>https://www.elsevier.com/journals/global-environmental-change/0959-3780/guide-for-authors</t>
  </si>
  <si>
    <t>https://www.elsevier.com/journals/government-information-quarterly/0740-624X?generatepdf=true</t>
  </si>
  <si>
    <t>https://authors.bmj.com/policies/peer-review-terms-and-conditions/</t>
  </si>
  <si>
    <t>None found</t>
  </si>
  <si>
    <t>Unsure' -- I interpret the policy quoted above as for 'related work' that is implicitly by the same authors (so could include their preprint but is not specific statement about citing preprints in general)</t>
  </si>
  <si>
    <t>https://www.healthaffairs.org/help-for-authors</t>
  </si>
  <si>
    <t>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t>
  </si>
  <si>
    <t>I can't find this information in the policies -- I would state 'Not specified'</t>
  </si>
  <si>
    <t>Not much information online about peer review; does have short preprint policy which is obviously linked from several texts the author would read. Review and other information contained within ACS generic ethics guidelines (not specific to journal): https://pubs.acs.org/userimages/ContentEditor/1218054468605/ethics.pdf</t>
  </si>
  <si>
    <t>Reviewer identities revealed to author set as conditional based on: https://pubs.acs.org/userimages/ContentEditor/1218054468605/ethics.pdf ; modified acceptable characteristics of servers to remove not specified</t>
  </si>
  <si>
    <t>https://aasldpubs.onlinelibrary.wiley.com/hub/journal/15273350/about/author-guidelines</t>
  </si>
  <si>
    <t>https://www.comsoc.org/publications/magazines/ieee-communications-magazine/magazine-reviewer</t>
  </si>
  <si>
    <t>https://www.comsoc.org/publications/journals/ieee-comst/guidelines-reviewers</t>
  </si>
  <si>
    <t>http://cvpr2019.thecvf.com/</t>
  </si>
  <si>
    <t xml:space="preserve"> First submission only (before peer review)</t>
  </si>
  <si>
    <t>"Posting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</si>
  <si>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http://iccv2019.thecvf.com/submission/timeline</t>
  </si>
  <si>
    <t>0001-4273</t>
  </si>
  <si>
    <t>Business, Economics &amp; Management</t>
  </si>
  <si>
    <t>https://aom.org/Publications/AMR/Frequently-Asked-Questions.aspx#amrR7</t>
  </si>
  <si>
    <t>https://ieeeauthorcenter.ieee.org/peer-review-at-ieee/</t>
  </si>
  <si>
    <t>Unsure, presumably not</t>
  </si>
  <si>
    <t>None</t>
  </si>
  <si>
    <t>No preprint policy</t>
  </si>
  <si>
    <t>http://aom.org/uploadedFiles/Publications/AMJ/07_Colquitt_IrelandApr09FTE.pdf</t>
  </si>
  <si>
    <t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t>
  </si>
  <si>
    <t>http://aom.org/Publications/AMJ/Information-for-Contributors.aspx</t>
  </si>
  <si>
    <t>https://ieeeauthorcenter.ieee.org/peer-review-at-ieee/ethics-in-peer-review/</t>
  </si>
  <si>
    <t>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t>
  </si>
  <si>
    <t>Added more information regarding co-review / preprints</t>
  </si>
  <si>
    <t>Where do Nos come from in OPR section?; TRH - Changed to not specified</t>
  </si>
  <si>
    <t>https://www.elsevier.com/journals/international-journal-of-production-economics/0925-5273?generatepdf=true</t>
  </si>
  <si>
    <t>https://jamanetwork.com/journals/jama/pages/instructions-for-authors</t>
  </si>
  <si>
    <t>https://www.jacionline.org/content/authorinfo</t>
  </si>
  <si>
    <t>https://www.elsevier.com/journals/journal-of-banking-and-finance/0378-4266/guide-for-authors</t>
  </si>
  <si>
    <t>https://www.springer.com/philosophy/ethics+and+moral+philosophy/journal/10551#</t>
  </si>
  <si>
    <t>https://www.elsevier.com/journals/journal-of-business-research/0148-2963/guide-for-authors</t>
  </si>
  <si>
    <t>1936-086X</t>
  </si>
  <si>
    <t>Single blind (?)</t>
  </si>
  <si>
    <t>https://pubs.acs.org/pb-assets/acspubs/Migrated/ancac3_revguide.pdf as well as http://pubs.acs.org/paragonplus/submission/ancac3/ancac3_authguide.pdf</t>
  </si>
  <si>
    <t>https://www.elsevier.com/journals/journal-of-cleaner-production/0959-6526/guide-for-authors</t>
  </si>
  <si>
    <t>Reviewers may be asked to review subsequent versions of the manuscript, especially if new data have been added to the paper, to evaluate whether the authors have addressed the scientific concerns. In such cases, blind copies of all reviewers’ comments are normally sent to the reviewers. This practice allows the reviewers to understand the expectations of the editors. The editors will expedite any additional rounds of reviews to ensure timely publication. Please keep in mind that the reviews, reviewer identities, and decision letter will all be transferred to the new journal. Authors are encouraged to identify changes made to the manuscript in a cover letter for the new journal.</t>
  </si>
  <si>
    <t>http://pubs.acs.org/paragonplus/submission/ancac3/ancac3_authguide.pdf</t>
  </si>
  <si>
    <t>http://ascopubs.org/jco/site/ifc/my-article-was-submitted.xhtml</t>
  </si>
  <si>
    <t>https://pubs.acs.org/page/ancac3/submission/prior.html</t>
  </si>
  <si>
    <t>ACS Nano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 Upon publication in ACS Nano, authors are advised to add a link from the preprint to the published paper via the Digital Object Identifier (DOI). For further details, see Author Guidelines [PDF] or contact the Editorial Office.</t>
  </si>
  <si>
    <t>Not specified, preprints are permitted, though</t>
  </si>
  <si>
    <t>https://academic.oup.com/joc/pages/General_Instructions#Peer%20review</t>
  </si>
  <si>
    <t>Authors must use care in the disclosure of scientific results and conclusions contained in an accepted manuscript before the paper is published on the ACS Nano “Articles ASAP” Web site. Publication of these results and conclusions in the public domain constitutes prior publication. As a result, the manuscript may be immediately withdrawn from ACS Nano and will not be published.</t>
  </si>
  <si>
    <t>ACS offers a wide range of options, including the ACS’ license, ACS AuthorChoice (a noncommercial reuse license), and Creative Commons license options CC-BY and CC-BY-NC-ND.</t>
  </si>
  <si>
    <t>No explicit policy, so presumably no community peer review</t>
  </si>
  <si>
    <t>https://pubs.acs.org/pb-assets/acspubs/Migrated/ancac3_revguide.pdf</t>
  </si>
  <si>
    <t>https://publishingsupport.iopscience.iop.org/becoming-a-journal-reviewer/</t>
  </si>
  <si>
    <t>[To other ACS journals] If the manuscript has been peer reviewed, the reviews and the reviewer identities will be transferred to the next journal. If authors do not wish to share the reviews, they should decline the offer to transfer the submission.</t>
  </si>
  <si>
    <t>https://www.aeaweb.org/journals/jep/submissions</t>
  </si>
  <si>
    <t>Has short preprint policy which is obviously linked from several texts the author would read, and a reviewer's guide. Review and other information also contained within ACS generic ethics guidelines (not specific to journal): https://pubs.acs.org/userimages/ContentEditor/1218054468605/ethics.pdf</t>
  </si>
  <si>
    <t>Where do Nos come from in OPR section?; [TRH - changed to not spec.d] Reviewer identities revealed to author set as conditional based on: https://pubs.acs.org/userimages/ContentEditor/1218054468605/ethics.pdf</t>
  </si>
  <si>
    <t xml:space="preserve">https://www.apa.org/pubs/journals/edu/?tab=4, https://www.apa.org/pubs/journals/reviewer-instructions.pdf        </t>
  </si>
  <si>
    <t>https://www.elsevier.com/reviewers/how-to-review</t>
  </si>
  <si>
    <t>https://publications.agu.org/reviewer-resources/</t>
  </si>
  <si>
    <t>https://www.springer.com/physics/particle+and+nuclear+physics/journal/13130</t>
  </si>
  <si>
    <t>https://journals.sagepub.com/pb-assets/cmscontent/JOM/JOM_Style_Guide_revised_2017.pdf</t>
  </si>
  <si>
    <t>1614-6840</t>
  </si>
  <si>
    <t>https://www.euchems.eu/wp-content/uploads/Ethicalguidelines_tcm23-54057.pdf</t>
  </si>
  <si>
    <t>To treat the manuscript as confidential. The editor must be informed if the referee consults a colleague about the manuscript.</t>
  </si>
  <si>
    <t>https://www.journals.elsevier.com/journal-of-pragmatics/policies/peer-review-policy-for-the-journal-of-pragmatics</t>
  </si>
  <si>
    <t>https://application.wiley-vch.de/util/cta/physsci-en.pdf</t>
  </si>
  <si>
    <t>http://pubs.acs.org/paragonplus/submission/jacsat/jacsat_authguide.pdf</t>
  </si>
  <si>
    <t>Final published version and Accepted Version (after peer review, but not final, copyedited version)</t>
  </si>
  <si>
    <t>not for profit subject-based repository or in a Scholarly Collaboration Network (SCN) which has signed up to the STM article sharing principles [www.stm-assoc.org/stmconsultations/scn-consultation-2015/] (“Compliant SCNs”), or in the Contributor’s company/ institutional repository or archive</t>
  </si>
  <si>
    <t>The right to transmit, print and share copies of the Accepted Version with colleagues, including via Compliant SCNs (in private research groups only before the embargo and publicly after), provided that there is no systematic distribution of the Accepted Version, e.g. posting on a listserve, network (including SCNs which have not signed up to the STM sharing principles) or automated delivery. 3. Final Published Ver</t>
  </si>
  <si>
    <t>No explicit policy</t>
  </si>
  <si>
    <t>Wiley does not offer information on peer review explicitly on the website of any of the journals looked at here, but only as part of a "Guide for Authors" (see above for the URL).</t>
  </si>
  <si>
    <t>http://www.onlinejacc.org/content/73/2/A28</t>
  </si>
  <si>
    <t>Word doc downloadable from https://www.editorialmanager.com/advenergymat/default.aspx -- contains basic generic info on the review contents/process for Editorial manager (page 23)</t>
  </si>
  <si>
    <t>https://onlinelibrary.wiley.com/pb-assets/assets/16146840/2528_Guide_for_Authors.pdf and https://wol-prod-cdn.literatumonline.com/pb-assets/assets/16146840/2528_Guide_for_Authors-1510012860000.pdf</t>
  </si>
  <si>
    <t>N/A</t>
  </si>
  <si>
    <t>Ethical guidelines link to URL with 404 (https://www.euchems.eu/fileadmin/user_upload/binaries/EthicalGuidelines_tcm23-54570.pdf), found elsewhere (EUChemS)</t>
  </si>
  <si>
    <t>https://www.springer.com/psychology/child+%26+school+psychology/journal/10964?detailsPage=pltci_1692324</t>
  </si>
  <si>
    <t>I don't think the link Naomi found reveals any actual info about the form; added caveat of single blind inferred</t>
  </si>
  <si>
    <t>https://us.sagepub.com/en-us/nam/journal/journalism#PeerReviewPolicy</t>
  </si>
  <si>
    <t>https://www.tandfonline.com/action/authorSubmission?journalCode=rjop20&amp;page=instructions#Peer_review</t>
  </si>
  <si>
    <t>1616-3028</t>
  </si>
  <si>
    <t>https://wol-prod-cdn.literatumonline.com/pb-assets/assets/16163028/AFM-guide-for-authors-may-2018-1526994585463.pdf</t>
  </si>
  <si>
    <t>https://www.tandfonline.com/action/authorSubmission?journalCode=rjos20&amp;page=instructions#Peer_review</t>
  </si>
  <si>
    <t>https://www.elsevier.com/journals/land-use-policy/0264-8377?generatepdf=true</t>
  </si>
  <si>
    <t>https://onlinelibrary.wiley.com/page/journal/14679922/homepage/forauthors.html</t>
  </si>
  <si>
    <t>https://www.elsevier.com/journals/lingua/0024-3841/guide-for-authors</t>
  </si>
  <si>
    <t>https://www.misq.org/skin/frontend/default/misq/pdf/ReviewerRole.pdf</t>
  </si>
  <si>
    <t>https://pubsonline.informs.org/page/mnsc/submission-guidelines</t>
  </si>
  <si>
    <t>https://uk.sagepub.com/en-gb/eur/journal/media-culture-society#submission-guidelines</t>
  </si>
  <si>
    <t>https://www.cell.com/molecular-cell/authors</t>
  </si>
  <si>
    <t>1521-4095</t>
  </si>
  <si>
    <t>https://academic.oup.com/mnras/pages/General_Instructions#4%20Editorial%20review</t>
  </si>
  <si>
    <t>https://pubs.acs.org/paragonplus/submission/nalefd/nalefd_authguide.pdf</t>
  </si>
  <si>
    <t>https://www.rsc.org/journals-books-databases/journal-authors-reviewers/reviewer-responsibilities/#review-procedure</t>
  </si>
  <si>
    <t>https://www.nature.com/authors/policies/peer_review.html</t>
  </si>
  <si>
    <t>Original entry appears to describe journal above</t>
  </si>
  <si>
    <t>Retuns 404, also this is for the journal above, and I can't find any co-reviewer information for this journal</t>
  </si>
  <si>
    <t>https://onlinelibrary.wiley.com/pb-assets/assets/15214095/2089_guidelines.pdf</t>
  </si>
  <si>
    <t>None (preprints not allowed(</t>
  </si>
  <si>
    <t>0002-8282</t>
  </si>
  <si>
    <t>https://www.aeaweb.org/content/file?id=222</t>
  </si>
  <si>
    <t>https://www.aeaweb.org/journals/aer/about-aer/editorial-policy</t>
  </si>
  <si>
    <t>Permission to make digital or hard copies of part or all of American Economic Association publications for personal or classroom use is granted without fee provided that copies are not distributed for profit or direct commercial advantage and that copies show this notice on the first page or initial screen of a display along with the full citation, including the name of the author. Copyrights for components of this work owned by others than AEA must be honored. Abstracting with credit is permitted.</t>
  </si>
  <si>
    <t>The author has the right to republish, post on servers, redistribute to lists and use any component of this work in other works. For others to do so requires prior specific permission and/or a fee. Permissions may be requested from the American Economic Association Business Office.</t>
  </si>
  <si>
    <t>Note that the document linked in coreviewing URL is not official policy, but is linked from the journal website as a recommendation.</t>
  </si>
  <si>
    <t>https://www.aeaweb.org/journals/policies/copyright</t>
  </si>
  <si>
    <t>Unsure (preprints are allowed, but it's not clear what version)</t>
  </si>
  <si>
    <t>1540-5907</t>
  </si>
  <si>
    <t>https://ajps.org/ajps-reviewer-instructions/</t>
  </si>
  <si>
    <t>https://ajpsblogging.files.wordpress.com/2015/09/ajps-author-resources-ver-1-0.pdf</t>
  </si>
  <si>
    <t>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t>
  </si>
  <si>
    <t>No expicit policy</t>
  </si>
  <si>
    <t>After peer review (but not final, copyedited version)</t>
  </si>
  <si>
    <t>"The AJPS Editor reserves the right to refuse submissions from authors who repeatedly fail to provide reviews for the Journal when invited to do so."</t>
  </si>
  <si>
    <t>https://www.nature.com/nrc/for-referees</t>
  </si>
  <si>
    <t>https://www.nature.com/nrg/for-referees</t>
  </si>
  <si>
    <t>1541-0048</t>
  </si>
  <si>
    <t>American Public Health Association</t>
  </si>
  <si>
    <t>Any</t>
  </si>
  <si>
    <t>https://nips.cc/Conferences/2019/CallForPapers</t>
  </si>
  <si>
    <t>https://www.elsevier.com/journals/neuroimage/1053-8119/guide-for-authors</t>
  </si>
  <si>
    <t>https://us.sagepub.com/en-us/nam/journal/new-media-society#PeerReviewPolicy</t>
  </si>
  <si>
    <t>https://onlinelibrary.wiley.com/page/journal/14680068/homepage/forauthors.html</t>
  </si>
  <si>
    <t>SH</t>
  </si>
  <si>
    <t>1537-5943</t>
  </si>
  <si>
    <t>Cambridge Core</t>
  </si>
  <si>
    <t>https://www.cambridge.org/core/services/authors/journals/preparing-and-submitting-your-paper</t>
  </si>
  <si>
    <t>https://www.osapublishing.org/submit/review/peer_review.cfm#overview</t>
  </si>
  <si>
    <t>http://www.aappublications.org/content/pediatrics-reviewer-guidelines</t>
  </si>
  <si>
    <t>American Political Science Review does not offer information on the peer review process directly on its website, but only via Cambridge University Press' generic website. Even then, peer review is not treated as a topic "in its own right", but rather as part of a general "Preparing and submitting your manuscript" section.</t>
  </si>
  <si>
    <t>double-blind review process</t>
  </si>
  <si>
    <t>https://www.springer.com/philosophy/journal/11098</t>
  </si>
  <si>
    <t>[Can't find any info about this]</t>
  </si>
  <si>
    <t>[Not specified, though they perform double-blind review so presumably not]</t>
  </si>
  <si>
    <t>[Unsure: "Please include a link to all non published work, i.e. working papers, conference papers, etc."]</t>
  </si>
  <si>
    <t>https://journals.aps.org/prb/referees/guidelines-for-referees</t>
  </si>
  <si>
    <t>30 mins</t>
  </si>
  <si>
    <t>Double-blind review ad URL added. A few other places I'ved added inferred answers that reflect the double-blind process. Comments are in square brackets.</t>
  </si>
  <si>
    <t>https://journals.aps.org/prd/authors/editorial-policies-practices#anonymity</t>
  </si>
  <si>
    <t>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t>
  </si>
  <si>
    <t>1939-8271</t>
  </si>
  <si>
    <t>https://uk.sagepub.com/en-gb/eur/manuscript-submission-guidelines</t>
  </si>
  <si>
    <t>https://journals.aps.org/prl/authors/editorial-policies-practices#anonymity</t>
  </si>
  <si>
    <t>https://uk.sagepub.com/en-gb/eur/how-to-review-articles</t>
  </si>
  <si>
    <t>https://journals.aps.org/prx/authors/editorial-policies-practices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</si>
  <si>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</si>
  <si>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https://journals.sagepub.com/page/help/online-first</t>
  </si>
  <si>
    <t>https://www.elsevier.com/journals/physics-letters-b/0370-2693/guide-for-authors</t>
  </si>
  <si>
    <t>After peer review (but not always final, copyedited version)</t>
  </si>
  <si>
    <t>OnlineFirst provides clear benefits to all researchers and users of the journal's online content. The feature allows subscribers and members the ability to access the very latest papers in the field. Authors also benefit from greatly reduced lead times between submission and publication of articles. Without OnlineFirst, an author's work would only appear online once a finalized issue was sent to print. However, with OnlineFirst, manuscripts can appear online while other articles are being completed for an upcoming issue. An author's research will therefore reach its audience more quickly, enabling an article to receive greater usage and exposure, including earlier citation opportunities by related work</t>
  </si>
  <si>
    <t>https://journals.plos.org/plosone/s/editorial-and-peer-review-process</t>
  </si>
  <si>
    <t>https://us.sagepub.com/en-us/nam/reviewer-rewards</t>
  </si>
  <si>
    <t>https://www.pnas.org/page/authors/reviewers</t>
  </si>
  <si>
    <t>Yes [Publons. They also publlish a list of reviewers annually]</t>
  </si>
  <si>
    <t>https://us.sagepub.com/en-us/nam/prior-publication</t>
  </si>
  <si>
    <t>https://uk.sagepub.com/en-gb/eur/journal/progress-human-geography#EditorialPolicies</t>
  </si>
  <si>
    <t>"SAGE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t>
  </si>
  <si>
    <t>25 mins</t>
  </si>
  <si>
    <t>Substatial changes re: preprint questions. Also on peer reviewer credit.</t>
  </si>
  <si>
    <t>https://academic.oup.com/poq/pages/general_instructions</t>
  </si>
  <si>
    <t>https://www.tandfonline.com/action/authorSubmission?show=instructions&amp;journalCode=cres20</t>
  </si>
  <si>
    <t>https://www.elsevier.com/journals/renewable-and-sustainable-energy-reviews/1364-0321/guide-for-authors</t>
  </si>
  <si>
    <t>https://www.elsevier.com/journals/research-policy/0048-7333/guide-for-authors</t>
  </si>
  <si>
    <t>Regarding reviewer credit - Yes [Publons. They also publlish a list of reviewers annually]; re. preprint citation, they allow citation of website so reasonable to assume preprints ok https://uk.sagepub.com/en-gb/eur/journal/american-sociological-review#submission-guidelines</t>
  </si>
  <si>
    <t>1521-3773</t>
  </si>
  <si>
    <t>https://onlinelibrary.wiley.com/page/journal/15213773/homepage/notice-to-authors</t>
  </si>
  <si>
    <t>https://journals.aps.org/rmp/authors#review, https://journals.aps.org/peer-review-materials-policy</t>
  </si>
  <si>
    <t>http://www.sciencemag.org/authors/science-information-authors</t>
  </si>
  <si>
    <t>https://onlinelibrary.wiley.com/page/journal/15213773/homepage/onlineopen</t>
  </si>
  <si>
    <t>https://stm.sciencemag.org/content/science-translational-medicine-general-policies</t>
  </si>
  <si>
    <t>Under the applicable copyright transfer agreement between authors and Wiley-VCH, the former are permitted to self-archive either the submitted version (immediately upon publication of the final article) or accepted version (subject to an embargo period*) on the author′s personal website, the author′s company/institutional repository or archive, or certain not-for-profit subject-based repositories such as PubMed Central. * Note, self-archiving of the accepted version is subject to a 12 month embargo period.</t>
  </si>
  <si>
    <t>https://www.nature.com/srep/journal-policies/peer-review</t>
  </si>
  <si>
    <t>Submitted version: Self-archiving of the submitted version is not subject to an embargo period; authors can self-archive the submitted version immediately upon publication of their article on Wiley Online Library. Authors should include the following notice on the first page: “This is the pre-peer reviewed version of the following article: [FULL CITE], which has been published in final form at [Link to final article using the DOI]. This article may be used for non-commercial purposes in accordance with Wiley-VCH Terms and Conditions for Self-Archiving.” 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 The version posted may not be updated or replaced with the final published version (Version of Record). Authors may transmit, print and share copies of the self-archived version with colleagues, provided that there is no systematic distribution, e.g., a posting on a listserve, network or automated delivery.</t>
  </si>
  <si>
    <t>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t>
  </si>
  <si>
    <t>https://www.elsevier.com/journals/social-science-and-medicine/0277-9536/guide-for-authors</t>
  </si>
  <si>
    <t>The authors´ moral rights are not compromised. These rights include the right of “paternity” (also known as “attribution”—the right for the author to be identified as such) and “integrity” (the right for the author not to have the work altered in such a way that the author´s reputation or integrity may be impugned). All reuse must be fully attributed. Where content in the article is identified as belonging to a third party, it is the obligation of the user to ensure that any reuse complies with the copyright policies of the owner of that content. Self-archived content may not be re-published verbatim in whole or in part, whether or not for commercial purposes, in print or online. This restriction does not apply to use of quotations with appropriate citation, or text and data mining provided that the mining output is restricted to short excerpts of text and data and excludes images (unless further consent is obtained from Wiley-VCH).</t>
  </si>
  <si>
    <t>CC-BY, CC-BY-NC-ND and CC-BY-NC</t>
  </si>
  <si>
    <t>Wiley does not offer information on the peer review process explicitely on their website. This information can sometimes be found in the "Guide for Authors" section, but in the case of Angewandte Chemie IE, this section does not contain a lot of information on the peer review process.</t>
  </si>
  <si>
    <t>https://authorservices.wiley.com/Reviewers/journal-reviewers/tools-and-resources/review-confidentiality-policy.html</t>
  </si>
  <si>
    <t>https://www.springer.com/philosophy/epistemology+and+philosophy+of+science/journal/11229</t>
  </si>
  <si>
    <t>https://authorservices.wiley.com/Reviewers/journal-reviewers/recognition-for-reviewers/index.html</t>
  </si>
  <si>
    <t>https://www.journals.elsevier.com/system</t>
  </si>
  <si>
    <t>https://www.elsevier.com/journals/teaching-and-teacher-education/0742-051x/guide-for-authors</t>
  </si>
  <si>
    <t>"Angewandte Chemie, ChemPubSoc Europe, and Asian Chemical Editorial Society (ACES) journals will consider submitted papers that have been previously 1) posted as a preprint on a non-profit community preprint server such as ChemRxiv, bioRxiv, and arXiv"</t>
  </si>
  <si>
    <t>"In the case of preprints, journals require that the material is not communicated with the media prior to publication of the paper in the journal family."</t>
  </si>
  <si>
    <t>Not specified ?</t>
  </si>
  <si>
    <t>25 min</t>
  </si>
  <si>
    <t>Substantial changes re: preprint questions. Also confirmed single blind peer review for this journal. Peer reviewer credit/rewards is not journal-specific (Publisher level) but I added it anyway.</t>
  </si>
  <si>
    <t>https://www.tesol.org/read-and-publish/journals/tesol-journal</t>
  </si>
  <si>
    <t>No PR policy online - however PR model is mentioned in this release  https://www.cambridge.org/core/services/aop-file-manager/file/599b0ec93cc74f7313d1a5fc/Updated-CQ-statement.pdf</t>
  </si>
  <si>
    <t>https://community.cochrane.org/editorial-and-publishing-policy-resource/cochrane-review-management/cochrane-peer-review-policy</t>
  </si>
  <si>
    <t>0003-4819</t>
  </si>
  <si>
    <t>https://www.springer.com/physics/particle+and+nuclear+physics/journal/10052</t>
  </si>
  <si>
    <t>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t>
  </si>
  <si>
    <t>https://www.jci.org/kiosks/authors#Editorial_Policies</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</si>
  <si>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t>
  </si>
  <si>
    <t>https://pubs.acs.org/publish/peer_reviews, https://pubs.acs.org/userimages/ContentEditor/1218054468605/ethics.pdf</t>
  </si>
  <si>
    <t>Unsure ["Include references to unpublished material in the text, not in the references (for example, papers presented orally at a meeting; unpublished work [personal communications, papers in preparation])"]</t>
  </si>
  <si>
    <t>https://www.thelancet.com/pb/assets/raw/Lancet/authors/lancet-information-for-authors.pdf</t>
  </si>
  <si>
    <t>Not specific to preprints but states: "Providing copies of manuscripts or detailed information to media, manufacturers, or government agencies of scientific information described in a manuscript that has been accepted but not yet published violates the policies of Annals and many other journals."</t>
  </si>
  <si>
    <t>20 mins</t>
  </si>
  <si>
    <t>Disagreement in how/if preprints should be referenced (but I may have missed something)</t>
  </si>
  <si>
    <t>https://els-jbs-prod-cdn.literatumonline.com/pb/assets/raw/Lancet/authors/tln-info-for-authors-1541596047120.pdf</t>
  </si>
  <si>
    <t>Yes, but only in the text (not the reference list)</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</si>
  <si>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t>
  </si>
  <si>
    <t>1569-8041</t>
  </si>
  <si>
    <t>https://els-jbs-prod-cdn.literatumonline.com/pb/assets/raw/Lancet/authors/tlo-info-for-authors-1541596062097.pdf</t>
  </si>
  <si>
    <t>https://academic.oup.com/journals/pages/access_purchase/rights_and_permissions/author_self_archiving_policy</t>
  </si>
  <si>
    <t>Authors original version can be posted on a personal website, institutional/non-commercial subject-based repository and a commercial platform/social media anytime. Accepted manuscripts can be published on personal websites after publication, on non-commercial repositories after an embargo period, and never on commercial platforms. Version of record may not be uploaded to any kind of external repository.</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</si>
  <si>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Authors may make their AM available on their non-commercial homepage or blog. They may also privately share their work within their institution for the purposes of research or education, and make copies available to colleagues or students for their personal use providing that the AM is not made publicly available until after the embargo period. Authors may also immediately upload their AM to their institutional or other non-commercial subject based repositories (on the proviso that it is not made publicly available until after the specified embargo period). Authors may upload their AM to an institutional repository or other non-commercial repositories, and make it publicly available. Accepted Manuscripts may not be uploaded or shared oncommercial websites or repositories, unless the website or repository has signed an agreement with OUP permitting such uploading or sharing. The Version of Record (VOR) is defined here as the final typeset and edited version of the journal article that has been made available by OUP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</si>
  <si>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Yes, but only in the text</t>
  </si>
  <si>
    <t>See above</t>
  </si>
  <si>
    <t>CC-BY, CC-BY-NC-ND, CC-BY-NC</t>
  </si>
  <si>
    <t>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t>
  </si>
  <si>
    <t xml:space="preserve">https://onlinelibrary.wiley.com/page/journal/15404781/homepage/forauthors.html#Manuscript                </t>
  </si>
  <si>
    <t>preprint-version: First submission only</t>
  </si>
  <si>
    <t xml:space="preserve">
preprint-servers: ""Authors may make their AOV available anywhere at any time. This includes posting on their own personal websites, institutional or non-commercial or subject based repositories, commercial websites or repositories, or social media"</t>
  </si>
  <si>
    <t>preprint-citation: can't find this?</t>
  </si>
  <si>
    <t>leave blank; these refer to the postprints</t>
  </si>
  <si>
    <t>https://www.nejm.org/media-center/publication-process
https://www.nejm.org/about-nejm/editorial-policies</t>
  </si>
  <si>
    <t>https://academic.oup.com/qje/pages/Policies</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</si>
  <si>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</si>
  <si>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1468-2060</t>
  </si>
  <si>
    <t>http://rfssfs.org/advice-for-referees/, https://editorialexpress.com/cgi-bin/e-editor/e-review_v18.cgi?dbase=rfs&amp;stage=0&amp;stage_completed=&amp;user_id=&amp;sub_id=&amp;password=F7ObH75z</t>
  </si>
  <si>
    <t>https://www.elsevier.com/journals/tourism-management/0261-5177/guide-for-authors</t>
  </si>
  <si>
    <t>https://www.elsevier.com/journals/world-development/0305-750x/guide-for-authors</t>
  </si>
  <si>
    <t>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</si>
  <si>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https://authors.bmj.com/policies/publication-embargo/</t>
  </si>
  <si>
    <t>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t>
  </si>
  <si>
    <t>Not applicable</t>
  </si>
  <si>
    <t>45 mins</t>
  </si>
  <si>
    <t>pr-transfer-policy: "Authors are given the option of nominating other journals from BMJ to which they would like their manuscript passed if it is rejected for publication by their first choice."</t>
  </si>
  <si>
    <t>opr-responses: No (can these be published if the reviews were not?)</t>
  </si>
  <si>
    <t>opr-identities: Can't find any info on this, would leave as "Not specified"</t>
  </si>
  <si>
    <t>preprint-url: https://authors.bmj.com/policies/preprints/</t>
  </si>
  <si>
    <t>preprint-version: After peer review ("BMJ does not recommend that Author Accepted Manuscripts are placed on preprint servers.")</t>
  </si>
  <si>
    <t>preprint-servers: "any recognised, not-for-profit, preprint server, such as arXiv, bioRxiv or medRxiv."</t>
  </si>
  <si>
    <t>preprint-license: "BMJ places no restrictions on the licence chosen when posting a preprint version of work"</t>
  </si>
  <si>
    <t>http://examplejournal.com/peerreviewform</t>
  </si>
  <si>
    <t>Authors are given the option of nominating other journals from BMJ to which they would like their manuscript passed if it is rejected for publication by their first choice.</t>
  </si>
  <si>
    <t>https://authors.bmj.com/policies/preprints/</t>
  </si>
  <si>
    <t>any recognised, not-for-profit, preprint server, such as arXiv, bioRxiv or medRxiv</t>
  </si>
  <si>
    <t>BMJ places no restrictions on the licence chosen when posting a preprint version of work</t>
  </si>
  <si>
    <t>0160-7383</t>
  </si>
  <si>
    <t>https://www.elsevier.com/reviewers/role#recognizing</t>
  </si>
  <si>
    <t>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t>
  </si>
  <si>
    <t>https://www.elsevier.com/reviewers/what-is-peer-review</t>
  </si>
  <si>
    <t>Not found</t>
  </si>
  <si>
    <t>Optional; have DOI</t>
  </si>
  <si>
    <t>https://www.elsevier.com/about/policies/copyright</t>
  </si>
  <si>
    <t>An author should not in general publish manuscripts describing essentially the same research in more than one journal or primary publication. Elsevier does not view the following uses of a work as prior publication: publication in the form of an abstract; publication as an academic thesis; publication as an electronic preprint. Note: some society-owned titles and journals that operatAuthors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 [Subscription articles] Authors sign an exclusive license agreement, where authors have copyright but license exclusive rights in their article to the publisher**. In this case authors have the right to: Share their article in the same ways permitted to third parties under the relevant user license (together with Personal Use rights) so long as it contains a CrossMark logo, the end user license, and a DOI link to the version of record on ScienceDirect. Retain patent, trademark and other intellectual property rights (including research data). Proper attribution and credit for the published work.</t>
  </si>
  <si>
    <t>CC-BY-NC-ND</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</si>
  <si>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t>
  </si>
  <si>
    <t>opr: might change all to Not specified</t>
  </si>
  <si>
    <t>preprint-url: https://www.elsevier.com/about/policies/sharing</t>
  </si>
  <si>
    <t>preprint-version: Any (if on arXiv or RePEc)</t>
  </si>
  <si>
    <t>preprint-licensing: leave blank; I believe this is for accepted manuscripts</t>
  </si>
  <si>
    <t>https://publications.agu.org/reviewer-resources/review-criteria</t>
  </si>
  <si>
    <t>https://www.elsevier.com/about/policies/sharing</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</si>
  <si>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t>
  </si>
  <si>
    <t>0306-2619</t>
  </si>
  <si>
    <t>This journal operates a single blind review process. All contributions will be initially assessed by the editor for suitability for the journal. Papers deemed suitable are then typically sent to a minimum of two independent expert reviewers to assess the scientific quality of the paper. The Editor is responsible for the final decision regarding acceptance or rejection of articles. The Editor's decision is final. More information on types of peer review.</t>
  </si>
  <si>
    <t>https://journals.aps.org/referees/referee-response-physical-review-letters</t>
  </si>
  <si>
    <t>https://journals.aps.org/prx/referees/referee-response-physical-review-x</t>
  </si>
  <si>
    <t>GMD</t>
  </si>
  <si>
    <t>Noi</t>
  </si>
  <si>
    <t>1477-450X</t>
  </si>
  <si>
    <t>Humanities, Literature &amp; Arts</t>
  </si>
  <si>
    <t>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t>
  </si>
  <si>
    <t>https://academic.oup.com/journals/pages/authors/ethics</t>
  </si>
  <si>
    <t>OUP's author information is scatterd across a vast number of documents, each of which is located on a different website (hyperlinks are provided in many cases, though). There seems to be no way of accessing information on the peer review process conveniently in one location.</t>
  </si>
  <si>
    <t>http://www.bloodjournal.org/page/authors/author-guide/peer-review</t>
  </si>
  <si>
    <t>https://authors.bmj.com/for-reviewers/reviewer-recognition/</t>
  </si>
  <si>
    <t>http://aacrjournals.org/site/Info/Reviewers.xhtml</t>
  </si>
  <si>
    <t>Change preprint licensing fields to reflect AOV rather than later versions, remove quotes about AM &amp; VOR, leave citation policy blank [trh - ok]</t>
  </si>
  <si>
    <t>http://www.rsc.org/journals-books-databases/journal-authors-reviewers/reviewer-responsibilities/#becoming-reviewer</t>
  </si>
  <si>
    <t>http://www.diabetesjournals.org/for-reviewers</t>
  </si>
  <si>
    <t>https://www.elsevier.com/reviewers/role#RRP</t>
  </si>
  <si>
    <t>Unsure (preprint can be posted)</t>
  </si>
  <si>
    <t>https://uk.sagepub.com/en-gb/eur/online-submission-peer-review-system</t>
  </si>
  <si>
    <t>1077-3118</t>
  </si>
  <si>
    <t>https://www.healthaffairs.org/help-for-reviewers</t>
  </si>
  <si>
    <t>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t>
  </si>
  <si>
    <t>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t>
  </si>
  <si>
    <t>http://ascopubs.org/reviewers</t>
  </si>
  <si>
    <t>1432-0746</t>
  </si>
  <si>
    <t>Physics &amp; Mathematics</t>
  </si>
  <si>
    <t>https://www.aanda.org/author-information</t>
  </si>
  <si>
    <t>Manuscripts submitted for publication to A&amp;A should not be submitted to any other refereed journal, but can be sent to preprint servers such as astro-ph. By submitting a manuscript to A&amp;A, the corresponding author explicitly states that the work is original and that all co-authors have read the manuscript and agree with its contents. A&amp;A Editors expect to be informed when a submitted manuscript has previously been rejected by another Journal.</t>
  </si>
  <si>
    <t>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t>
  </si>
  <si>
    <t xml:space="preserve">Policy on peer review is unclear - appears to be peer-reviewed by Associate Editors of the journal as described on p16 of https://www.aanda.org/doc_journal/instructions/aadoc.pdf </t>
  </si>
  <si>
    <t>I also could not find a peer review policy URL</t>
  </si>
  <si>
    <t>0142-9612</t>
  </si>
  <si>
    <t>http://www.rsc.org/journals-books-databases/journal-authors-reviewers/reviewer-responsibilities/#peer-review-help</t>
  </si>
  <si>
    <t>https://www.nature.com/ncomms/journal-policies/guide-to-referees</t>
  </si>
  <si>
    <t>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</si>
  <si>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Under "Peer Reviewer activity deposited into open database" -&gt; Peer Reviewer activity IS deposited into a database by Elsevier, but it is NOT open. This applies across the Elsevier platform. See https://www.elsevier.com/reviewers/role#recognizing </t>
  </si>
  <si>
    <t>Under "Peer Reviewer activity deposited into open database" -&gt; Peer Reviewer activity IS deposited into a database by Elsevier, but it is NOT open. This applies across the Elsevier platform. See https://www.elsevier.com/reviewers/role#recognizing</t>
  </si>
  <si>
    <t>Under Preprint policy URL would suggest this: https://www.elsevier.com/authors/journal-authors/policies-and-ethics as this is where the text comes from, or this https://www.elsevier.com/about/policies/sharing#preprint which specifically discusses preprints</t>
  </si>
  <si>
    <t>Corrected preprint policy (leaving most fields blank) - may wish to compare with other standard Elsevier policies [trh - ok]</t>
  </si>
  <si>
    <t>https://www.osapublishing.org/oe/submit/review/outstandingreviewers.cfm</t>
  </si>
  <si>
    <t>https://www.pnas.org/content/115/52/E12466</t>
  </si>
  <si>
    <t>https://uk.sagepub.com/en-gb/eur/get-credit-for-your-reviews</t>
  </si>
  <si>
    <t xml:space="preserve">https://www.elsevier.com/reviewers/role#recognizing </t>
  </si>
  <si>
    <t>https://www.elsevier.com/authors/journal-authors/policies-and-ethics
https://www.elsevier.com/about/policies/sharing#preprint
https://www.elsevier.com/journals/biomaterials/0142-9612?generatepdf=true</t>
  </si>
  <si>
    <t>Any (arXiv &amp; RePEc)</t>
  </si>
  <si>
    <t>Reviewers are listed online, eg: https://ari.cochrane.org/our-reviews/peer-reviewers/previous-peer-reviewers</t>
  </si>
  <si>
    <t>Authors can share their preprint anywhere at any time.</t>
  </si>
  <si>
    <t>1528-0020</t>
  </si>
  <si>
    <t>Health &amp; Medical Sciences</t>
  </si>
  <si>
    <t>American Society of Hematology</t>
  </si>
  <si>
    <t>Peer reviewer activity deposited into open databases?
Examples include Publons and ORCID. Not inputted by user, but by pulling in data from external sources</t>
  </si>
  <si>
    <t>Our expert reviewers are instrumental in maintaining the high quality of Bloodand its prominence among medical journals. We greatly appreciate the contribution of your time and expertise.</t>
  </si>
  <si>
    <t>Publons, ORCID, other, none</t>
  </si>
  <si>
    <t>Blood's website is rather clear in terms of providing details of the peer review process (i.e. those details are findable and accessible). However, the information itself is rather sparse, i.e. Not a lot of information is provided in terms of licensing and open peer review.</t>
  </si>
  <si>
    <t>Yes - Publons</t>
  </si>
  <si>
    <t xml:space="preserve">No - Under "Peer Reviewer activity deposited into open database" -&gt; Peer Reviewer activity IS deposited into a database by Elsevier, but it is NOT open. This applies across the Elsevier platform. See https://www.elsevier.com/reviewers/role#recognizing </t>
  </si>
  <si>
    <t>Unsure: Peer Reviewer activity IS deposited into a database by Elsevier, but it is NOT open. This applies across the Elsevier platform. See https://www.elsevier.com/reviewers/role#recognizing</t>
  </si>
  <si>
    <t>Corrected co-reviewer policy and added preprint policy info</t>
  </si>
  <si>
    <t xml:space="preserve">Unsure: Peer Reviewer activity IS deposited into a database by Elsevier, but it is NOT open. This applies across the Elsevier platform. </t>
  </si>
  <si>
    <t>Yes -- both Publons and ORCID</t>
  </si>
  <si>
    <t>No: Peer Reviewer activity IS deposited into a database by Elsevier, but it is NOT open. This applies across the Elsevier platform.</t>
  </si>
  <si>
    <t>Some text copied from the website or a few sentences describing the policy</t>
  </si>
  <si>
    <t>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t>
  </si>
  <si>
    <t>Please note that all information regarding a submitted paper should be kept confidential.</t>
  </si>
  <si>
    <t>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</si>
  <si>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t>
  </si>
  <si>
    <t>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t>
  </si>
  <si>
    <t>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t>
  </si>
  <si>
    <t>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</si>
  <si>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</si>
  <si>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t>
  </si>
  <si>
    <t>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t>
  </si>
  <si>
    <t>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t>
  </si>
  <si>
    <t>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t>
  </si>
  <si>
    <t>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t>
  </si>
  <si>
    <t>http://www.bloodjournal.org/page/authors/author-guide/Editorial-policies-for-authors</t>
  </si>
  <si>
    <t>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t>
  </si>
  <si>
    <t>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t>
  </si>
  <si>
    <t>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</si>
  <si>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At the time of manuscript submission, authors may preselect the option to have their manuscript and reviewers' comments automatically referred to one of the JAMA Network specialty journals if the manuscript is not accepted by JAMA.</t>
  </si>
  <si>
    <t>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t>
  </si>
  <si>
    <t>"As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t>
  </si>
  <si>
    <t>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t>
  </si>
  <si>
    <t>via Elsevier’s Article Transfer Service (ATS)</t>
  </si>
  <si>
    <t>"The Transfer Desk is our manuscript transfer service, which provides you with a convenient way of resubmitting your manuscript to a more suitable journal…."</t>
  </si>
  <si>
    <t>"...Authors should be aware that the reviewers’ comments are transferred to the editor of the receiving journal together with the manuscript files. On submission to the new journal, the manuscript will then be assessed by an editor as to whether further peer review will be necessary."</t>
  </si>
  <si>
    <t>"...For manuscripts that have been peer reviewed, the reviews, reviewer identities, and ACS editor’s decision letter will also be provided to the next journal."</t>
  </si>
  <si>
    <t>The publication of the manuscript as a preprint, as well as public comments or coverage about that preprint, will be considered in the evaluation of the manuscript's impact.</t>
  </si>
  <si>
    <t>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t>
  </si>
  <si>
    <t>When a paper is to be rejected from one Royal Society of Chemistry journal, then we would offer the author(s) the option to transfer the paper to one of our other journals for consideration, when this is appropriate.</t>
  </si>
  <si>
    <t>In case a manuscript is transferred between Nature journals, all referee names along with their comments are transferred.</t>
  </si>
  <si>
    <t>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</si>
  <si>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t>
  </si>
  <si>
    <t>If a manuscript submitted to Physical Review B is on a topic not within its purview, but may be suitable for another Physical Review journal, the editors may transfer the paper to the appropriate journal and inform the author(s) of that transfer.</t>
  </si>
  <si>
    <t>If a manuscript submitted to Physical Review D is on a topic not within its purview, but may be suitable for another Physical Review journal, the editors may transfer the paper to the appropriate journal and inform the author(s) of that transfer.</t>
  </si>
  <si>
    <t>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t>
  </si>
  <si>
    <t>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</si>
  <si>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t>
  </si>
  <si>
    <t>1756-1833</t>
  </si>
  <si>
    <t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t>
  </si>
  <si>
    <t>(1)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t>
  </si>
  <si>
    <t>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</si>
  <si>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</si>
  <si>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</si>
  <si>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Internal: "If your paper is rejected by The Lancet, we might judge it suitable to pass to other editors in the Lancet-group for consideration or to editors of other relevant journals within Elsevier’s portfolio"</t>
  </si>
  <si>
    <t>If your paper is rejected by The Lancet Neurology, we might judge it suitable to pass to other editors in the Lancet-group for consideration or to editors of other relevant journals within Elsevier’s portfolio</t>
  </si>
  <si>
    <t>If your paper is rejected by The Lancet Oncology, we might judge it suitable to pass it on to other editors in the Lancet-group for consideration, or to editors of other relevant journals within Elsevier's portfolio</t>
  </si>
  <si>
    <t>http://examplejournal.com/peerreviewtransfer</t>
  </si>
  <si>
    <t>No form available; questions outlined at https://www.bmj.com/about-bmj/resources-reviewers for academic reviewers and https://www.bmj.com/about-bmj/resources-reviewers/guidance-patient-reviewers for public/patient reviewers</t>
  </si>
  <si>
    <t>Mandatory; Free to read (not paywalled)</t>
  </si>
  <si>
    <t>Mandatory; Have date; Free to read (not paywalled)</t>
  </si>
  <si>
    <t>Mandatory</t>
  </si>
  <si>
    <t>Conditional - only if published</t>
  </si>
  <si>
    <t>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t>
  </si>
  <si>
    <t>No policy found</t>
  </si>
  <si>
    <t>https://www.cell.com/cancer-cell/articletransfer</t>
  </si>
  <si>
    <t>http://aacrjournals.org/content/authors/manuscript-transfer</t>
  </si>
  <si>
    <t>“BMJ fully supports and encourages the archiving of preprints in any recognised, not-for-profit, preprint server, such as arXiv, bioRxiv or medRxiv.”</t>
  </si>
  <si>
    <t>https://www.cell.com/cell/articletransfer</t>
  </si>
  <si>
    <t>BMJ places no restrictions on the licence chosen when posting a preprint version of work (eg authors may choose CC BY or CC BY NC), but authors must retain copyright of their work when posting to a preprint server.</t>
  </si>
  <si>
    <t>Notes on subsections: (1) Type of peer review: not specifically listed as single blind online but advice in instructions for patient reviewers includes disclosing COI if they know the author therefore assume author name is shared: https://www.bmj.com/about-bmj/resources-reviewers/guidance-patient-reviewers; (2) Preprints general policy on https://www.bmj.com/about-bmj/publishing-model says they won’t publish work that is already available and substantially similar (redundancy): “The BMJ does not want to publish material that has already appeared in full elsewhere…. Before submitting material for publication authors often ask colleagues and peers for comments on the completed work. These unpublished articles are known as preprints. And, increasingly, authors are conducting this informal peer review using electronic preprints (eprints), often by posting the articles on websites and repositories. In all these cases we expect authors to tell us about previous publication and to supply us with copies of such previous versions. Then we can assess whether publication in The BMJwill add usefully to the medical literature, or whether it will just add redundant material.” // For versions accepted, they encourage posting of VOR but not AAM: “BMJ does not recommend that Author Accepted Manuscripts are placed on preprint servers. BMJ produces the Version of Record very quickly after manuscripts are accepted and so we encourage authors to post or link to the VOR, where appropriate. This helps to ensure the validity and integrity of the scientific record as readers are alerted to further versions, corrections, or retractions through technology contained in the Version of Record.” // No policy found about citing preprints, but example found that included citation in-text and reference list: https://doi.org/10.1136/bmj.k2357; General field notes: conflicting information between policies from BMJ as an umbrella (peer review reports not published unless BMJ Open or BMJ Open Science — https://authors.bmj.com/policies/peer-review-terms-and-conditions/#our%20use%20of%20your%20review) and The BMJ itself (open peer review — https://www.bmj.com/about-bmj/resources-reviewers). Good example of a dedicated tab for pre-publication history, with all manuscript versions shared, editorial responses including full signed reviews and author responses, plus splash page includes general open peer review policy for readers to see.</t>
  </si>
  <si>
    <t>https://www.cell.com/cell-metabolism/articletransfer</t>
  </si>
  <si>
    <t>https://www.cell.com/cell-stem-cell/articletransfer</t>
  </si>
  <si>
    <t>http://www.rsc.org/journals-books-databases/journal-authors-reviewers/processes-policies/#transfers</t>
  </si>
  <si>
    <t>Regarding OPR policies - I would say they should be listed as conditional rather than mandatory - given that (1) it says this is "usually" the case, (2) enhanced publication of PR process is not for all article types - this is the relevant text "The BMJ has fully open peer review for all articles that undergo review. In addition, accepted research and analysis papers will usually have their prepublication history posted alongside them on bmj.com. This prepublication history generally comprises all previous versions of the manuscript, the study protocol (mandatory for all clinical trials and encouraged for all other studies at The BMJ), the report from the manuscript committee meeting, the reviewers’ comments, and the authors’ responses to all the comments from reviewers and editors (read more in this editorial)." AND "Please note that if the article is not published you may refer to The BMJ and the fact that you have reviewed an article for it. However, you may not post any details of the article which was reviewed, or any part of the review that would breach the confidentiality under which the article was provided to you for review."</t>
  </si>
  <si>
    <t>- ["The BMJ's peer reviewers do not have to fill in standard appraisal forms. "]</t>
  </si>
  <si>
    <t>Conditional; Free to read (not paywalled)</t>
  </si>
  <si>
    <t>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t>
  </si>
  <si>
    <t>https://www.econometricsociety.org/publications/econometrica/information-authors/editorial-procedures-and-policies#sharing</t>
  </si>
  <si>
    <t>https://www.rsc.org/journals-books-databases/journal-authors-reviewers/processes-policies/#transfers</t>
  </si>
  <si>
    <t>https://pubs.acs.org/paragonplus/submission/esthag/esthag_authguide.pdf</t>
  </si>
  <si>
    <t>https://academic.oup.com/eurheartj/pages/Manuscript_Sharing</t>
  </si>
  <si>
    <t>https://www.journals.elsevier.com/government-information-quarterly/announcements</t>
  </si>
  <si>
    <t>https://gut.bmj.com/pages/authors/#manuscript_transfer</t>
  </si>
  <si>
    <t>https://www.cell.com/immunity/authors
https://www.cell.com/immunity/articletransfer</t>
  </si>
  <si>
    <t>https://www.elsevier.com/authors/journal-authors/submit-your-paper/submit-and-revise/article-transfer-service</t>
  </si>
  <si>
    <t>1535-6108</t>
  </si>
  <si>
    <t>https://publishingsupport.iopscience.iop.org/questions/article-transfer-service/</t>
  </si>
  <si>
    <t>Peer review activity but not full reviews may be posted to Publons according to entry at Publons — https://publons.com/journal/573/cancer-cell</t>
  </si>
  <si>
    <t>“In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t>
  </si>
  <si>
    <t>https://www.cell.com/cancer-cell/authors</t>
  </si>
  <si>
    <t>https://www.springer.com/us/authors-editors/journal-author/the-springer-transfer-desk</t>
  </si>
  <si>
    <t>“We will consider papers previously posted on preprint servers like arXiv, bioRxiv, BioRN, ChemRxiv, or ChemRN."</t>
  </si>
  <si>
    <t>"we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</si>
  <si>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Unpublished data, submitted manuscripts, abstracts, and personal communications should be cited within the text only and not included in the References list. Personal communication should be documented by a letter of permission. Submitted articles should be cited as unpublished data, data not shown, or personal communication.” https://www.cell.com/cancer-cell/authors but example found with bioRxiv reference as normal citation: https://doi.org/10.1016/j.ccell.2018.07.001</t>
  </si>
  <si>
    <t>OPR options are listed as "not specified" as no information is given, but the answer is known to be No</t>
  </si>
  <si>
    <t>https://www.nature.com/authors/author_resources/transfer_manuscripts.html</t>
  </si>
  <si>
    <t>0099-7013</t>
  </si>
  <si>
    <t>http://aacrjournals.org/content/authors/editorial-policies</t>
  </si>
  <si>
    <t>“Posting of manuscripts on institutional websites or on recognized community preprint servers, such as bioRxiv, is permitted under our publication policy.”</t>
  </si>
  <si>
    <t>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t>
  </si>
  <si>
    <t>Peer review: form mentioned but not linked at https://can.msubmit.net/cgi-bin/main.plex?form_type=display_rev_instructions; other URLs: http://aacrjournals.org/content/authors/editorial-policies, http://aacrjournals.org/site/Info/Reviewers.xhtml</t>
  </si>
  <si>
    <t>No changes - not much information is given by this journal</t>
  </si>
  <si>
    <t>1097-4172</t>
  </si>
  <si>
    <t>Health &amp; Medical Sciences, Life Sciences &amp; Earth Sciences</t>
  </si>
  <si>
    <t>https://www.cell.com/neuron/authors</t>
  </si>
  <si>
    <t>Peer review activity but not full reviews may be posted to Publons according to entry at Publons — https://publons.com/journal/270/cell</t>
  </si>
  <si>
    <t>http://www.aappublications.org/content/pediatrics-author-guidelines</t>
  </si>
  <si>
    <t>https://www.cell.com/cell/authors</t>
  </si>
  <si>
    <t>https://journals.aps.org/prb/authors/editorial-policies-practices#guide</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</si>
  <si>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t>
  </si>
  <si>
    <t>https://journals.aps.org/prd/authors/editorial-policies-practices#sub</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</si>
  <si>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https://www.cell.com/cell/authors; example found with bioRxiv cited in reference listed https://doi.org/10.1016/j.cell.2018.11.022</t>
  </si>
  <si>
    <t>Review identity to author to optional, whole quote for coreviewers, who are asked to be identified in comments to editor (so assuming there is no dedicated form), added additional text to preprint media policies</t>
  </si>
  <si>
    <t>Peer review activity but not full reviews may be posted to Publons according to entry at Publons — https://publons.com/journal/270/cell
"Cell Press will not disclose any reviewer’s identity except at the specific reviewer’s request." - https://www.cell.com/reviewers</t>
  </si>
  <si>
    <t>"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</si>
  <si>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https://www.sciencemag.org/authors/science-information-authors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</si>
  <si>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t>
  </si>
  <si>
    <t>1550-4131</t>
  </si>
  <si>
    <t>Life Sciences &amp; Earth Sciences</t>
  </si>
  <si>
    <t>Peer review activity but not full reviews may be posted to Publons according to entry at Publons — https://publons.com/journal/628/cell-metabolism</t>
  </si>
  <si>
    <t>https://www.cell.com/cell-metabolism/authors</t>
  </si>
  <si>
    <t>http://pubs.acs.org/paragonplus/submission/jpclcd/jpclcd_authguide.pdf</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</si>
  <si>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example review found with bioRxiv cited in reference listed at https://doi.org/10.1016/j.cmet.2018.11.016</t>
  </si>
  <si>
    <t>Review identity to author to optional, whole quote for coreviewers, who are asked to be identified in comments to editor (so assuming there is no dedicated form), corrected links in preprint media policy &amp; added additional text</t>
  </si>
  <si>
    <t>Peer review activity but not full reviews may be posted to Publons according to entry at Publons — https://publons.com/journal/628/cell-metabolism
"Cell Press will not disclose any reviewer’s identity except at the specific reviewer’s request." - https://www.cell.com/reviewers</t>
  </si>
  <si>
    <t>OPR</t>
  </si>
  <si>
    <t>Peer review reports - published?, attributes
(An example of "Conditional" publication: reviews are published unless the reviewer recommends rejection or withdraws.)</t>
  </si>
  <si>
    <t>Mandatory, Conditional, Optional, No, Not specified
Attributes: Have date, Have DOI, Free to read (not paywalled), Under a Creative Commons License, Deposited into PubMed Central</t>
  </si>
  <si>
    <t>Mandatory, Have date, deposited into Pubmed Central</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</si>
  <si>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t>
  </si>
  <si>
    <t>1934-5909</t>
  </si>
  <si>
    <t>Peer review activity but not full reviews may be posted to Publons according to entry at Publons — https://publons.com/journal/586/cell-stem-cell</t>
  </si>
  <si>
    <t>https://www.cell.com/cell-stem-cell/authors</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</si>
  <si>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no recently published article found with bioRxiv cited in reference list.</t>
  </si>
  <si>
    <t>Optional, Have date</t>
  </si>
  <si>
    <t>Peer review activity but not full reviews may be posted to Publons according to entry at Publons — https://publons.com/journal/586/cell-stem-cell
"Cell Press will not disclose any reviewer’s identity except at the specific reviewer’s request." - https://www.cell.com/reviewers</t>
  </si>
  <si>
    <t>not specified</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</si>
  <si>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t>
  </si>
  <si>
    <t>0144-557X</t>
  </si>
  <si>
    <t>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</si>
  <si>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http://www.rsc.org/journals-books-databases/journal-authors-reviewers/processes-policies/#prior-publication</t>
  </si>
  <si>
    <t>“Authors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</si>
  <si>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Peer review: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</si>
  <si>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1520-6890</t>
  </si>
  <si>
    <t>Optional - at request of referee</t>
  </si>
  <si>
    <t>https://pubs.acs.org/page/chreay/submission/prior.html</t>
  </si>
  <si>
    <t>Other</t>
  </si>
  <si>
    <t>Preprints: not supported? " When submitting a manuscript, an author should inform the editor of any prior dissemination of the content in print or electronic format. This includes electronic posting of conference presentations, posters, and preprints on institutional repositories and other Web sites. Any content that has been made publicly available, either in print or electronic format, and that contains a significant amount of new information, if made part of a submitted manuscript, may jeopardize the originality of the submission and may preclude consideration for publication.”; Citation guidelines in author guide: "No references to unpublished results are allowed” — https://pubs.acs.org/paragonplus/submission/chreay/chreay_authguide.pdf;</t>
  </si>
  <si>
    <t xml:space="preserve">Seems preprints are not prohibited, but very discouraged? Very little info on peer review procedures. </t>
  </si>
  <si>
    <t>1460-4744</t>
  </si>
  <si>
    <t>Additional OPR information
Add any notes here about the nature of "conditional" publishing, etc</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</si>
  <si>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</si>
  <si>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The manuscript (or its existence) should not be shown to, disclosed to, or discussed with others, except in special cases, where specific scientific advice may be sought; in that event the editor must be informed and the identities of those consulted disclosed.</t>
  </si>
  <si>
    <t>https://www.rsc.org/journals-books-databases/journal-authors-reviewers/reviewer-responsibilities/#ethical-responsibilities</t>
  </si>
  <si>
    <t>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t>
  </si>
  <si>
    <t>The journal European Urology is not very specific with respect to the details of its peer review process.</t>
  </si>
  <si>
    <t>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t>
  </si>
  <si>
    <t>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t>
  </si>
  <si>
    <t>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t>
  </si>
  <si>
    <t>Not open interaction for reviewers, but for editors: "Once 2 reviews have been completed, the submission is reviewed by all JACC associate editors in a weekly meeting. The group then comes to [a decision]" http://www.onlinejacc.org/content/73/14/A18</t>
  </si>
  <si>
    <t>"The reviewing process will be double blind at the level of reviewers and area chairs (i.e., reviewers and area chairs cannot see author identities) but not at the level of senior area chairs and program chairs."</t>
  </si>
  <si>
    <t>The review process is conducted anonymously for all submissions, except NAS members’ own contributions where the reviewers are known to the member author and their names are published. - https://www.pnas.org/page/authors/reviewers</t>
  </si>
  <si>
    <t>Science employs a cross-review policy, so once all reviews are in, they are circulated among all other reviewers of a given paper</t>
  </si>
  <si>
    <t>All reviewers active in a single year are are listed online: https://community.cochrane.org/editorial-and-publishing-policy-resource/cochrane-review-management/cochrane-peer-review-policy</t>
  </si>
  <si>
    <t>"If the reviewer wishes to disclose his/her identity to
 the manuscript authors, the editor should be consulted, and the decision to disclose such
 information to authors is the sole discretion of the editor."</t>
  </si>
  <si>
    <t>Not included in Wiley's transparent peer review trial (https://authorservices.wiley.com/Reviewers/journal-reviewers/what-is-peer-review/index.html)</t>
  </si>
  <si>
    <t>Co-review</t>
  </si>
  <si>
    <t>Co-reviewer policy
Co-reviewers are people whom a peer reviewer invites to help them write a peer review. Often these are junior scholars in the same lab/group as the peer reviewer.</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</si>
  <si>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</si>
  <si>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1520-5002</t>
  </si>
  <si>
    <t>Chemical &amp; Materials Sciences,
Engineering &amp; Computer Science</t>
  </si>
  <si>
    <t>"Peer reviewers are required to maintain confidentiality about the manuscripts they review and must not divulge any information about a specific manuscript or its content to any third party without prior permission from the journal editors."</t>
  </si>
  <si>
    <t>Peer reviewers are required to maintain confidentiality about the manuscripts they review and must not divulge any information about a specific manuscript or its content to any third party without prior permission from the journal editors.</t>
  </si>
  <si>
    <t>"Please note also that if you agree to review this manuscript, the manuscript and its' contents must be kept confidential.  If you wish to have another expert co-review the manuscript with you, you must first obtain permission from the journal office."</t>
  </si>
  <si>
    <t>"Manuscripts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t>
  </si>
  <si>
    <t>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t>
  </si>
  <si>
    <t>All reviewers are expected to uphold AGU’s ethical guidelines and to disclose any conflicts of interest to the editors. Reviewers are expected to keep manuscripts confidential.</t>
  </si>
  <si>
    <t>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</si>
  <si>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t>
  </si>
  <si>
    <t>You should not show the paper to anyone else, including colleagues or students, unless you have asked them to write a review, or to help with your review.</t>
  </si>
  <si>
    <t>Papers sent to you for review are confidential. However, requesting the opinion of a single colleague may be appropriate in some circumstances. Please consult your associate editor if you’d like to the input of outside help for the review.</t>
  </si>
  <si>
    <t>We also ask that you do not discuss the papers you have reviewed with colleagues unless they have been published.</t>
  </si>
  <si>
    <t>"Can I have a student co-review with me? Yes, if you are a professor who is mentoring a graduate student, you may co-review the paper with them. Please be sure to contact the handling editor and indicate upon submitting your review that it was completed with a co-reviewer."</t>
  </si>
  <si>
    <t>"Since peer review is confidential, you also must not share information about the review with anyone without permission from the editors and authors."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</si>
  <si>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</si>
  <si>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t>
  </si>
  <si>
    <t>"Ask a senior colleague, with experience of reviewing, whether you could work with them on a review. " This was part of the general T&amp;F site.</t>
  </si>
  <si>
    <t>https://pubs.acs.org/page/cmatex/submission/prior.html</t>
  </si>
  <si>
    <t>"Manuscript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t>
  </si>
  <si>
    <t>"Treat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</si>
  <si>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</si>
  <si>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</si>
  <si>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It is acceptable to consult with laboratory colleagues, but please identify them to the editors.</t>
  </si>
  <si>
    <t>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</si>
  <si>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t>
  </si>
  <si>
    <t>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t>
  </si>
  <si>
    <t>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t>
  </si>
  <si>
    <t>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t>
  </si>
  <si>
    <t>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t>
  </si>
  <si>
    <t>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</si>
  <si>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t>
  </si>
  <si>
    <t xml:space="preserve"> Please do not share the manuscript with any colleagues without the explicit permission of the editor. </t>
  </si>
  <si>
    <t xml:space="preserve"> It is acceptable to consult with laboratory colleagues, but we ask that they are identified to the Editorial Board Member. </t>
  </si>
  <si>
    <t>“Chemistry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t>
  </si>
  <si>
    <t>The peer-review process rests on the assumption that an assigned reviewer will treat all manuscripts as privileged information. A reviewer may request advice from another party, subject to the general principle of confidentiality and notification of the JCI.</t>
  </si>
  <si>
    <t>Some info general to ACS journals, copied from Chemical Reviews. Preprints: only allowed for specified or permitted servers, version unclear; other URL (no additional info): https://pubs.acs.org/paragonplus/submission/cmatex/cmatex_authguide.pdf; https://pubs.acs.org/page/cmatex/submission/reviewers.html</t>
  </si>
  <si>
    <t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t>
  </si>
  <si>
    <t>http://examplejournal.com/coreviewers</t>
  </si>
  <si>
    <t>0009-7322</t>
  </si>
  <si>
    <t>https://www.ahajournals.org/prior-publication-policy</t>
  </si>
  <si>
    <t>“Posting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t>
  </si>
  <si>
    <t>Not specific to preprints: "Direct release of information through press releases or media briefings may preclude publication”</t>
  </si>
  <si>
    <t>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t>
  </si>
  <si>
    <t>Can't find "single blind" but seems usual for this field</t>
  </si>
  <si>
    <t>Peer reviewers are required to maintain confidentiality about the manuscripts they
review and must not divulge any information about a specific manuscript or its content
to any third party without prior permission from the journal editors.</t>
  </si>
  <si>
    <t>1524-4571</t>
  </si>
  <si>
    <t>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t>
  </si>
  <si>
    <t>https://ccr.msubmit.net/cgi-bin/main.plex?form_type=display_rev_instructions</t>
  </si>
  <si>
    <t>1557-3265</t>
  </si>
  <si>
    <t>http://cvpr2019.thecvf.com/submission/main_conference/reviewer_guidelines</t>
  </si>
  <si>
    <t>http://iccv2019.thecvf.com/submission/main_conference/reviewer_guidelines</t>
  </si>
  <si>
    <t>Peer review: form mentioned but not linked at https://ccr.msubmit.net/cgi-bin/main.plex?form_type=display_rev_instructions; other URLs: http://aacrjournals.org/content/authors/editorial-policies, http://aacrjournals.org/site/Info/Reviewers.xhtml</t>
  </si>
  <si>
    <t>https://signalprocessingsociety.org/publications-resources/publications-faq</t>
  </si>
  <si>
    <t>15 mins</t>
  </si>
  <si>
    <t>Added notes about co-reviewer policy</t>
  </si>
  <si>
    <t>https://publishingsupport.iopscience.iop.org/questions/ethics-for-reviewers/</t>
  </si>
  <si>
    <t>https://www.apa.org/pubs/journals/reviewer-instructions.pdf</t>
  </si>
  <si>
    <t>0360-1315</t>
  </si>
  <si>
    <t>https://us.sagepub.com/en-us/nam/how-to-review-articles</t>
  </si>
  <si>
    <t>https://www.nature.com/nature/for-referees/policies-and-processes</t>
  </si>
  <si>
    <t>https://www.nature.com/nbt/for-referees/policies-and-processes</t>
  </si>
  <si>
    <t>“Authors can share their preprint anywhere at any time.”</t>
  </si>
  <si>
    <t>Not specified for preprint version; “In all cases accepted manuscripts should… bear a CC-BY-NC-ND license"</t>
  </si>
  <si>
    <t>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t>
  </si>
  <si>
    <t>https://www.nature.com/ncb/for-referees/policies-and-processes</t>
  </si>
  <si>
    <t>https://www.nature.com/nchem/for-referees/policies-and-processes</t>
  </si>
  <si>
    <t>https://www.nature.com/nclimate/for-referees/policies-and-processes</t>
  </si>
  <si>
    <t>https://www.nature.com/ng/for-referees/policies-and-processes</t>
  </si>
  <si>
    <t>Couldn't find info specific to this journal</t>
  </si>
  <si>
    <t>https://www.nature.com/ni/for-referees/policies-and-processes</t>
  </si>
  <si>
    <t>Added additional preprint policy URL and peer review URL</t>
  </si>
  <si>
    <t>https://www.nature.com/nmat/for-referees/policies-and-processes</t>
  </si>
  <si>
    <t>https://www.nature.com/nm/for-referees/policies-and-processes</t>
  </si>
  <si>
    <t>https://www.nature.com/nmeth/for-referees/policies-and-processes</t>
  </si>
  <si>
    <t>https://www.nature.com/nnano/for-referees/policies-and-processes</t>
  </si>
  <si>
    <t>https://www.nature.com/neuro/for-referees/policies-and-processes</t>
  </si>
  <si>
    <t>“Authors can share their preprint anywhere at any time, in line with Elsevier's sharing policy..”, From sharing policy: "Authors can update their preprints on arXiv or RePEc with their accepted manuscript ." https://www.elsevier.com/about/policies/sharing</t>
  </si>
  <si>
    <t>https://www.nature.com/nphoton/for-referees/policies-and-processes</t>
  </si>
  <si>
    <t>1935-5548</t>
  </si>
  <si>
    <t>https://www.nature.com/nphys/for-referees/policies-and-processes</t>
  </si>
  <si>
    <t>http://www.diabetesjournals.org/content/journal-policies#originality</t>
  </si>
  <si>
    <t>“ADA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t>
  </si>
  <si>
    <t>"If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t>
  </si>
  <si>
    <t>No (without permission)</t>
  </si>
  <si>
    <t>10 mins</t>
  </si>
  <si>
    <t>https://authorservices.wiley.com/Reviewers/journal-reviewers/how-to-perform-a-peer-review/general-and-ethical-guidelines.html</t>
  </si>
  <si>
    <t>https://journals.aps.org/prb/authors/editorial-policies-practices#anonymity</t>
  </si>
  <si>
    <t>2167-082X</t>
  </si>
  <si>
    <t>https://www.tandfonline.com/action/journalInformation?show=aimsScope&amp;journalCode=rdij20</t>
  </si>
  <si>
    <t>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t>
  </si>
  <si>
    <t>https://www.tandfonline.com/action/authorSubmission?journalCode=rdij20&amp;page=instructions</t>
  </si>
  <si>
    <t>No (double-blind peer review)</t>
  </si>
  <si>
    <t>https://journals.plos.org/plosone/s/reviewer-guidelines</t>
  </si>
  <si>
    <t>Added additional peer review URL. Also added "No" for reviewer names revealed as they perform double-blind peer review so I assume the answer is "no" (though it doesn't explicitely state this)</t>
  </si>
  <si>
    <t>https://journals.aps.org/rmp/info/procedures.html</t>
  </si>
  <si>
    <t>1468-0262</t>
  </si>
  <si>
    <t>https://www.sciencemag.org/authors/peer-review-science-publications</t>
  </si>
  <si>
    <t>https://stm.sciencemag.org/content/information-reviewers</t>
  </si>
  <si>
    <t>https://www.nature.com/srep/journal-policies/referees#confidentiality</t>
  </si>
  <si>
    <t>https://www.econometricsociety.org/publications/econometrica/information-authors/editorial-procedures-and-policies</t>
  </si>
  <si>
    <t>Reviewer invitation email specifies that co-reviewers can contribute?</t>
  </si>
  <si>
    <t>https://www.econometricsociety.org/publications/econometrica/information-authors/editorial-procedures-and-policies#priorpublication</t>
  </si>
  <si>
    <t>Very little information available about Econometrica specifically. Preprints: in prior publication policy: "If the author has submitted elsewhere work that is related to or includes some parts of the paper, or does so during the term in which Econometrica is considering the manuscript, then it is the author’s responsibility to provide Econometrica with details…. authors must note all cases of publication other than in working paper series or on personal or university websites.”, no information on citation of preprints in manuscript preparation guidelines: https://www.econometricsociety.org/publications/econometrica/information-authors/instructions-preparing-articles-publication; Wiley has pages on peer review recognition, etc but not clear if this is applicable to Econometrica: https://authorservices.wiley.com/Reviewers/journal-reviewers/recognition-for-reviewers/index.html; Wiley offers service to check the review model for a journal — for Econometrica, it says “consult with editor”.</t>
  </si>
  <si>
    <t>Use https://www.econometricsociety.org/publications/econometrica/information-authors/editorial-procedures-and-policies#reviewprocess for peer review policy url</t>
  </si>
  <si>
    <t>Added note about prior publication in preprint policy</t>
  </si>
  <si>
    <t>Unsue</t>
  </si>
  <si>
    <t>Other (references prior publication, but not preprints specifically; "in any case this will be decided on a case-by-case basis")</t>
  </si>
  <si>
    <t>preprint-policy</t>
  </si>
  <si>
    <t>1754-5706</t>
  </si>
  <si>
    <t>Preprint policy</t>
  </si>
  <si>
    <t>http://www.rsc.org/journals-books-databases/journal-authors-reviewers/processes-policies/#submissions</t>
  </si>
  <si>
    <t>http://www.rsc.org/journals-books-databases/journal-authors-reviewers/licences-copyright-permissions/</t>
  </si>
  <si>
    <t>Version of record after a 12-month embargo period</t>
  </si>
  <si>
    <t>Institutional and other not-for-profit repositories</t>
  </si>
  <si>
    <t>Energy &amp; Environmental Science offers rather comprehensive, easily accessible information on its peer review process and pre-print policies (which are rather restrictive). The peer review process is not completely clear, however. It can only be characterized as single blinded with certainty.</t>
  </si>
  <si>
    <t>50 mins</t>
  </si>
  <si>
    <t>Suggest for transfer policy: https://www.rsc.org/journals-books-databases/journal-authors-reviewers/processes-policies/#transfers</t>
  </si>
  <si>
    <t>Definitely appears single blind</t>
  </si>
  <si>
    <t>Changed preprint policy link page (previous entries focused on VOR)</t>
  </si>
  <si>
    <t>https://www.rsc.org/journals-books-databases/journal-authors-reviewers/processes-policies/#prior-publication</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</si>
  <si>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</si>
  <si>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0013-936X</t>
  </si>
  <si>
    <t>https://pubs.acs.org/page/esthag/submission/prior.html</t>
  </si>
  <si>
    <t>Before submission/First submission only (before peer review)</t>
  </si>
  <si>
    <t>Personal Website/Non-commercial Websites</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</si>
  <si>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t>
  </si>
  <si>
    <t>Environmental Science &amp; Technology is published by ACS but provides detailed information on journal-specific policies. However, the website does not offer comprehensive information on the peer reviwe process. Manuscripts are sent out for review, but the modalities of the process are unclear (whether blinded or not, etc.). No guidelines for reviewers could be found on the website to resolve these issues, either.</t>
  </si>
  <si>
    <t>Preprint info: 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 Failure to alert ES&amp;T in your cover letter to any prior publication of your submission may be viewed as an ethical violation. Upon publication in ES&amp;T, authors are advised to add a link from the pre-print to the published paper via the Digital Object Identifier.</t>
  </si>
  <si>
    <t>Rearranged preprint info to fit fields; added source for preprint citation policy</t>
  </si>
  <si>
    <t>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</si>
  <si>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t>
  </si>
  <si>
    <t>1522-9645</t>
  </si>
  <si>
    <t>https://academic.oup.com/journals/pages/access_purchase/rights_and_permissions/self_archiving_policy_b</t>
  </si>
  <si>
    <t>Author's Original Version, Accepted Manuscript (personal or non-commercial institutional website only, provided the manuscript is not made publicly available until after the embargo period); after the embargo period accepted manuscripts may be uploaded to author's institutional/non-commercial repositories and may not be uploaded to commercial repositories unless these have a licensing agreement with OUP</t>
  </si>
  <si>
    <t>non-commercial/institutional repositories and personal websites are eligible, plus commercial repositories that signed an OUP licensing agreement</t>
  </si>
  <si>
    <t>The European Heart Journal is not very specific when it comes to detailing the peer review process. Since it is published by OUP, at least the pre-print policies are made explicit in hyperlinked documents.</t>
  </si>
  <si>
    <t>Transfer policy link: https://academic.oup.com/eurheartj/pages/General_Instructions#4.1</t>
  </si>
  <si>
    <t>Changed preprint policy to first submission only, citation policy to unsure</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</si>
  <si>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</si>
  <si>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Unsure - https://academic.oup.com/eurheartj/pages/General_Instructions#2.4</t>
  </si>
  <si>
    <t>0302-2838</t>
  </si>
  <si>
    <t>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t>
  </si>
  <si>
    <t>0016-5085</t>
  </si>
  <si>
    <t>After peer review; accepted manuscripts will be indexed on PubMed soon after acceptance. Within three to five business days, they will be uploaded to Gastroenterology online (http://www.gastrojournal.org/) under "Articles in Press" for preprint viewing by subscribers. Once authors have had the opportunity to review proofs of their manuscripts, these author-corrected proofs will replace the uncorrected proofs, followed by the final articles on PubMed.</t>
  </si>
  <si>
    <t>There is a press embargo for all studies published in Gastroenterology until they are posted online in our Articles in Press section. Please forward your acceptance email to your institution press officer for promotional consideration. We ask that your PR contacts share promotion plans and/or address any questions to media@gastro.org. Please see our embargo policy athttp://www.gastrojournal.org/content/embargo for more details.</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</si>
  <si>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t>
  </si>
  <si>
    <t>preprint-version: (This is a different use of the term preprint, what we would call postprint. I'd replace this with "No preprint policy" because of sentences like this: "The publication of abstracts or posters is not considered duplicate publication but should be disclosed in the cover letter accompanying the manuscript submission." )</t>
  </si>
  <si>
    <t>https://uk.sagepub.com/en-gb/eur/prior-publication</t>
  </si>
  <si>
    <t>https://publications.agu.org/author-resource-center/publication-policies/dual-publication-policy/</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</si>
  <si>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t>
  </si>
  <si>
    <t>1552-3977</t>
  </si>
  <si>
    <t>The journal does not employ a specific co-reviewing policy</t>
  </si>
  <si>
    <t>Servers should enable green open access (minimum)</t>
  </si>
  <si>
    <t>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t>
  </si>
  <si>
    <t>CC-BY-NC</t>
  </si>
  <si>
    <t>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t>
  </si>
  <si>
    <t>I can't find where the CC BY-NC preprint licensing policy is? Suggest removing if there is no link</t>
  </si>
  <si>
    <t>https://pspb.ieee.org/images/files/files/opsmanual.pdf</t>
  </si>
  <si>
    <t>http://cvpr2019.thecvf.com/submission/main_conference/author_guidelines</t>
  </si>
  <si>
    <t>http://iccv2019.thecvf.com/submission/main_conference/author_guidelines</t>
  </si>
  <si>
    <t>1944-8007</t>
  </si>
  <si>
    <t>https://ieeeauthorcenter.ieee.org/publishing-ethics/guidelines-and-policies/policy-posting-your-article/</t>
  </si>
  <si>
    <t>After peer review</t>
  </si>
  <si>
    <t>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t>
  </si>
  <si>
    <t>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t>
  </si>
  <si>
    <t>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t>
  </si>
  <si>
    <t>https://www.cell.com/immunity/authors</t>
  </si>
  <si>
    <t>https://www.elsevier.com/journals/international-journal-of-production-economics/0925-5273/guide-for-authors</t>
  </si>
  <si>
    <t>https://jamanetwork.com/journals/jama/pages/instructions-for-authors#SecPreviousorPlannedPresentationorReleaseofInformation</t>
  </si>
  <si>
    <t>0959-3780</t>
  </si>
  <si>
    <t>http://ascopubs.org/jco/site/ifc/journal-policies.xhtml</t>
  </si>
  <si>
    <t>https://academic.oup.com/journals/pages/access_purchase/rights_and_permissions/self_archiving_policy_f</t>
  </si>
  <si>
    <t>https://jcap.sissa.it/jcap/help/helpLoader.jsp?pgType=flow</t>
  </si>
  <si>
    <t>https://www.apa.org/pubs/journals/resources/open-science.aspx</t>
  </si>
  <si>
    <t>https://www.elsevier.com/journals/journal-of-financial-economics/0304-405x/guide-for-authors, https://www.elsevier.com/about/policies/sharing</t>
  </si>
  <si>
    <t>https://publications.agu.org/author-resource-center/usage-permissions/, https://publications.agu.org/author-resource-center/publication-policies/dual-publication-policy/prior-publication-and-posting-primer/, https://publications.agu.org/author-resource-center/publication-policies/dual-publication-policy/</t>
  </si>
  <si>
    <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t>
  </si>
  <si>
    <t>GEC is an Elsevier journal, but provides hardly any links to Elsevier's "usual" policies concerning peer review and pre-prints. The peer-review process is described in some detail, though.</t>
  </si>
  <si>
    <t>https://jhep.sissa.it/jhep/help/helpLoader.jsp?pgType=author#arXiv</t>
  </si>
  <si>
    <t>Changed nos to not specified, changed preprint policy to more appropriate link, changed preprint version, and license</t>
  </si>
  <si>
    <t>https://www.elsevier.com/about/policies/copyright/permissions, https://www.elsevier.com/about/policies/sharing</t>
  </si>
  <si>
    <t>https://www.elsevier.com/about/policies/copyright/permissions</t>
  </si>
  <si>
    <t>https://uk.sagepub.com/en-gb/eur/journal-author-archiving-policies-and-re-use</t>
  </si>
  <si>
    <t>https://academic.oup.com/journals/pages/access_purchase/rights_and_permissions/author_self_archiving_policy
https://academic.oup.com/mnras/pages/General_Instructions#3.5%20Updating%20of%20records%20on%20arXiv</t>
  </si>
  <si>
    <t>https://pubs.acs.org/page/nalefd/submission/prior.html</t>
  </si>
  <si>
    <t>https://www.nature.com/authors/policies/preprints.html</t>
  </si>
  <si>
    <t>Unsure (preprints are allowed, but it's not clear what version) - accepted version can be posted to arXiv &amp; RePEc</t>
  </si>
  <si>
    <t>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</si>
  <si>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0740-624X</t>
  </si>
  <si>
    <t>https://www.elsevier.com/journals/government-information-quarterly/0740-624x/guide-for-authors#16000</t>
  </si>
  <si>
    <t>Authors can share their preprint anywhere at any time … Authors can update their preprints on arXiv or RePEc with their accepted manuscript</t>
  </si>
  <si>
    <t>No specifictions except "Authors can share their accepted manuscript… by updating a preprint in arXiv or RePEc with the accepted manuscript" But, then must "bear a CC-BY-NC-ND license"</t>
  </si>
  <si>
    <t>Startlingly little information about peer review - only a note that invited papers, just like other submissions, will be subject to double blind review. No other information on peer review policy.</t>
  </si>
  <si>
    <t>35 mins</t>
  </si>
  <si>
    <t>Journal does not appear to provide any information about the peer review process</t>
  </si>
  <si>
    <t>https://authorservices.wiley.com/author-resources/Journal-Authors/open-access/preprints-policy.html</t>
  </si>
  <si>
    <t>Changed peer review policy url; copied reviewer instructions from other Elsevier record</t>
  </si>
  <si>
    <t>https://academic.oup.com/nar/pages/Policies#Prior%20Publication</t>
  </si>
  <si>
    <t>https://journals.plos.org/plosone/s/preprints</t>
  </si>
  <si>
    <t>https://www.pnas.org/page/authors/journal-policies &amp; https://www.pnas.org/content/114/48/12630</t>
  </si>
  <si>
    <t xml:space="preserve">https://us.sagepub.com/en-us/nam/preprintsfaq
https://journals.sagepub.com/pb-assets/Journals-Accepting-PrePrints.pdf
</t>
  </si>
  <si>
    <t>https://academic.oup.com/journals/pages/access_purchase/rights_and_permissions/self_archiving_policy_a</t>
  </si>
  <si>
    <t>https://www.elsevier.com/journals/research-policy/0048-7333/guide-for-authors#20920, https://www.elsevier.com/authors/journal-authors/submit-your-paper/sharing-and-promoting-your-article</t>
  </si>
  <si>
    <t>https://www.mitpressjournals.org/for_authors#authorposting</t>
  </si>
  <si>
    <t>1468-3288</t>
  </si>
  <si>
    <t>http://www.sciencemag.org/authors/science-journals-editorial-policies</t>
  </si>
  <si>
    <t>With the exception of BMJ Open (see below) and BMJ Open Science, journals from BMJ do not publish peer reviews. Depending on a journal’s editorial policy, you may be offered the opportunity to make additional confidential comments to the editor. Unless the reviewer has been offered confidentiality, reviews will usually be passed on in full to authors and other reviewers when an editorial decision is made. Reviews should be civil and constructive and editors reserve the right to edit or remove any comments felt to be inappropriate</t>
  </si>
  <si>
    <t>https://www.nature.com/srep/journal-policies/editorial-policies?draft=journal&amp;target=content#confidentiality</t>
  </si>
  <si>
    <t>Version Of Record</t>
  </si>
  <si>
    <t>BMJ fully supports and encourages the archiving of preprints in any recognised, not-for-profit, preprint server, such as arXiv, bioRxiv or medRxiv.</t>
  </si>
  <si>
    <t>Preprints are preliminary reports of work that have not been peer reviewed. They should therefore not be used to guide clinical practice, health-related behavior or health policy. They should not be reported in the media as established information.</t>
  </si>
  <si>
    <t>Any, but authors must retain copyright of their work when posting to a preprint server. Authors must include a link to the preprint version of their manuscript when submitting to a BMJ journal.</t>
  </si>
  <si>
    <t>The editors of Gut seem to have given the matter of peer review as well as preprints a lot of thought, given the extent to which these issues are treated on the website. The relevant information is also relatively easy to find, most of it is stored in one place.</t>
  </si>
  <si>
    <t>30mins</t>
  </si>
  <si>
    <t>https://www.elsevier.com/journals/social-science-and-medicine/0277-9536/guide-for-authors, https://www.elsevier.com/about/policies/sharing/preprint</t>
  </si>
  <si>
    <t>(describes working paper citations) https://onlinelibrary.wiley.com/page/journal/10970266/homepage/forauthors.html</t>
  </si>
  <si>
    <t>Co-reviewers are specified in https://authors.bmj.com/policies/peer-review-terms-and-conditions/ as such: 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</si>
  <si>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Changed preprint version and license</t>
  </si>
  <si>
    <t>https://www.elsevier.com/journals/teaching-and-teacher-education/0742-051x/guide-for-authors, https://www.elsevier.com/about/policies/sharing/preprint</t>
  </si>
  <si>
    <t>https://onlinelibrary.wiley.com/page/journal/15457249/homepage/forauthors.html</t>
  </si>
  <si>
    <t>http://ideas.cochrane.org/forums/326856-cochrane-style-manual/suggestions/18762079-referencing-preprints</t>
  </si>
  <si>
    <t>https://epjc.epj.org/epjc-faq#preprintservers</t>
  </si>
  <si>
    <t>After peer review (but not final version): "BMJ does not recommend that Author Accepted Manuscripts are placed on preprint servers."</t>
  </si>
  <si>
    <t>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t>
  </si>
  <si>
    <t>1544-5208</t>
  </si>
  <si>
    <t>https://cdn.ymaws.com/www.afajof.org/resource/resmgr/files/Submission_docs/JF_Submission_Guidelines-Feb.pdf</t>
  </si>
  <si>
    <t>https://els-jbs-prod-cdn.literatumonline.com/pb/assets/raw/Lancet/authors/tl-info-for-authors-1541596038107.pdf, https://www.thelancet.com/preprints</t>
  </si>
  <si>
    <t>The wish to include co-reviewers needs to be discussed with the editor(s).</t>
  </si>
  <si>
    <t>https://www.healthaffairs.org/help-for-authors#embargopolicy</t>
  </si>
  <si>
    <t>https://els-jbs-prod-cdn.literatumonline.com/pb/assets/raw/Lancet/authors/tlo-info-for-authors-1553790033677.pdf, https://www.thelancet.com/preprints</t>
  </si>
  <si>
    <t>https://www.nejm.org/about-nejm/editorial-policies</t>
  </si>
  <si>
    <t>Authors are requested not to share their findings with any members of the media when an article is being considered for publication, up until the time that the article is either rejected or published (not simply accepted for publication). If an author's organization is planning a press release or other media strategy, these activities should be coordinated with the Health Affairs staff.</t>
  </si>
  <si>
    <t>All papers are embargoed for release until a specified date. No story may be released to the public until 12:01 a.m. on the embargo date (this means that news stories may be printed, aired, or released electronically in that day's morning editions).</t>
  </si>
  <si>
    <t>Not specified; however, given the embargo period there is no need for scoop protection</t>
  </si>
  <si>
    <t>Health Affairs has little information regarding the peer review process (it seems to be unblinded, and authors are given the option to block/suggest reviewers). The same goes for preprint policies which seem to be non-existent.</t>
  </si>
  <si>
    <t>35mins</t>
  </si>
  <si>
    <t>Suggest form of peer review (i.e. blinded) unknown; suggests may be single-blind</t>
  </si>
  <si>
    <t>Changed to double blind review, removed irrelevant urls for review form &amp; transfer. Reviewers see each others' comments but don't interact, changed preprint  url &amp; policies</t>
  </si>
  <si>
    <t>https://academic.oup.com/journals/pages/access_purchase/rights_and_permissions/self_archiving_policy_f, https://academic.oup.com/rfs/pages/Instructions_To_Authors</t>
  </si>
  <si>
    <t>Unsure (preprints are allowed, but not sure what version)</t>
  </si>
  <si>
    <t>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t>
  </si>
  <si>
    <t>"All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t>
  </si>
  <si>
    <t>1527-3350</t>
  </si>
  <si>
    <t>Double blind (anonymous PR)</t>
  </si>
  <si>
    <t>Preprint</t>
  </si>
  <si>
    <t>http://examplejournal.com/preprint, http://examplejournal.com/mediacoverage</t>
  </si>
  <si>
    <t>Submitted Version</t>
  </si>
  <si>
    <t>Non-commercial such as arXiv/BioArXiv</t>
  </si>
  <si>
    <t>Hepatology offers some information on peer review (anonymous) and preprints (can be uploaded to non-commercial servers. However, like many of the journals reviewed here, the policies do not seem to follow a common rationale (i.e. informing authors about these issues was clearly not a priority).</t>
  </si>
  <si>
    <t>20mins</t>
  </si>
  <si>
    <t>Unsure (says only "The Journal uses anonymous peer review in evaluating manuscripts for publication." - which could mean single- or double-blind)</t>
  </si>
  <si>
    <t>Yes (https://authorservices.wiley.com/Reviewers/journal-reviewers/recognition-for-reviewers/index.html)</t>
  </si>
  <si>
    <t>HEPATOLOGY will consider for review articles previously available as preprints on non-commercial servers such as ArXiv, bioRxiv, etc.</t>
  </si>
  <si>
    <t>Any except for the final published article (IEEE must be listed as copyright holder for classroom use/use in own dissertation)</t>
  </si>
  <si>
    <t>None (preprints are not allowed)</t>
  </si>
  <si>
    <t>First submission only (before peer review) [unless you wait 12 months for the embargo to clear for the accepted version]</t>
  </si>
  <si>
    <t>Unclear</t>
  </si>
  <si>
    <t>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</si>
  <si>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Unsure (preprints are allowed, but it's not clear what version</t>
  </si>
  <si>
    <t>First submission only</t>
  </si>
  <si>
    <t>Any (OA) or After peer review (non-OA)</t>
  </si>
  <si>
    <t>None "All submitted manuscripts must be; (i) original, (ii) unpublished (including any
 online publication), "</t>
  </si>
  <si>
    <t>No preprint policy
None (preprints not allowed)
First submission only (before peer review)
After peer review (but not final, copyedited version)
Any
Unsure (preprints are allowed, but it's not clear what version)
Other</t>
  </si>
  <si>
    <t>0163-6804</t>
  </si>
  <si>
    <t>https://www.comsoc.org/publications/magazines/ieee-communications-magazine/author-guidelines/manuscript-publishing</t>
  </si>
  <si>
    <t>IEEE Communications features surprisingly little information on PRand preprint policies. It is very hard to determine whether e.g. it is allowed to publish a preprint version of a manuscript and if so, which.</t>
  </si>
  <si>
    <t>15mins</t>
  </si>
  <si>
    <t>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t>
  </si>
  <si>
    <t>No clear statement on the PR model for the journal - just a general statement for all IEEE journals "The most common types of peer review are single-blind and double-blind review.... Most IEEE publications use the single-blind review format." https://journals.ieeeauthorcenter.ieee.org/submit-article-for-peer-review/about-the-peer-review-process/; Deep information on preprints was pretty hard to find, referring to a very long, very technical document that applies to all IEEE publications ("ops manual: https://pspb.ieee.org/images/files/files/opsmanual.pdf")</t>
  </si>
  <si>
    <t>Migrated text from "preprints in citations list" to "acceptable characteristics of servers"</t>
  </si>
  <si>
    <t>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t>
  </si>
  <si>
    <t>The above definition does not consider an arXiv.org paper as a publication because it cannot be rejected. It also excludes university technical reports which are typically not peer reviewed.</t>
  </si>
  <si>
    <t>Authors may post their preprints in the following locations:
Author’s personal website
Author’s employer’s website
arXiv.org</t>
  </si>
  <si>
    <t>We will consider papers previously posted on preprint servers like arXiv, bioRxiv, BioRN, ChemRxiv, or ChemRN.</t>
  </si>
  <si>
    <t>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t>
  </si>
  <si>
    <t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t>
  </si>
  <si>
    <t>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t>
  </si>
  <si>
    <t>Only arXiv is explicitly stated (journal runs innovative submission where, in addition to traditional, authors can submit directly via arXiv).</t>
  </si>
  <si>
    <t>"Knowing that many researchers must make results publicly available quickly, APA Journals has designated PsyArXiv as the preferred preprint server for APA journals."</t>
  </si>
  <si>
    <t>Elsevier policy: "Authors can share their preprint anywhere at any time."</t>
  </si>
  <si>
    <t>"Recently AGU Publications, the Publications Committee, and the AGU Council amended the policy to allow posting of preprints and content by authors on “not-for-profit community preprint servers.” This specifically includes arxiv.org and related groups such as astro-ph.org and cond-mat.org. "</t>
  </si>
  <si>
    <t>ArXiv: "You will need to provide an arXiv article id. This is necessary as JHEP articles are funded by the SCOAP3 consortium and thus need to be categorised and published accordingly if accepted."</t>
  </si>
  <si>
    <t>"Yes, you can post your preprint, which is your own write up of your results and analysis, anywhere at any time.
 If you have posted your preprint on ArXiv, which is a non-commercial preprint server, you can also immediately update this version with your accepted manuscript."</t>
  </si>
  <si>
    <t>"Journal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t>
  </si>
  <si>
    <t xml:space="preserve">Insitutional repositories/not-for profit servers outside own institution </t>
  </si>
  <si>
    <t>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</si>
  <si>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t>
  </si>
  <si>
    <t>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t>
  </si>
  <si>
    <t>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t>
  </si>
  <si>
    <t>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t>
  </si>
  <si>
    <t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</si>
  <si>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</si>
  <si>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t>
  </si>
  <si>
    <t>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t>
  </si>
  <si>
    <t>1553-877X</t>
  </si>
  <si>
    <t>Engineering &amp; Computer Science</t>
  </si>
  <si>
    <t>E.g. bioRxiv</t>
  </si>
  <si>
    <t>Posting on Preprint Servers, such as arXiv or bioRxiv, is permitted.</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</si>
  <si>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</si>
  <si>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We do support posting of research papers on not-for-profit preprint servers such as arXiv.org and bioRxiv.org.</t>
  </si>
  <si>
    <t>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t>
  </si>
  <si>
    <t>Please note that preprints can be shared anywhere at any time, in line with Elsevier's sharing policy. Sharing your preprints e.g. on a preprint server will not count as prior publication (see 'Multiple, redundant or concurrent publication' for more information).</t>
  </si>
  <si>
    <t>"Submitted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t>
  </si>
  <si>
    <t>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t>
  </si>
  <si>
    <t>It is understood that work submitted to TQ has not been previously published or is not under consideration for publication elsewhere.</t>
  </si>
  <si>
    <t>For articles to be published in EPJ this explicitly includes the relevant preprint servers, in particular ArXiv (arxiv.org).</t>
  </si>
  <si>
    <t>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t>
  </si>
  <si>
    <t>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t>
  </si>
  <si>
    <t>Presentation of data at a scientific meeting, as a poster, abstract, orally, on a CD, or as an abstract on the web, or on a preprint server does not conflict with submission to the Lancet journals.</t>
  </si>
  <si>
    <t>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t>
  </si>
  <si>
    <t xml:space="preserve">Presentation of data at a scientific meeting, as a poster, abstract, orally, on a CD, or as an abstract on the web, or on a preprint server does not conflict with submission to the Lancet journals. </t>
  </si>
  <si>
    <t>own personal websites, institutional or non-commercial subject based repositories, commercial platforms websites or repositories, or social media</t>
  </si>
  <si>
    <t>Not allowed</t>
  </si>
  <si>
    <t>Preprints allowed in citation list?
If citations are only permitted to preprints that appear in certain servers, please select and describe in
"Other."</t>
  </si>
  <si>
    <t>Yes, in the reference list
Yes, but only in the text (not the reference list)
No
Not specified
Unsure
Other</t>
  </si>
  <si>
    <t>Other: References should include only articles that are published or in press.</t>
  </si>
  <si>
    <t>Other ("Citations to papers on the arxiv.org are allowed when other sources are not available." This is the only reference I found to citation of preprints, but it might not be restricted to arxiv)</t>
  </si>
  <si>
    <t>Yes, but only in the text (not in the reference list)</t>
  </si>
  <si>
    <t>Yes, in the reference list (https://academic.oup.com/mnras/pages/General_Instructions#6.3%20References%20and%20citations)</t>
  </si>
  <si>
    <t>Yes, in the reference list (DOI should be provided)</t>
  </si>
  <si>
    <t>Yes, in the reference list.</t>
  </si>
  <si>
    <t>Yes, in the reference list (assumed)</t>
  </si>
  <si>
    <t>Yes, but only in the text (not the reference list) - Author instructions https://www.springer.com/philosophy/journal/11098</t>
  </si>
  <si>
    <t>Yes, in the reference list (Authors may cite unpublished work, such as e-prints, preprints, internal reports, or results that have been reported only orally at meetings (even though an abstract may have been published).) https://journals.aps.org/prb/authors/editorial-policies-practices</t>
  </si>
  <si>
    <t>Yes, in the reference list (Authors may cite unpublished work, such as e-prints, preprints, internal reports, or results that have been reported only orally at meetings (even though an abstract may have been published).) https://journals.aps.org/prd/authors/editorial-policies-practices</t>
  </si>
  <si>
    <t>Preprints may be cited in the reference list as below: Babichev, S.A., Ries, J. &amp; Lvovsky, A.I. Quantum scissors: teleportation of single-mode optical states by means of a nonlocal single photon. Preprint at http://arXiv.org/quant-ph/0208066 (2002).</t>
  </si>
  <si>
    <t>Unsure - http://ideas.cochrane.org/forums/326856-cochrane-style-manual/suggestions/18762079-referencing-preprints</t>
  </si>
  <si>
    <t>Only ISBN available, counts as a book</t>
  </si>
  <si>
    <t>Preprint media coverage policy
What type of coverage about preprints is permitted? (eg blog posts, social media, news outlets, etc).
Paste the policy here.</t>
  </si>
  <si>
    <t>This seems to be a recurring event, not a journal.</t>
  </si>
  <si>
    <t>2mins</t>
  </si>
  <si>
    <t>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t>
  </si>
  <si>
    <t>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t>
  </si>
  <si>
    <t>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t>
  </si>
  <si>
    <t>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t>
  </si>
  <si>
    <t>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t>
  </si>
  <si>
    <t>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t>
  </si>
  <si>
    <t>This is a conference, so the review policy is listed on the conf website (updated each year)</t>
  </si>
  <si>
    <t>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t>
  </si>
  <si>
    <t>our prepublication publicity policies with regard to coverage in the broader media still apply to studies posted on preprint servers.</t>
  </si>
  <si>
    <t>Added coreview policies; preprint citation policy seems to be specifically for calling attention to duplicate/highly related work during submission process?</t>
  </si>
  <si>
    <t>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t>
  </si>
  <si>
    <t>Manuscripts posted at a preprint server should not be discussed with the media prior to publication. Please contact the editors with questions regarding allowable postings to other servers.</t>
  </si>
  <si>
    <t>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t>
  </si>
  <si>
    <t>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t>
  </si>
  <si>
    <t>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t>
  </si>
  <si>
    <t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t>
  </si>
  <si>
    <t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t>
  </si>
  <si>
    <t xml:space="preserve">As such, we ask that authors and their institutions refrain from actively seeking media attention for articles that have been submitted to The Lancet Oncology or that are available as a preprint. </t>
  </si>
  <si>
    <t xml:space="preserve">Preprint licensing policy
What licenses (CC BY, etc) are permitted for preprints? </t>
  </si>
  <si>
    <t>Once an article is accepted, it must be removed from all commercial servers and IEEE must be listed as copyright holder.</t>
  </si>
  <si>
    <t>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</si>
  <si>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CC0 and CC-BY are supported by PsyArXiv, so presumably these licenses are ok</t>
  </si>
  <si>
    <t>[https://www.pnas.org/content/96/8/4215] We have never refused to consider a manuscript based on the license that an author has chosen for its preprint, options for which include Creative Commons (CC) licenses.</t>
  </si>
  <si>
    <t>Scoop protection policy
"Scoop protection" refers to policies about whether submitted preprint will be rejected if a competing
work comes out in another journal after the date of preprinting.</t>
  </si>
  <si>
    <t>2380-7504</t>
  </si>
  <si>
    <t>[https://www.pnas.org/content/96/8/4215]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t>
  </si>
  <si>
    <t>Found the review information for this conference</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</si>
  <si>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t>
  </si>
  <si>
    <t>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t>
  </si>
  <si>
    <t>"PLOS encourages editors to consider comments and feedback available on the preprint record to inform their editorial decision, and where relevant, editors may incorporate those comments in their editorial feedback to authors."</t>
  </si>
  <si>
    <t>For data validation</t>
  </si>
  <si>
    <t>Type of peer review</t>
  </si>
  <si>
    <t>Standard questions</t>
  </si>
  <si>
    <t>OPR characteristics</t>
  </si>
  <si>
    <t>Conf proceedings for annual event - information taken from conf website - unsure how often this info changes year to year.</t>
  </si>
  <si>
    <t>0018-9286</t>
  </si>
  <si>
    <t>Preprint citation</t>
  </si>
  <si>
    <t>Version that can be posted</t>
  </si>
  <si>
    <t>Attributes</t>
  </si>
  <si>
    <t>Have date</t>
  </si>
  <si>
    <t>Have DOI</t>
  </si>
  <si>
    <t>Free to read (not paywalled)</t>
  </si>
  <si>
    <t>Under a Creative Commons License</t>
  </si>
  <si>
    <t>Deposited into PubMed Central</t>
  </si>
  <si>
    <t>arXiv.org; personal website; institutional website</t>
  </si>
  <si>
    <t>The journal is published by IEEE as well but the guidelines seem to be much more comprehensive than those of other IEEE Communications reviewed here.</t>
  </si>
  <si>
    <t>0278-0046</t>
  </si>
  <si>
    <t>5 mins</t>
  </si>
  <si>
    <t>0162-8828</t>
  </si>
  <si>
    <t>0885-8993</t>
  </si>
  <si>
    <t>No information on journal-specific sites: https://www.ieee-pels.org/images/files/governing_documents/Publications/New-Guidelines-for-Manuscript-Submission-to-IEEE-TPEL.pdf or https://www.ieee-pels.org/publications/ieee-transactions-on-power-electronics.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</si>
  <si>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1053-587X</t>
  </si>
  <si>
    <t>No information on journal-specific sites: https://signalprocessingsociety.org/publications-resources/information-authors.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</si>
  <si>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1074-7613</t>
  </si>
  <si>
    <t>Only the original submission (before review)not final, copyedited version</t>
  </si>
  <si>
    <t>arXiv, BioarXiv, BioRN, ChemarXiv, ChemRN</t>
  </si>
  <si>
    <t>Immunity is published by Elsevier, but it features separate guidelines which apply to cell press journals. The information given is more or less complete; however, providing information about co-reviewing and peer review transfer does not seem to have been an issue.</t>
  </si>
  <si>
    <t>&amp; include https://www.cell.com/immunity/articletransfer ?</t>
  </si>
  <si>
    <t>irst submission only (before peer review)</t>
  </si>
  <si>
    <t>Media coverage policy (which also applies to preprints) https://www.cell.com/immunity/authors?code=cell-site#prepub</t>
  </si>
  <si>
    <t>1932-8036</t>
  </si>
  <si>
    <t>None; articles are archived by the University of Southern California</t>
  </si>
  <si>
    <t>The International Journal of Communication does not offer any information on PR or preprints on its website, so it's very hard to tell what their policies are.</t>
  </si>
  <si>
    <t>No information about peer review or preprints found at https://ijoc.org/index.php/ijoc/about/editorialPolicies or https://ijoc.org/index.php/ijoc/information/authors</t>
  </si>
  <si>
    <t>0925-5273</t>
  </si>
  <si>
    <t>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</si>
  <si>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1538-3598</t>
  </si>
  <si>
    <t>Not specified; the editors' primary consideration is not the protection of author rights but whether the novelty of a submitted manuscript might have been compromised through earlier publication</t>
  </si>
  <si>
    <t>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t>
  </si>
  <si>
    <t>0091-6749</t>
  </si>
  <si>
    <t>Accepted manuscripts can be shared via non-commercial repositories; preprints on arXiv or RePec may be updated with the accepted version; preprints can be shared via authors' institutional repositories for internal use only; after the embargo period preprints may be shared with commercial websites which signed an agreement with Elsevier</t>
  </si>
  <si>
    <t>The Journal of Allergy and Clinical Immunology is published by Elsevier, but offers unique guidelines on peer review policies and preprint policies. However, the exact peer review process is nowhere specified, so it is difficult for prospective authors to assess.</t>
  </si>
  <si>
    <t>https://www.jacionline.org/article/S0091-6749(05)02623-0/fulltext</t>
  </si>
  <si>
    <t>0378-4266</t>
  </si>
  <si>
    <t>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</si>
  <si>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I've replaced the preprint url with Elsevier's general policy, but cannot find anythign specific for this journal.</t>
  </si>
  <si>
    <t>1573-0697</t>
  </si>
  <si>
    <t>Business, Economics &amp; Management,
Social Sciences</t>
  </si>
  <si>
    <t>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t>
  </si>
  <si>
    <t>Not specified?</t>
  </si>
  <si>
    <t>0148-2963</t>
  </si>
  <si>
    <t>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t>
  </si>
  <si>
    <t>Yes? (Reviewer recognition platform)</t>
  </si>
  <si>
    <t>Above info is for accepted manuscripts, not preprints.</t>
  </si>
  <si>
    <t>0959-6526</t>
  </si>
  <si>
    <t>The journal of cleaner production is published by Elsevier, so many of their general policies apply. As you go through many Elsevier journals, it becomes easier to locate and understand their policies which frequently overlap.</t>
  </si>
  <si>
    <t>Yes, Reviewer recognition platform??</t>
  </si>
  <si>
    <t>Not Specified?</t>
  </si>
  <si>
    <t>1527-7755</t>
  </si>
  <si>
    <t>The journal details its review process, but it is very difficult to locate the information. No information on co-reviewing and/or open peer review is provided (which is taken to mean that these are not a priority for the editors).</t>
  </si>
  <si>
    <t>Not specified ??</t>
  </si>
  <si>
    <t>Their preprint policy states that they allow preprints but only if they are substantially different to the version submitted to the journal. They also mention in two separate places on the same page that work must be original and not made available elsewhere!! Hmmm...</t>
  </si>
  <si>
    <t>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t>
  </si>
  <si>
    <t>1460-2466</t>
  </si>
  <si>
    <t>https://onlinelibrary.wiley.com/page/journal/14602466/homepage/forauthors.html</t>
  </si>
  <si>
    <t>A number of Wiley Open Access journals participate in a Manuscript Transfer Program. After review in a supporting journal, rejected articles of suitable quality can be identified by the Editor as candidates for publication in a Wiley Open Access journal. Authors will have the option to automatically transfer their manuscript to the Wiley Open Access journal and complete the submission process. The Wiley Open Access journal will then undertake further editorial evaluation. Importantly, authors will not need to make any changes to their manuscript at this stage. Authors should note that referees' comments are transferred to the editor of the Wiley Open Access journal along with the manuscript. The journal editors will take the previous reviews into account when making their decision, although in some cases the editors may choose to take advice from additional referees.</t>
  </si>
  <si>
    <t>https://authorservices.wiley.com/open-science/open-access/about-wiley-open-access/manuscript-transfer-program.html</t>
  </si>
  <si>
    <t>The Journal of Communication website includes information on peer review that is fairly easily accessible. The peer review process is described not for that particular journal, but for the publisher (Wiley) as a whole.</t>
  </si>
  <si>
    <t>institutional or non-commercial subject based repositories, commercial platforms websites or repositories</t>
  </si>
  <si>
    <t>Note as journal no longer with Wiley, cannot assume the journal still follows that model. The information on preprints is under the section on self-archiving https://academic.oup.com/journals/pages/access_purchase/rights_and_permissions/self_archiving_policy_f</t>
  </si>
  <si>
    <t>Having trouble finding info about "Nos" in OPR - TRH, changed to not spec'd</t>
  </si>
  <si>
    <t>1475-7516</t>
  </si>
  <si>
    <t>International School for Advanced Studies and IOP Publishing</t>
  </si>
  <si>
    <t>None of our journals conduct any form of open peer review (in which the identity of the reviewer is revealed, the peer review contents are made publicly available or anyone interested in reviewing the article can do so post-publication).</t>
  </si>
  <si>
    <t>ArXiv</t>
  </si>
  <si>
    <t>Single blind: note "Editors and referees operate anonymously, but they can reveal their identity to the author if they so wish." found here: http://iopscience.iop.org/journal/1475-7516/page/Editorial%20Information. For F12, it's not clear whether they deposit their reviewin activity into ORCID and Publons or whether they are just saying these services are free and available: "Track all your reviewing activity through free services like ORCID and Publons" at same weblink as above, under Benefits for reviewing for IOP journals. F30: As manuscripts must be deposited in ArXiv before submission to the journal, and revsed (after acceptance) manuscripts can be sent to the journl via ArXiv, it appears any version can be deposited on ArXiv: "
 Revised versions can be submitted only if requested by the editor, contributions must therefore be originally submitted in their final form.
 Once accepted, revised preprints will be labelled as "revised"...The revised preprints must be uploaded from the preprint page by clicking "submit revision" or "submit minor revision". You can make your resubmission using the submission via the arXiv or by web upload."</t>
  </si>
  <si>
    <t>60 mins</t>
  </si>
  <si>
    <t>Added reference for statement about no OPR at IOP journals, and link for coreviewing policy, and note about preprint requirement</t>
  </si>
  <si>
    <t>"It is required to provide an ArXiv id to submit an article to the journal." - https://jcap.sissa.it/jcap/help/helpLoader.jsp?pgType=flow#general</t>
  </si>
  <si>
    <t>1944-7965</t>
  </si>
  <si>
    <t>See notes for G8</t>
  </si>
  <si>
    <t>G8: This journal does not appear to send out mansucripts for review. Instead the editors/managing editors provide feedback. Note, the majority of submissions are solicited by the editor. "This draft will receive detailed comments from the editors as well as a full set of suggested edits from JEP's Managing Editor. Articles may undergo more than one round of comment and revision prior to publication." From: https://www.aeaweb.org/journals/jep/submissions</t>
  </si>
  <si>
    <t>Minimal information available is available for this journal. Seems they invite proposals and commission full papers - the review process thereafter is a blackbox (perhaps editorial review?) . "Articles appearing in the journal are primarily solicited by the editors and associate editors... Historically, about 10-15 percent of the articles appearing in our pages originate as unsolicited proposals. We always prefer to receive a 2-5 page article proposal rather than a completed manuscript so that we can determine the suitability of an idea before the author makes a large time investment."</t>
  </si>
  <si>
    <t>Where is info about not allowing coreviewers? [Changed to unsure] Also changed preprint data to reflect no preprint policy (unsure whether they can be cited) [ok]</t>
  </si>
  <si>
    <t>1939-2176</t>
  </si>
  <si>
    <t>https://www.apa.org/pubs/journals/edu/?tab=4, https://www.apa.org/pubs/journals/reviewer-instructions.pdf</t>
  </si>
  <si>
    <t>Note: Doesn't having a double blind review process prevent posting on a preprint server like PsyArXiv? Isn't this a contradiction in their policies?</t>
  </si>
  <si>
    <t>&lt;I think the link above is a mistake, as this isnt an ELS journal?&gt;</t>
  </si>
  <si>
    <t>Yes!</t>
  </si>
  <si>
    <t>0304-405X</t>
  </si>
  <si>
    <t>Doesn't state for "preprints" but Elsevier sharing policy does state that "In all cases accepted manuscripts should:...bear a CC-BY-NC-ND license" and as they allow posting of accepted mansucripts, this suggests a CC-BY-NC-ND license is required for that version.</t>
  </si>
  <si>
    <t>I12: Reviewers have a profile on Elsevier's Reviewer recognition platform. I'm not sure this counts as an open database. I30: note, it sounds like authors can post/share their VOR if they publish gold open access. I32: Not specified but does state: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</si>
  <si>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Preprints: "Preprints 
Please note that preprints can be shared anywhere at any time, in line with Elsevier's sharing policy. Sharing your preprints e.g. on a preprint server will not count as prior publication (see 'Multiple, redundant or concurrent publication' for more information)." in https://www.elsevier.com/journals/journal-of-financial-economics/0304-405x/guide-for-authors</t>
  </si>
  <si>
    <t>2156-2202</t>
  </si>
  <si>
    <t>NOTE: policies are from AGU publisher, not specific journal website). J30: Note, "AGU allows authors to post a draft their accepted manuscripts on Earth and Space Science Open Archive (ESSOAr) or another not-for-profit preprint server that is designed to facilitate community engagement and discovery across the sciences." J32: citation of preprints is unclear. It states "Every reference must be available publicly online or in print before a paper can be accepted. Thus “unpublished” or “in press” references are not allowed" so your guess is as good as mine.</t>
  </si>
  <si>
    <t>40 mins</t>
  </si>
  <si>
    <t>Does not appear to actually contain any information about the peer review process, rather discusses use of their online system. Links under peer review questions do not appear relevant.</t>
  </si>
  <si>
    <t>0168-8278</t>
  </si>
  <si>
    <t>European Association for the Study of the Liver (EASL), Elsevier</t>
  </si>
  <si>
    <t>Of interest for the peer review section: "Fast-track peer review offers a rapid peer review and publication of major original articles that are seen as important for public health. Authors who wish their articles to be considered for fast-track peer review should send the manuscript title and abstract along with a letter request to the journal office jhepatology@easloffice.eu."</t>
  </si>
  <si>
    <t>No details about review process in particular for journal but is part of Elsevier group, and so general Elsevier policies likely apply.</t>
  </si>
  <si>
    <t>1029-8479</t>
  </si>
  <si>
    <t>Unsure (preprits are allowed, but it's not clear what version)</t>
  </si>
  <si>
    <t>States that the work is "not subject to any
 copyright protection" as they publish under a CC-BY license</t>
  </si>
  <si>
    <t>Note, all submissions require an ArXiv ID, which is probably why they don't have a specific preprint policy (or I couldn’t find one) as it's implued that they accept preprints. Also, I couldn't find any reference to peer review except on their homepage: "Editors are in charge and take full responsibility for the peer-review of submissions. They can assess preprints themselves or send it to one or more referees and take the final decision on whether or not to publish them. JHEP has a large Editorial Board, in order to provide competent coverage for all the areas indicated by the keywords and thus avoid generic decisions or the inappropriate selection of referees." so I have put their homepage as the peer review policy URL in L9.</t>
  </si>
  <si>
    <t>Does not appear to have peer review info, link supplied is not appropriate</t>
  </si>
  <si>
    <t>preprints are mentioned in terms of manuscript review perhaps simply as a term for the manuscript, but it is also closely linked with the arXiv. Appears that submission from preprint form is a standard here.</t>
  </si>
  <si>
    <t>Review process is single-blind on orignal peer review URL, added preprint link and changed preprint policies accordingly</t>
  </si>
  <si>
    <t>1557-1211</t>
  </si>
  <si>
    <t>Note: most of the info here is from the parent (SAGE) website as this is where the journal homepage linked to. Also, for M32: Journal's author guidelines suggests citation format for "working papers" so maybe this applies to preprints, though they are not specifically referred to.</t>
  </si>
  <si>
    <t>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t>
  </si>
  <si>
    <t>2050-7488</t>
  </si>
  <si>
    <t>No (inferred)</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</si>
  <si>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</si>
  <si>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Most sources of info are from the RSC website</t>
  </si>
  <si>
    <t>Journal of Materials Chemistry A</t>
  </si>
  <si>
    <t>Preprints: citation style example at http://www.rsc.org/journals-books-databases/journal-authors-reviewers/prepare-your-article/#format-layout</t>
  </si>
  <si>
    <t>0378-2166</t>
  </si>
  <si>
    <t>CC BY-NC-ND</t>
  </si>
  <si>
    <t>O30: "You are always able to share the preprint version or a link to your article. For authors who have published their article open access under a commercial license (CC BY) you can also post your final article."</t>
  </si>
  <si>
    <t>No specific journal policy - should we trust the Elsevier parent policy, which does say that society &amp; double blind journals may have different policies?</t>
  </si>
  <si>
    <t>1520-5126</t>
  </si>
  <si>
    <t>"Journal of the American Chemical Society authors may deposit an initial draft of their manuscript in a
 preprint service such as ChemRxiv, bioRxiv, arXiv, or the applicable repository for their discipline before 
 14 | Page
 the manuscript is accepted for publication in JACS"</t>
  </si>
  <si>
    <t>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t>
  </si>
  <si>
    <t>https://pubs.acs.org/page/jacsat/submission/prior.html</t>
  </si>
  <si>
    <t>0735-1097</t>
  </si>
  <si>
    <t>None (preprints are not allowed) !!!</t>
  </si>
  <si>
    <t>NONE (preprints are not allowed) !!!</t>
  </si>
  <si>
    <t>Not specified, but will hazard a guess that the answer is "NO"</t>
  </si>
  <si>
    <t>Preprints are not allowed</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</si>
  <si>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t>
  </si>
  <si>
    <t xml:space="preserve">pr-policy: (there seems to be a new one every issue?!) http://www.onlinejacc.org/content/73/14/A18
</t>
  </si>
  <si>
    <t>opr-additional: "as a general rule, although there are exceptions, the reviewers are blinded to each other. " suggests reviewers may interact</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</si>
  <si>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t>
  </si>
  <si>
    <t>1573-6601</t>
  </si>
  <si>
    <t>No preprint policy??</t>
  </si>
  <si>
    <t>Couldn't find any info about preprints</t>
  </si>
  <si>
    <t>1741-3001</t>
  </si>
  <si>
    <t>S8: very easy to find the peer review type. S30: SAGE policy</t>
  </si>
  <si>
    <t>1751-2786</t>
  </si>
  <si>
    <t>T8: general T&amp;F peer review policy. T24: here is the link for the text - not really a co-reviewer policy but might suggest it's ok with them at T&amp;F generally: "https://editorresources.taylorandfrancis.com/reviewer-guidelines/"</t>
  </si>
  <si>
    <t>coreviewer-policy: Replace with actual text: "Ask a senior colleague, who has plenty of experience of reviewing, whether you could work with them on a review. You could even ask the editor’s permission to take over leading on a review that they had assigned to your colleague."</t>
  </si>
  <si>
    <t>coreviewer-url: https://authorservices.taylorandfrancis.com/how-to-become-a-peer-reviewer/</t>
  </si>
  <si>
    <t>1461-670X</t>
  </si>
  <si>
    <t>U8: general T&amp;F peer review policy</t>
  </si>
  <si>
    <t>0264-8377</t>
  </si>
  <si>
    <t>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t>
  </si>
  <si>
    <t>(also online version at https://www.elsevier.com/journals/land-use-policy/0264-8377/guide-for-authors)</t>
  </si>
  <si>
    <t>posted manuscripts should link back to the final published article on ScienceDirect and should have a non-commercial user license attached (CC BY-NC-ND).</t>
  </si>
  <si>
    <t>1467-9922</t>
  </si>
  <si>
    <t>Single or double blind (unsure which)</t>
  </si>
  <si>
    <t>Language Learning is published by Wiley, but for the most part employs its own guidelines and procedures concerning peer review and preprints. Concerning the latter, no specifications are made on the website, however.</t>
  </si>
  <si>
    <t>(author choice of the above)</t>
  </si>
  <si>
    <t>https://onlinelibrary.wiley.com/page/journal/14679922/homepage/forauthors.html [states "The names of all reviewers consulted are printed in the journal annually."]</t>
  </si>
  <si>
    <t>Can't find cited text for peer review credit in info for authors</t>
  </si>
  <si>
    <t>0024-3841</t>
  </si>
  <si>
    <t>Lingua is published by Elsevier which means many of Elsevier's general policies regarding peer review and pre-prints apply. However, each Elsevier journal so far has employed a slightly different blinding process. In the case of Lingua, authors are expected to replace citations to their own work in the text simply by "Author" to ensure anonymity. As with other Elsevier journals, double-blind peer review means that no aspect of the peer review process is made public.</t>
  </si>
  <si>
    <t>Please note that preprints can be shared anywhere at any time, in line with Elsevier's sharing policy. [Authors can share their preprint anywhere at any time....Authors can update their preprints on arXiv or RePEc with their accepted manuscript.]</t>
  </si>
  <si>
    <t>Accepted manuscript version must be CC-BY-NC-ND</t>
  </si>
  <si>
    <t>In response to SH's comment re OPR: double blind review process but I don't know that this necessarily infers the review materials aren't open after the fact. I could not find explicit information about this online.</t>
  </si>
  <si>
    <t>2162-9730</t>
  </si>
  <si>
    <t>Management Information Systems Quarterly does not offer any information on its website regarding peer review/pre-print policies.</t>
  </si>
  <si>
    <t>No (double blind)</t>
  </si>
  <si>
    <t>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t>
  </si>
  <si>
    <t xml:space="preserve">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t>
  </si>
  <si>
    <t>1526-5501</t>
  </si>
  <si>
    <t>https://pubsonline.informs.org/page/mnsc/submission-guidelines#review</t>
  </si>
  <si>
    <t>The information found on the Management Science website is not very comprehensive in general. However, the review process is detailed, as is the procedure to blind reviewers.</t>
  </si>
  <si>
    <t>?</t>
  </si>
  <si>
    <t>NNo (double blind)</t>
  </si>
  <si>
    <t>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</si>
  <si>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</si>
  <si>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1460-3675</t>
  </si>
  <si>
    <t>Label</t>
  </si>
  <si>
    <t>First submission or accepted version, depending on the kind of preprint server (ninstitutional repository or non-commercial repository before or after a 12-month embargo period)</t>
  </si>
  <si>
    <t>Insitutional repositories/not-for profit servers outside own institution with/without 12-month-embargo period</t>
  </si>
  <si>
    <t>Search string</t>
  </si>
  <si>
    <t>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t>
  </si>
  <si>
    <t>All journals</t>
  </si>
  <si>
    <t>Not*</t>
  </si>
  <si>
    <t>1097-2765</t>
  </si>
  <si>
    <t>Unsure (possibly not blinded)</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</si>
  <si>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t>
  </si>
  <si>
    <t>Unsure (doesn't state)</t>
  </si>
  <si>
    <t>I agree with the above 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</si>
  <si>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Single*</t>
  </si>
  <si>
    <t>Double*</t>
  </si>
  <si>
    <t>Unsure*</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</si>
  <si>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</si>
  <si>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Other*</t>
  </si>
  <si>
    <t>1365-2966</t>
  </si>
  <si>
    <t>Total</t>
  </si>
  <si>
    <t>Unsure; Reviewers may choose whether to reveal their identity to the authors; Scientific Editors usually remain anonymous</t>
  </si>
  <si>
    <t>MNRAS is rather unclear with respect to their review process. In the first instance, it is referred to as "editor review", only to then indicate that editors do consult external reviewers. However, the nature of the peer review process remains unclear. The website does not clearly allow differentiation between the journal's policies and OUP's general regulations. There is no information on open peer review, and the information on prepint policies is difficult to locate (which might indicate that the editors of this journal have not given this a lot of thought).</t>
  </si>
  <si>
    <t>Sum of searches</t>
  </si>
  <si>
    <t>Single blind review; Reviewers may reveal identities if they so choose.</t>
  </si>
  <si>
    <t>Preprints can be cited in the references.</t>
  </si>
  <si>
    <t>Updated with journal-specific preprint policy and related records</t>
  </si>
  <si>
    <t>1530-6992</t>
  </si>
  <si>
    <t>Unsure; authors are asked to provide names of referees</t>
  </si>
  <si>
    <t>Upon publication in Nano Letters, authors are advised to add a link from the preprint to the published paper via the Digital Object Identifier (DOI). For further details, see Author Guidelines [PDF] or contact the Editorial Office.</t>
  </si>
  <si>
    <t>CC-BY and CC-BY-NC-ND for immediate or delayed open access (12-month embargo)</t>
  </si>
  <si>
    <t>Nano Letters is not very specific as to what happens to peer reviews (i.e. Whether the process is open). ACS provides fairly clear policies on peer review transfer and preprints, though, to which links can be found on the Nano Letters website.</t>
  </si>
  <si>
    <t>Added co-reviewer policy, Changed preprint policy</t>
  </si>
  <si>
    <t>2040-3372</t>
  </si>
  <si>
    <t>Single blind (possibly double blind)</t>
  </si>
  <si>
    <t>Unsure, but the information given suggests not</t>
  </si>
  <si>
    <t>Non-commercial repositories</t>
  </si>
  <si>
    <t>Nanoscale offers comprehensive information on author and peer reviewer responsibilites. When it comes to preprints, the information offered is scarce(r), even though the editors explicitly encourage posting of preprints.</t>
  </si>
  <si>
    <t>For co-reviewing: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</si>
  <si>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Links to Publons</t>
  </si>
  <si>
    <t>Added transfer information, rearranged preprint info</t>
  </si>
  <si>
    <t>1476-4687</t>
  </si>
  <si>
    <t>Double blind; Nature offers reviewers the option to sign their reviews, however.</t>
  </si>
  <si>
    <t>The original submitted version of the manuscript (the version that has not undergone peer review) may be posted at any time. Authors should disclose details of preprint posting, including DOI, upon submission of the manuscript to a Nature Research journal. For subscription journals, the Author's Accepted Manuscript (author's accepted version of the manuscript) of the manuscript may only be posted 6 months after the paper is published, consistent with our self-archiving embargo (http://www.nature.com/authors/policies/license.html). Please note that the Author's Accepted Manuscript may not be released under a Creative Commons license. For Nature Research's Terms of Reuse of archived manuscripts please see: http://www.nature.com/authors/policies/license.html#terms. For subscription journals, the published PDF must not be posted on a preprint server or any other website. However, authors are encouraged to obtain a free SharedIt link of their paper, which can be posted online and allows read-only access. SharedIt links can be obtained by submitting the published article DOI at http://authors.springernature.com/share For open access content published under a Creative Commons license, the accepted version of the manuscript may be posted immediately following publication. Authors may post the final published version at publication as long as a publication reference and URL to the published version on the journal website are provided (http://www.nature.com/authors/policies/license.html)</t>
  </si>
  <si>
    <t>CC licenses not allowed for accepted manuscripts</t>
  </si>
  <si>
    <t>The Nature Research journals believe that their media embargo serves scientists, authors, journalists and the public. Our policy is to release information about our content in a way that provides fair and equal access to the media, allowing it to provide informed comment based on the complete and final version of the paper that is to be published. Authors and their institutions' press offices are able then to interact with the media ahead of publication, and benefit from the subsequent coverage. The benefits of peer review as a means of giving journalists confidence in new work published in journals are self-evident. Premature release to the media denies journalists that confidence. It also removes journalists' ability to obtain informed reactions about the work from independent researchers in the field.</t>
  </si>
  <si>
    <t>Nature offers a variety of journals, and some of them may feature special rules regarding PR and preprints. The information offered on Nature's general website is comprehensive and fairly easily accessible. Nature seems to be among the few journals in this study offering an explicit policy on e.g. preprint licensing.</t>
  </si>
  <si>
    <t>Single blind is standard (but authors can choose Double blind, and reviewers can sign their names if they wish)</t>
  </si>
  <si>
    <t>Leave blank</t>
  </si>
  <si>
    <t xml:space="preserve">No </t>
  </si>
  <si>
    <t>No restrictions noted</t>
  </si>
  <si>
    <t>1546-1696</t>
  </si>
  <si>
    <t>Assuming there was a copy-paste offset in  pr section (compare to nature above; have corrected in 2nd line to make compiling easier) - please check this &amp; your reviewed Nature records below</t>
  </si>
  <si>
    <t>1476-4679</t>
  </si>
  <si>
    <t>1755-4349</t>
  </si>
  <si>
    <t>1758-6798</t>
  </si>
  <si>
    <t>2041-1723</t>
  </si>
  <si>
    <t>https://www.nature.com/ncomms/journal-policies/editorial-process, https://www.nature.com/documents/ncomms-reviewer-information.pdf</t>
  </si>
  <si>
    <t>Yes?</t>
  </si>
  <si>
    <t>Nature comms is different to other Nature jrnls - missed this in the last round - now updated the 2nd row accordingly, but pls chk again</t>
  </si>
  <si>
    <t>1546-1718</t>
  </si>
  <si>
    <t>Health &amp; Medical Sciences,
Life Sciences &amp; Earth Sciences</t>
  </si>
  <si>
    <t>1529-2916</t>
  </si>
  <si>
    <t>1476-4660</t>
  </si>
  <si>
    <t>1546-170X</t>
  </si>
  <si>
    <t>SIngle blind, though for all Nature journals, they offer double blind option to the authors. Reviewers can decide to sign their reviews if they wish, but Nature's preference is that they don't.</t>
  </si>
  <si>
    <t>https://www.nature.com/authors/peer_review/index.html</t>
  </si>
  <si>
    <t>No (not specified) "We thank our referees for their continued commitment to our publication process and to help recognize this effort we provide each Nature referee with an official refereeing activity report. This can be found on the ‘Manuscript(s)’ tab of a referee’s ‘My Nature Research Account’ page, accessible through a link at the bottom of the author home page in the manuscript tracking system of any Nature journal."</t>
  </si>
  <si>
    <t>No "Reviewers should be aware that it is our policy to keep their names confidential and that we do our utmost to ensure this confidentiality."</t>
  </si>
  <si>
    <t xml:space="preserve">? </t>
  </si>
  <si>
    <t>1548-7105</t>
  </si>
  <si>
    <t>No p*</t>
  </si>
  <si>
    <t>None*</t>
  </si>
  <si>
    <t>First*</t>
  </si>
  <si>
    <t>After*</t>
  </si>
  <si>
    <t>1748-3395</t>
  </si>
  <si>
    <t>Any*</t>
  </si>
  <si>
    <t>Un*</t>
  </si>
  <si>
    <t>1546-1726</t>
  </si>
  <si>
    <t>1749-4893</t>
  </si>
  <si>
    <t>Engineering &amp; Computer Science,
Physics &amp; Mathematics</t>
  </si>
  <si>
    <t>^^ &amp; https://www.nature.com/nphoton/for-authors/peer-review-and-publication</t>
  </si>
  <si>
    <t>Not form but structure: https://www.nature.com/nphoton/for-referees/how-to-write-a-report</t>
  </si>
  <si>
    <t>If the decision is negative, the author can choose to transfer their manuscript to another journal. If the manuscript was peer reviewed the referee comments are also transferred. Please see our Manuscript Transfer FAQ for more information about this service.</t>
  </si>
  <si>
    <t>https://www.nature.com/nphoton/for-authors/relationship &amp; https://www.nature.com/authors/author_resources/transfer_manuscripts.html</t>
  </si>
  <si>
    <t>Optional - mediated by editor not open</t>
  </si>
  <si>
    <t>^^ &amp; https://www.nature.com/nphoton/for-authors/preparing-your-submission &amp; https://www.nature.com/authors/policies/duplicate.html</t>
  </si>
  <si>
    <t>First submission only (before peer review) [AAM can also be posted 6 months after publication]</t>
  </si>
  <si>
    <t xml:space="preserve">recognized community preprint servers </t>
  </si>
  <si>
    <t>https://www.nature.com/authors/policies/embargo.html -- Researchers may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however that such coverage may reduce or pre-empt coverage by other media at the time of publication. We also advise that researchers approached by reporters in response to a preprint make it clear that the paper has not yet undergone peer review, that the findings are provisional and that the conclusions may change. Authors are expected to keep the details of the peer review and editorial process confidential.
We believe it important that the peer-reviewed and published version of a paper should be available when the work is discussed in the public media, allowing the press to provide informed comment based on this version. For that reason, we strongly discourage the direct soliciting of media coverage to appear ahead of publication of the final version of a paper.</t>
  </si>
  <si>
    <t>Not specified for first version; the AAM cannot be posted under a CC license</t>
  </si>
  <si>
    <t>Combination of general and specific journal policies used-- actually quite confusing to work out which journal does what based on general info and specific pages,</t>
  </si>
  <si>
    <t>1745-2481</t>
  </si>
  <si>
    <t>If a reviewer wishes to seek advice from colleagues while assessing a manuscript, the reviewer must consult with the editor and should ensure that confidentiality is maintained and that the names of any such colleagues are provided to the journal with the final report.</t>
  </si>
  <si>
    <t>First submission anytime, after submission only after a 6-month embargo period; papers published in subscription journals may not be posted on pre-print servers</t>
  </si>
  <si>
    <t>Nature Research journals support posting of primary research manuscripts on preprint servers and open communications between researchers whether on a recognised community preprint server or preprint commenting platforms. Preprint posting is not considered prior publication and will not jeopardize consideration at Nature Research journals.</t>
  </si>
  <si>
    <t>Nature Physics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</si>
  <si>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30 min</t>
  </si>
  <si>
    <t>^^ &amp; https://www.nature.com/nphys/for-referees/policies-and-processes</t>
  </si>
  <si>
    <t>Not form but structure: https://www.nature.com/nphys/for-referees/how-to-write-a-report</t>
  </si>
  <si>
    <t>https://www.nature.com/nphys/for-authors/preprint-servers &amp; https://www.nature.com/authors/policies/preprints.html</t>
  </si>
  <si>
    <t>Nature Physics supports the posting of submitted manuscripts on community preprint servers such as arXiv and bioRxiv</t>
  </si>
  <si>
    <t>1474-1768</t>
  </si>
  <si>
    <t>Nature Reviews Cancer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</si>
  <si>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Unsure [Single blind, inferred]</t>
  </si>
  <si>
    <t>Generic policies are for Nature Research journals, unable to find any preprint policy or more detailed peer review policy for Nature Reviews, only this guide: http://images.nature.com/full/nature-assets/reviews/pdf/naturereviews.pdf</t>
  </si>
  <si>
    <t>1471-0064</t>
  </si>
  <si>
    <t>Nature Reviews Genetics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</si>
  <si>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1474-1733</t>
  </si>
  <si>
    <t>pr-type: Double blind
pr-url: https://www.nature.com/nri/for-referees (Note: General Nature peer review policy currently linked says "The peer-review policies of the Nature Reviews journals can be found on their websites.")
coreview-policy: It is acceptable to consult with laboratory colleagues, but please identify them to the editors.
coreview-url: https://www.nature.com/nri/for-referees
pr-transfer-policy: I can't find this text in the link provided
All opr fields should be UNCLEAR
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
preprint-policy: These policies should all be unknown/unclear</t>
  </si>
  <si>
    <t>pr-url: https://www.nature.com/nri/for-referees (Note: General Nature peer review policy currently linked says "The peer-review policies of the Nature Reviews journals can be found on their websites.")</t>
  </si>
  <si>
    <t xml:space="preserve">pr-transfer-policy: I can't find this text in the link provided
</t>
  </si>
  <si>
    <t>All opr fields should be UNCLEAR</t>
  </si>
  <si>
    <t>coreview-policy: It is acceptable to consult with laboratory colleagues, but please identify them to the editors.</t>
  </si>
  <si>
    <t xml:space="preserve">coreview-url: https://www.nature.com/nri/for-referees
</t>
  </si>
  <si>
    <t>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t>
  </si>
  <si>
    <t>preprint-policy: These policies should all be unknown/unclear</t>
  </si>
  <si>
    <t>1471-0048</t>
  </si>
  <si>
    <t>1474-1784</t>
  </si>
  <si>
    <t>Nature Reviews Drug Discovery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</si>
  <si>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https://www.nature.com/nrd/for-referees (Note: General Nature peer review policy currently linked says "The peer-review policies of the Nature Reviews journals can be found on their websites.")</t>
  </si>
  <si>
    <t xml:space="preserve">coreview-url: https://www.nature.com/nrd/for-referees
</t>
  </si>
  <si>
    <t>1471-0080</t>
  </si>
  <si>
    <t>Nature Reviews Molecular Cell Biology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</si>
  <si>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https://www.nature.com/nrm/for-referees (Note: General Nature peer review policy currently linked says "The peer-review policies of the Nature Reviews journals can be found on their websites.")</t>
  </si>
  <si>
    <t xml:space="preserve">coreview-url: https://www.nature.com/nrm/for-referees
</t>
  </si>
  <si>
    <t>1053-8119</t>
  </si>
  <si>
    <t>The journal NeuroImage is published by Elsevier, so many of their general policies apply. As you go through many Elsevier journals, it becomes easier to locate and understand their policies which frequently overlap.</t>
  </si>
  <si>
    <t>7 mins</t>
  </si>
  <si>
    <t>GSM</t>
  </si>
  <si>
    <t>1097-4199</t>
  </si>
  <si>
    <t>Preprint media policy is from https://www.cell.com/rights-sharing-embargoes</t>
  </si>
  <si>
    <t>1461-7315</t>
  </si>
  <si>
    <t>Important: 
 At present, this service is only for authors working in the fields of medicine and life sciences.
 Of SAGE’s 400+ journals in the medical and life science fields, we currently have 100+ journals that are participating in this service and to which we are able to offer a direct transfer link.
 List of participating journals can be found here
 No paper is transferred to SAGE Path or to another SAGE journal without the author’s approval. The author will have the option to accept or decline the recommended service or journal. Further, the manuscript can be withdrawn at any time during the process. 
 With so many journal options to choose from in medicine and life sciences, sometimes it can be hard to decide the best fit for your manuscript. SAGE Path, a free-of-charge service for authors, is here to address this.
 SAGE Path quickly provides expert advice on the SAGE journal that is the best fit for your manuscript based on your preferences and a SAGE Managing Editor’s knowledge of the relevant discipline and SAGE Path-participating journals in our portfolio.</t>
  </si>
  <si>
    <t>https://us.sagepub.com/en-us/nam/sage-publishing-article-transfer-hub</t>
  </si>
  <si>
    <t>Other (see note)</t>
  </si>
  <si>
    <t>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</si>
  <si>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Since notice says transfer policy only applies to medicine/life sci, I am leaving blank. [OK - trh]</t>
  </si>
  <si>
    <t>1468-0068</t>
  </si>
  <si>
    <t>Social Sciences, Humanities, Literature &amp; Arts</t>
  </si>
  <si>
    <t>Triple blind</t>
  </si>
  <si>
    <t>https://authorservices.wiley.com/Reviewers/journal-reviewers/index.html</t>
  </si>
  <si>
    <t>Regarding preprint policy - this is Wiley's general policy, which is not very clearly linked from the journal homepage. But the general policy states "The above sections detail Wiley's general policy for preprint submissions. A number of Wiley journals have set policies independently and authors should refer to the policy on the individual journal pages.", so in the absence of any other statement, this policy should be assumed to apply (but who knows if it actually does). On citation of preprints: "Wiley encourages researchers and academics who reference preprints (like other peer reviewed and non-peer reviewed sources) to continue to cite these sources accurately.", which i interpret to mean they can be in reference list (but, again, unclear).</t>
  </si>
  <si>
    <t>1362-4962</t>
  </si>
  <si>
    <t>Other: arXiv and bioarXiv; not PLoS Currents; see https://academic.oup.com/nar/article/47/1/1/5281443</t>
  </si>
  <si>
    <t>Re. preprint citation, no clear statement but instructions on citation includes this example: "Fan,X., Yang,Y. and Wang,Z. (2018) Pervasive translation of circular RNAs driven by short IRES-like elements. biorXiv, 10.1101/473207, 18-November-2018, pre-print: not peer-reviewed." https://academic.oup.com/nar/pages/Ms_Prep_Submission</t>
  </si>
  <si>
    <t>1533-9866</t>
  </si>
  <si>
    <t>Almost no information on the site.</t>
  </si>
  <si>
    <t>On preprint citation, this is in author instructions. "Cite unpublished data, such as papers submitted but not yet accepted for publication or personal communications, in parentheses in the text."</t>
  </si>
  <si>
    <t>1094-4087</t>
  </si>
  <si>
    <t>No form but detailed instructions: https://www.osapublishing.org/oe/submit/review/pdf/Optics_Expres_Research_Article_Letter_criteria.pdf</t>
  </si>
  <si>
    <t>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t>
  </si>
  <si>
    <t>1098-4275</t>
  </si>
  <si>
    <t>No changes, but 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</si>
  <si>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1573-0883</t>
  </si>
  <si>
    <t>No changes</t>
  </si>
  <si>
    <t>1550-235X</t>
  </si>
  <si>
    <t>Other: It may also be necessary for authors to cite unpublished work, such as e-prints, preprints, internal reports, or results which have been reported only orally at meetings (even though an abstract may have been published). Unpublished work that appears during the review process may require citation as well. Unpublished work has not been fully vetted by the community, and considerable judgment on the part of the editors will be employed in determining the need to cite such work.</t>
  </si>
  <si>
    <t>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</si>
  <si>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https://journals.aps.org/prb/referees/referee-response-physical-review</t>
  </si>
  <si>
    <t>Really remarkable that APS journals have NO official preprint policies - no mention of arXiv - worth mentioning in write-up!</t>
  </si>
  <si>
    <t>1550- 2368</t>
  </si>
  <si>
    <t>Changed url in preprint citation policies</t>
  </si>
  <si>
    <t>1079-7114</t>
  </si>
  <si>
    <t>Restricted: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</si>
  <si>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No "the identities of our referees are not released to authors or other referees throughout or after the review process." ...so suggests they are not revealed at any stage</t>
  </si>
  <si>
    <t>No "the identities of our referees are not released to authors or other referees throughout or after the review process."</t>
  </si>
  <si>
    <t>Yes [not sure where] "Authors may cite unpublished work, such as e-prints, preprints, internal reports, or results that have been reported only orally at meetings (even though an abstract may have been published). Unpublished work that appears during the review process may require a citation. Unpublished work has not been fully vetted by the community, and editorial judgment will be employed in determining the need to cite such work."</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</si>
  <si>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</si>
  <si>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2160-3308</t>
  </si>
  <si>
    <t>https://journals.aps.org/prx/referees/guidelines-for-referees</t>
  </si>
  <si>
    <t>Yes, in the reference list?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</si>
  <si>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</si>
  <si>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0375-9601</t>
  </si>
  <si>
    <t>Any: "Authors can share their preprint anywhere at any time...Authors can share their accepted manuscript by updating a preprint in arXiv or RePEc with the accepted manuscript"</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</si>
  <si>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</si>
  <si>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1932-6203</t>
  </si>
  <si>
    <t>Unsure: their definition of a preprint suggests only pre-peer review, but they do state that authors can submit revised versions to bioRxiv "Once a manuscript has been posted as a preprint on bioRxiv, authors may submit updates or revisions on bioRxiv directly. "</t>
  </si>
  <si>
    <t>Yes, in reference list: "Any and all available works can be cited in the reference list. Acceptable sources include:
Published or accepted manuscripts
Manuscripts on preprint servers, providing the manuscript has a citable DOI or arXiv URL."</t>
  </si>
  <si>
    <t>Re. preprint citation: Any and all available works can be cited in the reference list. Acceptable sources include: .. Published or accepted manuscripts ... Manuscripts on preprint servers, providing the manuscript has a citable DOI or arXiv URL."</t>
  </si>
  <si>
    <t>1091-6490</t>
  </si>
  <si>
    <t>bioRxiv/arXiv</t>
  </si>
  <si>
    <t>The review process is conducted anonymously for all submissions, except NAS members’ own contributions where the reviewers are known to the member author and their names are published.</t>
  </si>
  <si>
    <t>Single blind peer review inferred: referee must disclose COI based on author relationship (knows identity) but typically referee identity is not disclosed // Peer review credit: reviewers listed and credited in an editorial at the end of the year (e.g. https://www.pnas.org/content/115/52/E12466) // Preprint policy spread over several pages/editorials</t>
  </si>
  <si>
    <t>Added url for additional peer review info; replaced acceptable servers w quote; moved peer review credit url from notes to field</t>
  </si>
  <si>
    <t>1477-0288</t>
  </si>
  <si>
    <t>https://journals.sagepub.com/page/resources/reviewers</t>
  </si>
  <si>
    <t>No form but generic structure at https://uk.sagepub.com/en-gb/eur/how-to-review-articles</t>
  </si>
  <si>
    <t>See comments --&gt;</t>
  </si>
  <si>
    <t>Preprint policies: generic for SAGE - check each journal individually (https://uk.sagepub.com/en-gb/eur/node/1476415); this journal is included in listing of journals accepting preprints but not sure if that means they do (https://journals.sagepub.com/pb-assets/Journals-Accepting-PrePrints.pdf); Submission Guidelines do not say anything about preprints: https://uk.sagepub.com/en-gb/eur/journal/progress-human-geography#submission-guidelines</t>
  </si>
  <si>
    <t>Revised preprint policies according to comments; one of the links now redirects to a blanket preprint policy for SAGE</t>
  </si>
  <si>
    <t>1537-5331</t>
  </si>
  <si>
    <t>1360-0591</t>
  </si>
  <si>
    <t>https://authorservices.taylorandfrancis.com/what-to-expect-during-peer-review/</t>
  </si>
  <si>
    <t>Regional Studies is not very specific as to its peer review and preprint policies. While there is some general information on the peer review process, none is provided on preprints, which can mean that the editors either did not consider preprints at all or do not deem them a viable form of publication.</t>
  </si>
  <si>
    <t>Aims and Scope at https://www.tandfonline.com/action/journalInformation?show=aimsScope&amp;journalCode=cres20; Author guidelines at https://www.tandfonline.com/action/authorSubmission?show=instructions&amp;journalCode=cres20 -- neither mention anything beyond anonymity during peer review</t>
  </si>
  <si>
    <t>1364-0321</t>
  </si>
  <si>
    <t>The journal Renewable &amp; Sustainable Energy Reviews is published by Elsevier, so presumably many of Elsevier's general policies apply. However, no journal specific materials are offered on their website.</t>
  </si>
  <si>
    <t>coreview-policy: 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</si>
  <si>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
coreview-url: https://www.elsevier.com/reviewers/how-to-review
</t>
  </si>
  <si>
    <t xml:space="preserve">preprint-url: https://www.elsevier.com/journals/research-policy/0048-7333/guide-for-authors#20920, https://www.elsevier.com/authors/journal-authors/submit-your-paper/sharing-and-promoting-your-article
</t>
  </si>
  <si>
    <t>Yes*</t>
  </si>
  <si>
    <t>0048-7333</t>
  </si>
  <si>
    <t>No*</t>
  </si>
  <si>
    <t>Research Policy is published by Elsevier, so many of their general policies apply. In general, it can be difficult with Elsevier journals to locate the journal specific policies.</t>
  </si>
  <si>
    <t>0034-6535</t>
  </si>
  <si>
    <t>https://www.mitpressjournals.org/for_authors#authorreprints</t>
  </si>
  <si>
    <t>First submission can be freely posted anywhere; unpublished (but peer reviewed) version may be archived; peer-reviewed, typeset version may be posted on approved cites iff it includes a full citation, a copyright statement, and a link to the journal's homepage</t>
  </si>
  <si>
    <t>The MIT Press does not offer very transparent information concerning its review process. No information can be found on the journal website regarding its review process (whether blinded or not, e.g.).</t>
  </si>
  <si>
    <t xml:space="preserve">preprint-url: https://www.mitpressjournals.org/for_authors#authorposting
</t>
  </si>
  <si>
    <t>preprint-version: After peer review"</t>
  </si>
  <si>
    <t>Coreviewer policy</t>
  </si>
  <si>
    <t>1539-0756</t>
  </si>
  <si>
    <t>Authors of solicited and encouraged articles are encouraged to distribute or to post their articles electronically for comment, with one of the following notations on the cover, as appropriate: Submitted to Reviews of Modern Physics/To be submitted to Reviews of Modern Physics.</t>
  </si>
  <si>
    <t>Reviews of Modern Physics is a peer reviewd journal employing a single blind peer review process, but placing high value on not making the review process public (i.e. Names and comments of reviewers). Accordingly, the journal does not offer peer review transfer.</t>
  </si>
  <si>
    <t>pr-policy: https://journals.aps.org/rmp/authors#review, https://journals.aps.org/peer-review-materials-policy</t>
  </si>
  <si>
    <t>https://journals.aps.org/rmp/referees/guidelines-for-referees</t>
  </si>
  <si>
    <t>Any?</t>
  </si>
  <si>
    <t>1095-9203</t>
  </si>
  <si>
    <t>Unsure; at least single blind</t>
  </si>
  <si>
    <t>Once all reviews are in, we initiate a cross-review process in which we invite all reviewers to read the other (still anonymous) reviews and make additional comments within 2 business days. Cross-review is encouraged, but not required.</t>
  </si>
  <si>
    <t>No; peer review reports are never revealed to the authors, but might be shared (anonymized) with the other reviewers of a given paper</t>
  </si>
  <si>
    <t>Optional; Science employs cross-review</t>
  </si>
  <si>
    <t>Yes; the process is anonymous, however</t>
  </si>
  <si>
    <t>Once all reviews are in, we initiate a cross-review process in which we invite all reviewers to read the other (still anonymous) reviews and make additional comments within 2 business days. Cross-review is encouraged, but not required. We are able to expedite the review process significantly for papers that require rapid assessment. Manuscripts selected for publication are edited to improve accuracy and clarity, as well as for length. Rejected papers cannot be resubmitted over a disagreement on novelty, interest, or relative merit. If a paper was rejected on the basis of serious reviewer error, resubmission may be considered.</t>
  </si>
  <si>
    <t>Science offers a rather comprehensive, easily accessible peer review policy on its website. It is the first journal surveyed during the first round to employ a cross-review policy.</t>
  </si>
  <si>
    <t>Once all reviews are in, we initiate a cross-review process in which we invite all reviewers to read the other (still anonymous) reviews and make additional comments within 2 business days. Cross-review is encouraged, but not required.        http://www.sciencemag.org/authors/science-information-authors</t>
  </si>
  <si>
    <t>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t>
  </si>
  <si>
    <t>1946-6234</t>
  </si>
  <si>
    <t>http://www.sciencemag.org/authors/science-translational-medicine-information-authors</t>
  </si>
  <si>
    <t>I don't think STM does cross-reviewing like Science</t>
  </si>
  <si>
    <t>2045-2322</t>
  </si>
  <si>
    <t>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</si>
  <si>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Preprint citation example:  https://www.nature.com/srep/publish/guidelines#references  preprint media policy: https://www.nature.com/srep/journal-policies/editorial-policies?draft=journal&amp;target=content#confidentiality</t>
  </si>
  <si>
    <t>JKP</t>
  </si>
  <si>
    <t>0277-9536</t>
  </si>
  <si>
    <t>1097-0266</t>
  </si>
  <si>
    <t>Wiley lists some interesting resources on their general pages (eg https://authorservices.wiley.com/Reviewers/journal-reviewers/recognition-for-reviewers/index.html) but do not provide lists for statements such as "Get your Reviewer Recognition Certificate after you review (available from over 250 Wiley journals)"</t>
  </si>
  <si>
    <t>Standard Wiley Reviewer guidelines: https://authorservices.wiley.com/Reviewers/index.html</t>
  </si>
  <si>
    <t>New link does not contiain form; added coreviewer policy</t>
  </si>
  <si>
    <t>1573-0964</t>
  </si>
  <si>
    <t>Policies are extremely vague. For instance, instructions to authors page (https://www.springer.com/philosophy/epistemology+and+philosophy+of+science/journal/11229) is self-contradictory (in one place indicating a requirement for LaTeX; in another, for either LaTeX or Word)</t>
  </si>
  <si>
    <t>Other than the double-blind policy on peer review, no details on peer review process or preprint policies seem to be provided.</t>
  </si>
  <si>
    <t>0346-251X</t>
  </si>
  <si>
    <t>https://www.journals.elsevier.com/system, https://www.elsevier.com/journals/system/0346-251x/guide-for-authors</t>
  </si>
  <si>
    <t>0742-051X</t>
  </si>
  <si>
    <t>1545-7249</t>
  </si>
  <si>
    <t>1538-4357</t>
  </si>
  <si>
    <t>Website does not list even the most basic info about journal policies: http://iopscience.iop.org/journal/0004-637X</t>
  </si>
  <si>
    <t>Absence of PR and preprint policies (the latter esp puzzling b/c arXiv) - worth noting this in writing up</t>
  </si>
  <si>
    <t>1468-2648</t>
  </si>
  <si>
    <t>Cambridge University Press, School of Oriental and African Studies</t>
  </si>
  <si>
    <t>Very little information on the website</t>
  </si>
  <si>
    <t>1469-493X</t>
  </si>
  <si>
    <t>The Cochrane Database comprises work from many different review groups: https://www.cochranelibrary.com/about/cochrane-review-groups</t>
  </si>
  <si>
    <t>1434-6052</t>
  </si>
  <si>
    <t>1558-8238</t>
  </si>
  <si>
    <t>Reviewer rewards. Frequent reviewers are provided the opportunity to submit a new manuscript, as corresponding author, with a guarantee of external review. The Reviewer Reward is granted in January to reviewers who have completed on-time reviews for at least 3 separate manuscripts within the preceding 18 months. Only 1 reward may be used per calendar year. Submissions using the reward must fit within the scope of the journal and will be held to the same standard for publication as other manuscripts considered by the Editorial Board. Note: ASCI members whose dues are current receive a separate benefit for guaranteed external review and may not earn Reviewer Rewards in addition. More details are available here. (from https://www.jci.org/kiosks/authors#Editorial_Policies ) (There is some further info at: http://cofactorscience.com/blog/journal/journal-of-clinical-investigation/ )</t>
  </si>
  <si>
    <t>1540-6261</t>
  </si>
  <si>
    <t>1948-7185</t>
  </si>
  <si>
    <t>Physics &amp; Mathematics, Chemical &amp; Materials Sciences</t>
  </si>
  <si>
    <t>Note - had to unmerge some cells - think this has happened in a few places - need to fix all before analysis</t>
  </si>
  <si>
    <t>Re review identities revealed - if the editor has control over whether this is possible, I would mark this as conditional [ok - trh]</t>
  </si>
  <si>
    <t>1474-547X</t>
  </si>
  <si>
    <t>https://www.thelancet.com/lancet/about</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</si>
  <si>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t>
  </si>
  <si>
    <t>When revising papers for publication, authors might want to take the comments their papers have received into account.</t>
  </si>
  <si>
    <t>Its really remarkable that the Lancet has so little info about their peer review processes online - especially given the Wakefield case, the push for transparency in medical publishing, and the more positive example of the BMJ</t>
  </si>
  <si>
    <t>1474-4422</t>
  </si>
  <si>
    <t>https://www.thelancet.com/preprints</t>
  </si>
  <si>
    <t>The Lancet launched a specific preprint server this year.</t>
  </si>
  <si>
    <t>Preprints with The Lancet is a platform for sharing early stage non-peer-reviewed research within the medical and research community. As such, we ask that authors and their institutions refrain from actively seeking media attention for this type of work. If contacted by the press, authors should acknowledge that the content has not been peer reviewed.</t>
  </si>
  <si>
    <t>The Lancet's website is not specific as to the kind of peer review system employed. However, it does offer rich information on preprints.</t>
  </si>
  <si>
    <t>Note - the lancet was running a 6-month trial from mid-2018, where they automatically offered preprint publication via SSRN</t>
  </si>
  <si>
    <t>Copied pr policy link into transfer link</t>
  </si>
  <si>
    <t>1470-2045</t>
  </si>
  <si>
    <t>https://els-jbs-prod-cdn.literatumonline.com/pb/assets/raw/Lancet/authors/tlo-info-for-authors-1553790033677.pdf</t>
  </si>
  <si>
    <t>1540-4781</t>
  </si>
  <si>
    <t>https://onlinelibrary.wiley.com/page/journal/15404781/homepage/forauthors.html#Manuscript</t>
  </si>
  <si>
    <t>The Modern Language Journal is published by Wiley, but for the most part employs its own guidelines and procedures concerning peer review and preprints. Concerning the latter, no specifications are made on the website, however.</t>
  </si>
  <si>
    <t>https://authorservices.wiley.com/Reviewers/journal-reviewers/how-to-perform-a-peer-review/step-by-step-guide-to-reviewing-a-manuscript.html</t>
  </si>
  <si>
    <t>Nothing about preprints in author guidelines (https://onlinelibrary.wiley.com/page/journal/15404781/homepage/forauthors.html)</t>
  </si>
  <si>
    <t>Removed form link as it goes to a general guide</t>
  </si>
  <si>
    <t>1533-4406</t>
  </si>
  <si>
    <t>https://www.nejm.org/media-center/publication-process</t>
  </si>
  <si>
    <t>The NEJM is not very specific with respect to its peer review process. Its preprint policy is explicit and very restrictive (and easily accessible).</t>
  </si>
  <si>
    <t>^^ &amp; https://www.nejm.org/about-nejm/editorial-policies</t>
  </si>
  <si>
    <t>Agree, policy is: "NEJM expects that the articles it publishes will not have been published or released elsewhere."</t>
  </si>
  <si>
    <t>N/A (not specified)</t>
  </si>
  <si>
    <t xml:space="preserve">^^ Agree, further info: It's not specifically for preprints: "The rule also requires that author-researchers not release details of their research findings to mass media before the work can undergo peer review and be published." https://www.nejm.org/about-nejm/editorial-policies^^ </t>
  </si>
  <si>
    <t>1531-4650</t>
  </si>
  <si>
    <t>CC-BY-NC or CC-BY-NC-ND</t>
  </si>
  <si>
    <t>The Quarterly Journal of Economics is published by OUP, so many of their general policies apply. The website is not very specific regarding the peer review process, though.</t>
  </si>
  <si>
    <t>Not found (link above is not for this journal)</t>
  </si>
  <si>
    <t>Note preprint policy is generic to OUP, linked from this journal</t>
  </si>
  <si>
    <t>1467-937X</t>
  </si>
  <si>
    <t>The Author’s Original Version (AOV) is defined here as the un-refereed author version of an article completed before submission of the article to the journal. This is sometimes referred to as the “preprint” version. The author accepts full responsibility for the article, and the content and layout is set out by the author. 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Immediately upon publication authors may: Immediately upload their AM to their own personal webpage (excluding commercial websites and repositories). Immediately upload their AM to their institutional or other non-commercial subject based repositories on the proviso that it is not made publicly available until after the specified embargo period. After the embargo period authors may: Upload their AM to institutional repository or other non-commercial repositories and make it publicly available. Accepted Manuscripts may not be uploaded or shared on commercial websites or repositories, unless the website or repository has signed a licensing agreement with OUP permitting such uploading or sharing. Embargo periods may vary between journals. For details of a journal’s specific embargo period, please see the information for each individual title on our Accepted Manuscript embargo page. When uploading an accepted manuscript to a repository, authors should include the following acknowledgment as well as a link to the version of record. This will connect the published version to the AM version in the repository and help ensure that the article is cited correctly. This is a pre-copyedited, author-produced version of an article accepted for publication in [insert journal title] following peer review. The version of record [insert complete citation information here] is available online at: xxxxxxx [insert URL and DOI of the article on the OUP website]. The Version of Record (VOR) is defined here as the final typeset and edited version of the journal article that has been made available by OUP by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</si>
  <si>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Although The Review of Economic Studies is an Oxford Journal (a publisher which has been analyzed before during this round) it was impossible to locate the required information on the journal websit. In keeping with the study protocol, this is duely noted and no further attempts at locating the information have been made.</t>
  </si>
  <si>
    <t>Not much information about peer review or preprints for this journal, e.g. author guidelines:  https://academic.oup.com/restud/pages/General_Instructions.  While no specific reviewer credit policy for Publons / ORCID, they do aware an 'excellence in reviewing' prize annually &amp; list names on the website (until 2017 at least): https://academic.oup.com/restud/pages/excellence_in_refereeing // Preprint policyn is generic but linked from this journal's website</t>
  </si>
  <si>
    <t>1465-7368</t>
  </si>
  <si>
    <t>The Review of Financial Studies does not accept papers that have been previously published elsewhere with the exception of working papers series.</t>
  </si>
  <si>
    <t>The Review of Financial Studies is published by Oxford University Press. However, it seems exceedingly hard to locate their policies on peer review despite the fact that I previously managed to find them on other OUP journals' websites.</t>
  </si>
  <si>
    <t xml:space="preserve">
pr-policy: http://rfssfs.org/advice-for-referees/, https://editorialexpress.com/cgi-bin/e-editor/e-review_v18.cgi?dbase=rfs&amp;stage=0&amp;stage_completed=&amp;user_id=&amp;sub_id=&amp;password=F7ObH75z is probably the closest</t>
  </si>
  <si>
    <t xml:space="preserve">preprint-url: Add https://academic.oup.com/rfs/pages/Instructions_To_Authors
</t>
  </si>
  <si>
    <t xml:space="preserve">preprint-version: Could be coded as "After peer review" since they only disallow posting after acceptance
</t>
  </si>
  <si>
    <t xml:space="preserve">preprint-servers: Working paper series
</t>
  </si>
  <si>
    <t>preprint-link: yes (Authors are requested to append the appropriate citation to the working paper version on acceptance by the Journal (if the working paper series allows this).)</t>
  </si>
  <si>
    <t>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t>
  </si>
  <si>
    <t>0261-5177</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</si>
  <si>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t>
  </si>
  <si>
    <t>"Elsevier’s reviewer recognition platform provides reviewers with a means of publicly showcasing their efforts and receiving credit for their work."</t>
  </si>
  <si>
    <t>Any ("Authors can share their preprint anywhere at any time.")</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</si>
  <si>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</si>
  <si>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Aboce refers to the accepted manuscript, if posted on a preprint server</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</si>
  <si>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</si>
  <si>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1873-5991</t>
  </si>
  <si>
    <t>World Development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In this case, the journal employs a double-blind process which means that at no stage in the process reviewer identities and/or comments are made publicly available (except to the editors and authors, respectively).</t>
  </si>
  <si>
    <t>Fixed preprint policy link and related fields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</si>
</sst>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quot;-&quot;mm&quot;-&quot;dd"/>
    <numFmt numFmtId="165" formatCode="m/d/yyyy"/>
    <numFmt numFmtId="166" formatCode="yyyy-mm-dd"/>
    <numFmt numFmtId="167" formatCode="yyyy-m-d"/>
    <numFmt numFmtId="168" formatCode="mm/dd/yy"/>
  </numFmts>
  <fonts count="132">
    <font>
      <sz val="10.0"/>
      <color rgb="FF000000"/>
      <name val="Arial"/>
    </font>
    <font>
      <name val="Arial"/>
    </font>
    <font>
      <color rgb="FFFFFFFF"/>
      <name val="Arial"/>
    </font>
    <font>
      <b/>
      <name val="Arial"/>
    </font>
    <font>
      <color rgb="FF666666"/>
      <name val="Arial"/>
    </font>
    <font>
      <sz val="11.0"/>
      <color rgb="FF000000"/>
      <name val="Arial"/>
    </font>
    <font>
      <color rgb="FF000000"/>
      <name val="Arial"/>
    </font>
    <font>
      <u/>
      <color rgb="FF0000FF"/>
    </font>
    <font>
      <sz val="11.0"/>
      <color rgb="FF000000"/>
      <name val="Calibri"/>
    </font>
    <font/>
    <font>
      <b/>
      <color rgb="FF000000"/>
      <name val="Arial"/>
    </font>
    <font>
      <u/>
      <color rgb="FF0000FF"/>
    </font>
    <font>
      <b/>
      <color rgb="FF0000FF"/>
      <name val="Arial"/>
    </font>
    <font>
      <u/>
      <color rgb="FF0000FF"/>
    </font>
    <font>
      <u/>
      <color rgb="FF000000"/>
      <name val="Arial"/>
    </font>
    <font>
      <u/>
      <color rgb="FF000000"/>
      <name val="Arial"/>
    </font>
    <font>
      <color rgb="FF222222"/>
      <name val="Arial"/>
    </font>
    <font>
      <u/>
      <color rgb="FF0563C1"/>
      <name val="Arial"/>
    </font>
    <font>
      <u/>
      <color rgb="FF0000FF"/>
    </font>
    <font>
      <color rgb="FF333333"/>
      <name val="Arial"/>
    </font>
    <font>
      <b/>
      <u/>
      <color rgb="FF0563C1"/>
      <name val="Arial"/>
    </font>
    <font>
      <b/>
      <u/>
      <color rgb="FF000000"/>
      <name val="Arial"/>
    </font>
    <font>
      <b/>
      <u/>
      <color rgb="FF000000"/>
      <name val="Arial"/>
    </font>
    <font>
      <u/>
      <color rgb="FF666666"/>
      <name val="Arial"/>
    </font>
    <font>
      <b/>
      <color rgb="FF333333"/>
      <name val="Arial"/>
    </font>
    <font>
      <color rgb="FF000000"/>
      <name val="Roboto"/>
    </font>
    <font>
      <b/>
    </font>
    <font>
      <b/>
      <color rgb="FF000000"/>
      <name val="Roboto"/>
    </font>
    <font>
      <b/>
      <sz val="11.0"/>
      <color rgb="FF000000"/>
      <name val="Calibri"/>
    </font>
    <font>
      <color rgb="FF434343"/>
      <name val="Arial"/>
    </font>
    <font>
      <u/>
      <color rgb="FF434343"/>
      <name val="Arial"/>
    </font>
    <font>
      <sz val="11.0"/>
      <color rgb="FF434343"/>
      <name val="Calibri"/>
    </font>
    <font>
      <b/>
      <color rgb="FFFFFFFF"/>
      <name val="Arial"/>
    </font>
    <font>
      <b/>
      <color rgb="FF222222"/>
      <name val="Arial"/>
    </font>
    <font>
      <b/>
      <u/>
      <color rgb="FF0000FF"/>
    </font>
    <font>
      <i/>
      <color rgb="FF000000"/>
      <name val="Arial"/>
    </font>
    <font>
      <b/>
      <u/>
      <color rgb="FF000000"/>
      <name val="Roboto"/>
    </font>
    <font>
      <color rgb="FF1C1D1E"/>
      <name val="Arial"/>
    </font>
    <font>
      <b/>
      <color rgb="FF1C1D1E"/>
      <name val="Arial"/>
    </font>
    <font>
      <i/>
      <color rgb="FF404040"/>
      <name val="Arial"/>
    </font>
    <font>
      <b/>
      <color rgb="FF404040"/>
      <name val="Arial"/>
    </font>
    <font>
      <u/>
      <color rgb="FF000000"/>
      <name val="Arial"/>
    </font>
    <font>
      <color rgb="FF505050"/>
      <name val="Arial"/>
    </font>
    <font>
      <u/>
      <color rgb="FF000000"/>
      <name val="Roboto"/>
    </font>
    <font>
      <u/>
      <color rgb="FF000000"/>
      <name val="Arial"/>
    </font>
    <font>
      <color rgb="FF2A2A2A"/>
      <name val="Arial"/>
    </font>
    <font>
      <b/>
      <u/>
      <color rgb="FF000000"/>
      <name val="Arial"/>
    </font>
    <font>
      <u/>
      <color rgb="FF000000"/>
      <name val="Arial"/>
    </font>
    <font>
      <b/>
      <u/>
      <color rgb="FF000000"/>
      <name val="Arial"/>
    </font>
    <font>
      <u/>
      <color rgb="FF000000"/>
      <name val="Arial"/>
    </font>
    <font>
      <b/>
      <u/>
      <color rgb="FF000000"/>
      <name val="Arial"/>
    </font>
    <font>
      <b/>
      <color rgb="FF505050"/>
      <name val="Arial"/>
    </font>
    <font>
      <b/>
      <color rgb="FF53565A"/>
      <name val="Arial"/>
    </font>
    <font>
      <b/>
      <color rgb="FF53565A"/>
      <name val="Nexussans"/>
    </font>
    <font>
      <b/>
      <u/>
      <color rgb="FF000000"/>
      <name val="Arial"/>
    </font>
    <font>
      <b/>
      <u/>
      <color rgb="FF000000"/>
      <name val="Arial"/>
    </font>
    <font>
      <b/>
      <sz val="11.0"/>
      <color rgb="FF4F4F4F"/>
      <name val="Lucida Sans Unicode"/>
    </font>
    <font>
      <b/>
      <u/>
      <color rgb="FF1155CC"/>
      <name val="Arial"/>
    </font>
    <font>
      <b/>
      <u/>
      <color rgb="FF1155CC"/>
      <name val="Arial"/>
    </font>
    <font>
      <u/>
      <color rgb="FF0563C1"/>
      <name val="Arial"/>
    </font>
    <font>
      <u/>
      <color rgb="FF000000"/>
      <name val="Arial"/>
    </font>
    <font>
      <u/>
      <color rgb="FF0563C1"/>
      <name val="Arial"/>
    </font>
    <font>
      <u/>
      <color rgb="FF000000"/>
      <name val="Arial"/>
    </font>
    <font>
      <u/>
      <color rgb="FF000000"/>
      <name val="Arial"/>
    </font>
    <font>
      <u/>
      <color rgb="FF0563C1"/>
      <name val="Arial"/>
    </font>
    <font>
      <b/>
      <u/>
      <color rgb="FF0563C1"/>
      <name val="Arial"/>
    </font>
    <font>
      <b/>
      <u/>
      <color rgb="FF0563C1"/>
      <name val="Arial"/>
    </font>
    <font>
      <b/>
      <u/>
      <color rgb="FF000000"/>
      <name val="Arial"/>
    </font>
    <font>
      <b/>
      <u/>
      <color rgb="FF000000"/>
      <name val="Arial"/>
    </font>
    <font>
      <u/>
      <color rgb="FF0563C1"/>
      <name val="Arial"/>
    </font>
    <font>
      <b/>
      <u/>
      <color rgb="FF000000"/>
      <name val="Arial"/>
    </font>
    <font>
      <b/>
      <u/>
      <color rgb="FF0563C1"/>
      <name val="Arial"/>
    </font>
    <font>
      <u/>
      <color rgb="FF000000"/>
      <name val="Arial"/>
    </font>
    <font>
      <u/>
      <color rgb="FF000000"/>
      <name val="Arial"/>
    </font>
    <font>
      <u/>
      <color rgb="FF666666"/>
      <name val="Arial"/>
    </font>
    <font>
      <u/>
      <color rgb="FF0563C1"/>
      <name val="Arial"/>
    </font>
    <font>
      <u/>
      <color rgb="FF000000"/>
      <name val="Arial"/>
    </font>
    <font>
      <b/>
      <u/>
      <color rgb="FF0563C1"/>
      <name val="Arial"/>
    </font>
    <font>
      <b/>
      <u/>
      <color rgb="FF000000"/>
      <name val="Arial"/>
    </font>
    <font>
      <u/>
      <color rgb="FF000000"/>
      <name val="Arial"/>
    </font>
    <font>
      <u/>
      <color rgb="FF0563C1"/>
      <name val="Arial"/>
    </font>
    <font>
      <u/>
      <color rgb="FF0000FF"/>
    </font>
    <font>
      <u/>
      <sz val="11.0"/>
      <color rgb="FF000000"/>
      <name val="Calibri"/>
    </font>
    <font>
      <u/>
      <color rgb="FF000000"/>
      <name val="Calibri"/>
    </font>
    <font>
      <u/>
      <sz val="11.0"/>
      <color rgb="FF0563C1"/>
      <name val="Calibri"/>
    </font>
    <font>
      <u/>
      <color rgb="FF0563C1"/>
      <name val="Calibri"/>
    </font>
    <font>
      <u/>
      <sz val="11.0"/>
      <color rgb="FF0563C1"/>
      <name val="Calibri"/>
    </font>
    <font>
      <u/>
      <sz val="11.0"/>
      <color rgb="FF000000"/>
      <name val="Calibri"/>
    </font>
    <font>
      <u/>
      <sz val="11.0"/>
      <color rgb="FF0563C1"/>
      <name val="Calibri"/>
    </font>
    <font>
      <u/>
      <color rgb="FF000000"/>
      <name val="Roboto"/>
    </font>
    <font>
      <u/>
      <color rgb="FF000000"/>
      <name val="Arial"/>
    </font>
    <font>
      <sz val="10.0"/>
      <color rgb="FF1C1D1E"/>
      <name val="Arial"/>
    </font>
    <font>
      <u/>
      <color rgb="FF0563C1"/>
      <name val="Arial"/>
    </font>
    <font>
      <u/>
      <color rgb="FF000000"/>
      <name val="Arial"/>
    </font>
    <font>
      <b/>
      <u/>
      <color rgb="FF0000FF"/>
    </font>
    <font>
      <u/>
      <color rgb="FF000000"/>
      <name val="Arial"/>
    </font>
    <font>
      <b/>
      <u/>
      <sz val="11.0"/>
      <color rgb="FF0563C1"/>
      <name val="Calibri"/>
    </font>
    <font>
      <u/>
      <color rgb="FF000000"/>
      <name val="Arial"/>
    </font>
    <font>
      <sz val="11.0"/>
      <color rgb="FF333333"/>
      <name val="Helvetica"/>
    </font>
    <font>
      <sz val="11.0"/>
      <color rgb="FF333333"/>
      <name val="Arial"/>
    </font>
    <font>
      <u/>
      <color rgb="FF0563C1"/>
      <name val="Arial"/>
    </font>
    <font>
      <u/>
      <color rgb="FF0563C1"/>
      <name val="Arial"/>
    </font>
    <font>
      <u/>
      <color rgb="FF000000"/>
      <name val="Arial"/>
    </font>
    <font>
      <u/>
      <color rgb="FF0563C1"/>
      <name val="Arial"/>
    </font>
    <font>
      <sz val="11.0"/>
      <color rgb="FF000000"/>
      <name val="Inconsolata"/>
    </font>
    <font>
      <u/>
      <sz val="11.0"/>
      <color rgb="FF0563C1"/>
      <name val="Calibri"/>
    </font>
    <font>
      <sz val="12.0"/>
      <color rgb="FF575756"/>
      <name val="Arial"/>
    </font>
    <font>
      <u/>
      <sz val="11.0"/>
      <color rgb="FF0000FF"/>
      <name val="Calibri"/>
    </font>
    <font>
      <sz val="11.0"/>
      <name val="Calibri"/>
    </font>
    <font>
      <u/>
      <sz val="11.0"/>
      <color rgb="FF0563C1"/>
      <name val="Calibri"/>
    </font>
    <font>
      <u/>
      <sz val="11.0"/>
      <color rgb="FF000000"/>
      <name val="Calibri"/>
    </font>
    <font>
      <color rgb="FFFF0000"/>
      <name val="Arial"/>
    </font>
    <font>
      <sz val="14.0"/>
    </font>
    <font>
      <u/>
      <color rgb="FF1155CC"/>
      <name val="Arial"/>
    </font>
    <font>
      <u/>
      <color rgb="FF1155CC"/>
      <name val="Arial"/>
    </font>
    <font>
      <u/>
      <color rgb="FF006DAB"/>
      <name val="Arial"/>
    </font>
    <font>
      <color rgb="FF006DAB"/>
      <name val="Arial"/>
    </font>
    <font>
      <u/>
      <sz val="11.0"/>
      <color rgb="FF333333"/>
      <name val="Arial"/>
    </font>
    <font>
      <i/>
      <u/>
      <color rgb="FF2A2A2A"/>
      <name val="Arial"/>
    </font>
    <font>
      <u/>
      <color rgb="FF000000"/>
      <name val="Arial"/>
    </font>
    <font>
      <i/>
      <color rgb="FF2A2A2A"/>
      <name val="Arial"/>
    </font>
    <font>
      <color rgb="FF000000"/>
    </font>
    <font>
      <u/>
      <color rgb="FF0000FF"/>
      <name val="Arial"/>
    </font>
    <font>
      <sz val="10.0"/>
      <color rgb="FF222222"/>
      <name val="Arial"/>
    </font>
    <font>
      <u/>
      <color rgb="FF222222"/>
      <name val="Arial"/>
    </font>
    <font>
      <b/>
      <u/>
      <color rgb="FF222222"/>
      <name val="Arial"/>
    </font>
    <font>
      <u/>
      <color rgb="FF000000"/>
      <name val="Arial"/>
    </font>
    <font>
      <u/>
      <color rgb="FF0563C1"/>
      <name val="Arial"/>
    </font>
    <font>
      <u/>
      <color rgb="FF0563C1"/>
      <name val="Arial"/>
    </font>
    <font>
      <u/>
      <color rgb="FF0563C1"/>
      <name val="Arial"/>
    </font>
    <font>
      <u/>
      <color rgb="FF000000"/>
      <name val="Arial"/>
    </font>
    <font>
      <u/>
      <color rgb="FF000000"/>
      <name val="Arial"/>
    </font>
  </fonts>
  <fills count="23">
    <fill>
      <patternFill patternType="none"/>
    </fill>
    <fill>
      <patternFill patternType="lightGray"/>
    </fill>
    <fill>
      <patternFill patternType="solid">
        <fgColor rgb="FF9966FF"/>
        <bgColor rgb="FF9966FF"/>
      </patternFill>
    </fill>
    <fill>
      <patternFill patternType="solid">
        <fgColor rgb="FF000000"/>
        <bgColor rgb="FF000000"/>
      </patternFill>
    </fill>
    <fill>
      <patternFill patternType="solid">
        <fgColor rgb="FFFFFFFF"/>
        <bgColor rgb="FFFFFFFF"/>
      </patternFill>
    </fill>
    <fill>
      <patternFill patternType="solid">
        <fgColor rgb="FFB4A7D6"/>
        <bgColor rgb="FFB4A7D6"/>
      </patternFill>
    </fill>
    <fill>
      <patternFill patternType="solid">
        <fgColor rgb="FF999999"/>
        <bgColor rgb="FF999999"/>
      </patternFill>
    </fill>
    <fill>
      <patternFill patternType="solid">
        <fgColor rgb="FFE06666"/>
        <bgColor rgb="FFE06666"/>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C9DAF8"/>
        <bgColor rgb="FFC9DAF8"/>
      </patternFill>
    </fill>
    <fill>
      <patternFill patternType="solid">
        <fgColor rgb="FFE69138"/>
        <bgColor rgb="FFE69138"/>
      </patternFill>
    </fill>
    <fill>
      <patternFill patternType="solid">
        <fgColor rgb="FFFFFF00"/>
        <bgColor rgb="FFFFFF00"/>
      </patternFill>
    </fill>
    <fill>
      <patternFill patternType="solid">
        <fgColor rgb="FF969696"/>
        <bgColor rgb="FF969696"/>
      </patternFill>
    </fill>
    <fill>
      <patternFill patternType="solid">
        <fgColor rgb="FFF4CCCC"/>
        <bgColor rgb="FFF4CCCC"/>
      </patternFill>
    </fill>
    <fill>
      <patternFill patternType="solid">
        <fgColor rgb="FFD9D9D9"/>
        <bgColor rgb="FFD9D9D9"/>
      </patternFill>
    </fill>
    <fill>
      <patternFill patternType="solid">
        <fgColor rgb="FFFFE599"/>
        <bgColor rgb="FFFFE599"/>
      </patternFill>
    </fill>
    <fill>
      <patternFill patternType="solid">
        <fgColor rgb="FFDD7E6B"/>
        <bgColor rgb="FFDD7E6B"/>
      </patternFill>
    </fill>
    <fill>
      <patternFill patternType="solid">
        <fgColor rgb="FFA4C2F4"/>
        <bgColor rgb="FFA4C2F4"/>
      </patternFill>
    </fill>
    <fill>
      <patternFill patternType="solid">
        <fgColor rgb="FF9FC5E8"/>
        <bgColor rgb="FF9FC5E8"/>
      </patternFill>
    </fill>
    <fill>
      <patternFill patternType="solid">
        <fgColor rgb="FFEA9999"/>
        <bgColor rgb="FFEA9999"/>
      </patternFill>
    </fill>
    <fill>
      <patternFill patternType="solid">
        <fgColor rgb="FFA5A5A5"/>
        <bgColor rgb="FFA5A5A5"/>
      </patternFill>
    </fill>
  </fills>
  <borders count="58">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ck">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right style="thin">
        <color rgb="FF000000"/>
      </right>
    </border>
    <border>
      <bottom style="thin">
        <color rgb="FF969696"/>
      </bottom>
    </border>
    <border>
      <left style="thin">
        <color rgb="FF969696"/>
      </left>
      <right style="thin">
        <color rgb="FF969696"/>
      </right>
      <bottom style="thin">
        <color rgb="FF969696"/>
      </bottom>
    </border>
    <border>
      <right style="thin">
        <color rgb="FFD0CECE"/>
      </right>
      <bottom style="thin">
        <color rgb="FFD0CECE"/>
      </bottom>
    </border>
    <border>
      <right style="thin">
        <color rgb="FFD0CECE"/>
      </right>
    </border>
    <border>
      <bottom style="thin">
        <color rgb="FFD0CECE"/>
      </bottom>
    </border>
    <border>
      <left style="thin">
        <color rgb="FF969696"/>
      </left>
      <right style="thin">
        <color rgb="FF969696"/>
      </right>
    </border>
    <border>
      <right/>
    </border>
    <border>
      <left/>
      <right style="thick">
        <color rgb="FF000000"/>
      </right>
    </border>
    <border>
      <left style="thin">
        <color rgb="FFD0CECE"/>
      </left>
      <right style="thin">
        <color rgb="FFD0CECE"/>
      </right>
      <top style="thin">
        <color rgb="FFD0CECE"/>
      </top>
      <bottom style="thin">
        <color rgb="FFD0CECE"/>
      </bottom>
    </border>
    <border>
      <right style="thin">
        <color rgb="FF969696"/>
      </right>
    </border>
    <border>
      <left style="thin">
        <color rgb="FFD0CECE"/>
      </left>
    </border>
    <border>
      <left style="thin">
        <color rgb="FF000000"/>
      </left>
      <right style="thin">
        <color rgb="FF000000"/>
      </right>
      <bottom style="thin">
        <color rgb="FFAAAAAA"/>
      </bottom>
    </border>
    <border>
      <bottom style="thin">
        <color rgb="FFAAAAAA"/>
      </bottom>
    </border>
    <border>
      <right style="thin">
        <color rgb="FF000000"/>
      </right>
      <bottom style="thin">
        <color rgb="FFAAAAAA"/>
      </bottom>
    </border>
    <border>
      <right style="thin">
        <color rgb="FF000000"/>
      </right>
      <top style="thin">
        <color rgb="FFAAAAAA"/>
      </top>
      <bottom style="thin">
        <color rgb="FFAAAAAA"/>
      </bottom>
    </border>
    <border>
      <top style="thin">
        <color rgb="FFAAAAAA"/>
      </top>
      <bottom style="thin">
        <color rgb="FFAAAAAA"/>
      </bottom>
    </border>
    <border>
      <right/>
      <top style="thin">
        <color rgb="FFAAAAAA"/>
      </top>
      <bottom style="thin">
        <color rgb="FFAAAAAA"/>
      </bottom>
    </border>
    <border>
      <top style="thin">
        <color rgb="FF969696"/>
      </top>
      <bottom style="thin">
        <color rgb="FF969696"/>
      </bottom>
    </border>
    <border>
      <left style="thin">
        <color rgb="FFAAAAAA"/>
      </left>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969696"/>
      </bottom>
    </border>
    <border>
      <left style="thin">
        <color rgb="FF969696"/>
      </left>
      <right style="thin">
        <color rgb="FF969696"/>
      </right>
      <top style="thin">
        <color rgb="FF969696"/>
      </top>
      <bottom style="thin">
        <color rgb="FF969696"/>
      </bottom>
    </border>
    <border>
      <left style="thin">
        <color rgb="FFAAAAAA"/>
      </left>
      <right style="thin">
        <color rgb="FFAAAAAA"/>
      </right>
      <top style="thin">
        <color rgb="FF969696"/>
      </top>
      <bottom style="thin">
        <color rgb="FFAAAAAA"/>
      </bottom>
    </border>
    <border>
      <right style="thin">
        <color rgb="FFAAAAAA"/>
      </right>
      <top style="thin">
        <color rgb="FFAAAAAA"/>
      </top>
    </border>
    <border>
      <left style="thin">
        <color rgb="FFAAAAAA"/>
      </left>
      <right style="thin">
        <color rgb="FFAAAAAA"/>
      </right>
      <bottom style="thin">
        <color rgb="FFAAAAAA"/>
      </bottom>
    </border>
    <border>
      <left style="thin">
        <color rgb="FF969696"/>
      </left>
      <right style="thin">
        <color rgb="FFAAAAAA"/>
      </right>
      <top style="thin">
        <color rgb="FFAAAAAA"/>
      </top>
      <bottom style="thin">
        <color rgb="FFAAAAAA"/>
      </bottom>
    </border>
    <border>
      <right style="thin">
        <color rgb="FFAAAAAA"/>
      </right>
      <bottom style="thin">
        <color rgb="FFAAAAAA"/>
      </bottom>
    </border>
    <border>
      <left style="thin">
        <color rgb="FF969696"/>
      </left>
      <right style="thin">
        <color rgb="FF969696"/>
      </right>
      <top style="thin">
        <color rgb="FFAAAAAA"/>
      </top>
      <bottom style="thin">
        <color rgb="FFAAAAAA"/>
      </bottom>
    </border>
    <border>
      <left style="thin">
        <color rgb="FF969696"/>
      </left>
      <right style="thin">
        <color rgb="FF969696"/>
      </right>
      <bottom style="thin">
        <color rgb="FFAAAAAA"/>
      </bottom>
    </border>
    <border>
      <right style="thin">
        <color rgb="FFAAAAAA"/>
      </right>
    </border>
    <border>
      <left style="thin">
        <color rgb="FF969696"/>
      </left>
      <right style="thin">
        <color rgb="FFAAAAAA"/>
      </right>
      <bottom style="thin">
        <color rgb="FFAAAAAA"/>
      </bottom>
    </border>
    <border>
      <left style="thin">
        <color rgb="FF000000"/>
      </left>
      <right style="thin">
        <color rgb="FF000000"/>
      </right>
      <top style="thin">
        <color rgb="FFAAAAAA"/>
      </top>
      <bottom style="thin">
        <color rgb="FFAAAAAA"/>
      </bottom>
    </border>
    <border>
      <left style="thin">
        <color rgb="FF000000"/>
      </left>
      <right style="thin">
        <color rgb="FFCCCCCC"/>
      </right>
      <top style="thin">
        <color rgb="FFCCCCCC"/>
      </top>
      <bottom style="thin">
        <color rgb="FFCCCCCC"/>
      </bottom>
    </border>
    <border>
      <left style="thin">
        <color rgb="FF000000"/>
      </left>
      <right style="thin">
        <color rgb="FFCCCCCC"/>
      </right>
      <bottom style="thin">
        <color rgb="FFCCCCCC"/>
      </bottom>
    </border>
    <border>
      <left style="thin">
        <color rgb="FF000000"/>
      </left>
      <bottom style="thin">
        <color rgb="FFCCCCCC"/>
      </bottom>
    </border>
    <border>
      <left style="thin">
        <color rgb="FF000000"/>
      </left>
      <top style="thin">
        <color rgb="FFCCCCCC"/>
      </top>
      <bottom style="thin">
        <color rgb="FFCCCCCC"/>
      </bottom>
    </border>
    <border>
      <left style="thin">
        <color rgb="FF969696"/>
      </left>
    </border>
    <border>
      <top style="thin">
        <color rgb="FF969696"/>
      </top>
    </border>
    <border>
      <left style="thin">
        <color rgb="FF000000"/>
      </left>
      <right style="thin">
        <color rgb="FF000000"/>
      </right>
      <top style="thin">
        <color rgb="FFCCCCCC"/>
      </top>
      <bottom style="thin">
        <color rgb="FFCCCCCC"/>
      </bottom>
    </border>
    <border>
      <right style="thin">
        <color rgb="FF000000"/>
      </right>
      <top style="thin">
        <color rgb="FFCCCCCC"/>
      </top>
      <bottom style="thin">
        <color rgb="FFAAAAAA"/>
      </bottom>
    </border>
    <border>
      <left style="thin">
        <color rgb="FF000000"/>
      </left>
      <right style="thin">
        <color rgb="FF000000"/>
      </right>
      <bottom style="thin">
        <color rgb="FFCCCCCC"/>
      </bottom>
    </border>
    <border>
      <left style="thin">
        <color rgb="FF000000"/>
      </left>
      <right style="thin">
        <color rgb="FF000000"/>
      </right>
      <top style="thin">
        <color rgb="FFBBBBBB"/>
      </top>
      <bottom style="thin">
        <color rgb="FFCCCCCC"/>
      </bottom>
    </border>
    <border>
      <left style="thin">
        <color rgb="FFAAAAAA"/>
      </left>
      <right style="thin">
        <color rgb="FF000000"/>
      </right>
      <bottom style="thin">
        <color rgb="FFAAAAAA"/>
      </bottom>
    </border>
    <border>
      <right style="thin">
        <color rgb="FFAAAAAA"/>
      </right>
      <top style="thin">
        <color rgb="FF969696"/>
      </top>
      <bottom style="thin">
        <color rgb="FFAAAAAA"/>
      </bottom>
    </border>
    <border>
      <left style="thin">
        <color rgb="FF000000"/>
      </left>
      <right style="thin">
        <color rgb="FF000000"/>
      </right>
      <bottom style="thin">
        <color rgb="FF000000"/>
      </bottom>
    </border>
  </borders>
  <cellStyleXfs count="1">
    <xf borderId="0" fillId="0" fontId="0" numFmtId="0" applyAlignment="1" applyFont="1"/>
  </cellStyleXfs>
  <cellXfs count="7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0"/>
    </xf>
    <xf borderId="1" fillId="2" fontId="1" numFmtId="0" xfId="0" applyAlignment="1" applyBorder="1" applyFont="1">
      <alignment horizontal="left" readingOrder="0" shrinkToFit="0" vertical="bottom" wrapText="0"/>
    </xf>
    <xf borderId="0" fillId="3" fontId="2" numFmtId="0" xfId="0" applyAlignment="1" applyFill="1" applyFont="1">
      <alignment vertical="bottom"/>
    </xf>
    <xf borderId="2" fillId="0" fontId="2" numFmtId="0" xfId="0" applyAlignment="1" applyBorder="1" applyFont="1">
      <alignment readingOrder="0" shrinkToFit="0" vertical="top" wrapText="0"/>
    </xf>
    <xf borderId="2" fillId="4" fontId="1" numFmtId="0" xfId="0" applyAlignment="1" applyBorder="1" applyFill="1" applyFont="1">
      <alignment readingOrder="0" shrinkToFit="0" vertical="top" wrapText="0"/>
    </xf>
    <xf borderId="0" fillId="3" fontId="2" numFmtId="0" xfId="0" applyAlignment="1" applyFont="1">
      <alignment shrinkToFit="0" vertical="bottom" wrapText="1"/>
    </xf>
    <xf borderId="1" fillId="4" fontId="1" numFmtId="0" xfId="0" applyAlignment="1" applyBorder="1" applyFont="1">
      <alignment horizontal="left" readingOrder="0" shrinkToFit="0" vertical="bottom" wrapText="0"/>
    </xf>
    <xf borderId="0" fillId="5" fontId="1" numFmtId="0" xfId="0" applyAlignment="1" applyFill="1" applyFont="1">
      <alignment vertical="top"/>
    </xf>
    <xf borderId="1" fillId="6" fontId="1" numFmtId="0" xfId="0" applyAlignment="1" applyBorder="1" applyFill="1" applyFont="1">
      <alignment readingOrder="0" shrinkToFit="0" vertical="top" wrapText="0"/>
    </xf>
    <xf borderId="0" fillId="5" fontId="1" numFmtId="0" xfId="0" applyAlignment="1" applyFont="1">
      <alignment shrinkToFit="0" vertical="top" wrapText="1"/>
    </xf>
    <xf borderId="3" fillId="7" fontId="1" numFmtId="0" xfId="0" applyAlignment="1" applyBorder="1" applyFill="1" applyFont="1">
      <alignment readingOrder="0" shrinkToFit="0" vertical="top" wrapText="0"/>
    </xf>
    <xf borderId="0" fillId="5" fontId="3" numFmtId="0" xfId="0" applyAlignment="1" applyFont="1">
      <alignment shrinkToFit="0" vertical="top" wrapText="1"/>
    </xf>
    <xf borderId="4" fillId="7" fontId="1" numFmtId="0" xfId="0" applyAlignment="1" applyBorder="1" applyFont="1">
      <alignment readingOrder="0" shrinkToFit="0" vertical="top" wrapText="0"/>
    </xf>
    <xf borderId="5" fillId="5" fontId="4" numFmtId="0" xfId="0" applyAlignment="1" applyBorder="1" applyFont="1">
      <alignment shrinkToFit="0" vertical="top" wrapText="0"/>
    </xf>
    <xf borderId="1" fillId="8" fontId="1" numFmtId="0" xfId="0" applyAlignment="1" applyBorder="1" applyFill="1" applyFont="1">
      <alignment readingOrder="0" shrinkToFit="0" vertical="top" wrapText="0"/>
    </xf>
    <xf borderId="0" fillId="4" fontId="5" numFmtId="0" xfId="0" applyAlignment="1" applyFont="1">
      <alignment readingOrder="0"/>
    </xf>
    <xf borderId="1" fillId="9" fontId="6" numFmtId="0" xfId="0" applyAlignment="1" applyBorder="1" applyFill="1" applyFont="1">
      <alignment readingOrder="0" shrinkToFit="0" vertical="top" wrapText="0"/>
    </xf>
    <xf borderId="1" fillId="9" fontId="1" numFmtId="0" xfId="0" applyAlignment="1" applyBorder="1" applyFont="1">
      <alignment readingOrder="0" shrinkToFit="0" vertical="top" wrapText="0"/>
    </xf>
    <xf borderId="1" fillId="10" fontId="1" numFmtId="0" xfId="0" applyAlignment="1" applyBorder="1" applyFill="1" applyFont="1">
      <alignment readingOrder="0" shrinkToFit="0" vertical="top" wrapText="0"/>
    </xf>
    <xf borderId="0" fillId="0" fontId="7" numFmtId="0" xfId="0" applyAlignment="1" applyFont="1">
      <alignment readingOrder="0"/>
    </xf>
    <xf borderId="1" fillId="11" fontId="1" numFmtId="0" xfId="0" applyAlignment="1" applyBorder="1" applyFill="1" applyFont="1">
      <alignment readingOrder="0" shrinkToFit="0" vertical="top" wrapText="0"/>
    </xf>
    <xf borderId="0" fillId="5" fontId="1" numFmtId="164" xfId="0" applyAlignment="1" applyFont="1" applyNumberFormat="1">
      <alignment vertical="top"/>
    </xf>
    <xf borderId="1" fillId="0" fontId="1" numFmtId="0" xfId="0" applyAlignment="1" applyBorder="1" applyFont="1">
      <alignment readingOrder="0" shrinkToFit="0" vertical="bottom" wrapText="0"/>
    </xf>
    <xf borderId="4" fillId="0" fontId="1" numFmtId="0" xfId="0" applyAlignment="1" applyBorder="1" applyFont="1">
      <alignment horizontal="right" readingOrder="0" shrinkToFit="0" vertical="bottom" wrapText="0"/>
    </xf>
    <xf borderId="0" fillId="12" fontId="8" numFmtId="0" xfId="0" applyAlignment="1" applyFill="1" applyFont="1">
      <alignment readingOrder="0" shrinkToFit="0" vertical="bottom" wrapText="0"/>
    </xf>
    <xf borderId="0" fillId="5" fontId="1" numFmtId="164" xfId="0" applyAlignment="1" applyFont="1" applyNumberFormat="1">
      <alignment shrinkToFit="0" vertical="top" wrapText="1"/>
    </xf>
    <xf borderId="6" fillId="0" fontId="2" numFmtId="0" xfId="0" applyAlignment="1" applyBorder="1" applyFont="1">
      <alignment readingOrder="0" shrinkToFit="0" vertical="top" wrapText="1"/>
    </xf>
    <xf borderId="0" fillId="5" fontId="3" numFmtId="164" xfId="0" applyAlignment="1" applyFont="1" applyNumberFormat="1">
      <alignment shrinkToFit="0" vertical="top" wrapText="1"/>
    </xf>
    <xf borderId="7" fillId="2" fontId="3" numFmtId="0" xfId="0" applyAlignment="1" applyBorder="1" applyFont="1">
      <alignment readingOrder="0" shrinkToFit="0" vertical="top" wrapText="1"/>
    </xf>
    <xf borderId="5" fillId="5" fontId="4" numFmtId="164" xfId="0" applyAlignment="1" applyBorder="1" applyFont="1" applyNumberFormat="1">
      <alignment horizontal="right" shrinkToFit="0" vertical="top" wrapText="0"/>
    </xf>
    <xf borderId="7" fillId="2" fontId="3" numFmtId="0" xfId="0" applyAlignment="1" applyBorder="1" applyFont="1">
      <alignment horizontal="left" readingOrder="0" shrinkToFit="0" vertical="bottom" wrapText="1"/>
    </xf>
    <xf borderId="0" fillId="0" fontId="9" numFmtId="0" xfId="0" applyFont="1"/>
    <xf borderId="6" fillId="4" fontId="3" numFmtId="0" xfId="0" applyAlignment="1" applyBorder="1" applyFont="1">
      <alignment readingOrder="0" shrinkToFit="0" vertical="top" wrapText="1"/>
    </xf>
    <xf borderId="0" fillId="0" fontId="9" numFmtId="165" xfId="0" applyFont="1" applyNumberFormat="1"/>
    <xf borderId="7" fillId="4" fontId="3" numFmtId="0" xfId="0" applyAlignment="1" applyBorder="1" applyFont="1">
      <alignment horizontal="left" readingOrder="0" shrinkToFit="0" vertical="bottom" wrapText="1"/>
    </xf>
    <xf borderId="0" fillId="0" fontId="9" numFmtId="166" xfId="0" applyFont="1" applyNumberFormat="1"/>
    <xf borderId="7" fillId="6" fontId="3" numFmtId="0" xfId="0" applyAlignment="1" applyBorder="1" applyFont="1">
      <alignment readingOrder="0" shrinkToFit="0" vertical="top" wrapText="1"/>
    </xf>
    <xf borderId="3" fillId="7" fontId="3" numFmtId="0" xfId="0" applyAlignment="1" applyBorder="1" applyFont="1">
      <alignment readingOrder="0" shrinkToFit="0" vertical="top" wrapText="1"/>
    </xf>
    <xf borderId="0" fillId="0" fontId="9" numFmtId="167" xfId="0" applyFont="1" applyNumberFormat="1"/>
    <xf borderId="7" fillId="8" fontId="3" numFmtId="0" xfId="0" applyAlignment="1" applyBorder="1" applyFont="1">
      <alignment readingOrder="0" shrinkToFit="0" vertical="top" wrapText="1"/>
    </xf>
    <xf borderId="7" fillId="9" fontId="3" numFmtId="0" xfId="0" applyAlignment="1" applyBorder="1" applyFont="1">
      <alignment readingOrder="0" shrinkToFit="0" vertical="top" wrapText="1"/>
    </xf>
    <xf borderId="7" fillId="9" fontId="10" numFmtId="0" xfId="0" applyAlignment="1" applyBorder="1" applyFont="1">
      <alignment readingOrder="0" shrinkToFit="0" vertical="top" wrapText="1"/>
    </xf>
    <xf borderId="7" fillId="10" fontId="3" numFmtId="0" xfId="0" applyAlignment="1" applyBorder="1" applyFont="1">
      <alignment readingOrder="0" shrinkToFit="0" vertical="top" wrapText="1"/>
    </xf>
    <xf borderId="7" fillId="13" fontId="3" numFmtId="0" xfId="0" applyAlignment="1" applyBorder="1" applyFill="1" applyFont="1">
      <alignment readingOrder="0" shrinkToFit="0" vertical="top" wrapText="1"/>
    </xf>
    <xf borderId="0" fillId="0" fontId="9" numFmtId="168" xfId="0" applyFont="1" applyNumberFormat="1"/>
    <xf borderId="7" fillId="11" fontId="3" numFmtId="0" xfId="0" applyAlignment="1" applyBorder="1" applyFont="1">
      <alignment readingOrder="0" shrinkToFit="0" vertical="top" wrapText="1"/>
    </xf>
    <xf borderId="0" fillId="0" fontId="11" numFmtId="0" xfId="0" applyFont="1"/>
    <xf borderId="7" fillId="11" fontId="1" numFmtId="0" xfId="0" applyAlignment="1" applyBorder="1" applyFont="1">
      <alignment readingOrder="0" shrinkToFit="0" vertical="top" wrapText="1"/>
    </xf>
    <xf borderId="7" fillId="0" fontId="1" numFmtId="0" xfId="0" applyAlignment="1" applyBorder="1" applyFont="1">
      <alignment shrinkToFit="0" vertical="bottom" wrapText="1"/>
    </xf>
    <xf borderId="8" fillId="0" fontId="1" numFmtId="0" xfId="0" applyAlignment="1" applyBorder="1" applyFont="1">
      <alignment horizontal="right" shrinkToFit="0" vertical="bottom" wrapText="1"/>
    </xf>
    <xf borderId="0" fillId="12" fontId="8" numFmtId="0" xfId="0" applyAlignment="1" applyFont="1">
      <alignment shrinkToFit="0" vertical="bottom" wrapText="1"/>
    </xf>
    <xf borderId="6" fillId="0" fontId="2" numFmtId="0" xfId="0" applyAlignment="1" applyBorder="1" applyFont="1">
      <alignment readingOrder="0" shrinkToFit="0" vertical="top" wrapText="0"/>
    </xf>
    <xf borderId="7" fillId="2" fontId="1" numFmtId="0" xfId="0" applyAlignment="1" applyBorder="1" applyFont="1">
      <alignment readingOrder="0" shrinkToFit="0" vertical="top" wrapText="0"/>
    </xf>
    <xf borderId="7" fillId="2" fontId="1" numFmtId="0" xfId="0" applyAlignment="1" applyBorder="1" applyFont="1">
      <alignment horizontal="left" readingOrder="0" shrinkToFit="0" vertical="bottom" wrapText="0"/>
    </xf>
    <xf borderId="5" fillId="5" fontId="4" numFmtId="0" xfId="0" applyAlignment="1" applyBorder="1" applyFont="1">
      <alignment shrinkToFit="0" vertical="top" wrapText="0"/>
    </xf>
    <xf borderId="6" fillId="4" fontId="1" numFmtId="0" xfId="0" applyAlignment="1" applyBorder="1" applyFont="1">
      <alignment readingOrder="0" shrinkToFit="0" vertical="top" wrapText="0"/>
    </xf>
    <xf borderId="5" fillId="5" fontId="4" numFmtId="0" xfId="0" applyAlignment="1" applyBorder="1" applyFont="1">
      <alignment shrinkToFit="0" vertical="top" wrapText="1"/>
    </xf>
    <xf borderId="7" fillId="4" fontId="1" numFmtId="0" xfId="0" applyAlignment="1" applyBorder="1" applyFont="1">
      <alignment horizontal="left" readingOrder="0" shrinkToFit="0" vertical="bottom" wrapText="0"/>
    </xf>
    <xf borderId="7" fillId="6" fontId="1" numFmtId="0" xfId="0" applyAlignment="1" applyBorder="1" applyFont="1">
      <alignment shrinkToFit="0" vertical="top" wrapText="0"/>
    </xf>
    <xf borderId="7" fillId="8" fontId="1" numFmtId="0" xfId="0" applyAlignment="1" applyBorder="1" applyFont="1">
      <alignment readingOrder="0" shrinkToFit="0" vertical="top" wrapText="0"/>
    </xf>
    <xf borderId="1" fillId="0" fontId="9" numFmtId="0" xfId="0" applyBorder="1" applyFont="1"/>
    <xf borderId="7" fillId="9" fontId="1" numFmtId="0" xfId="0" applyAlignment="1" applyBorder="1" applyFont="1">
      <alignment readingOrder="0" shrinkToFit="0" vertical="top" wrapText="0"/>
    </xf>
    <xf borderId="7" fillId="10" fontId="1" numFmtId="0" xfId="0" applyAlignment="1" applyBorder="1" applyFont="1">
      <alignment readingOrder="0" shrinkToFit="0" vertical="top" wrapText="0"/>
    </xf>
    <xf borderId="7" fillId="11" fontId="1" numFmtId="0" xfId="0" applyAlignment="1" applyBorder="1" applyFont="1">
      <alignment readingOrder="0" shrinkToFit="0" vertical="top" wrapText="0"/>
    </xf>
    <xf borderId="7" fillId="0" fontId="1" numFmtId="0" xfId="0" applyAlignment="1" applyBorder="1" applyFont="1">
      <alignment shrinkToFit="0" vertical="bottom" wrapText="0"/>
    </xf>
    <xf borderId="8" fillId="0" fontId="1" numFmtId="0" xfId="0" applyAlignment="1" applyBorder="1" applyFont="1">
      <alignment horizontal="right" shrinkToFit="0" vertical="bottom" wrapText="0"/>
    </xf>
    <xf borderId="0" fillId="12" fontId="8" numFmtId="0" xfId="0" applyAlignment="1" applyFont="1">
      <alignment shrinkToFit="0" vertical="bottom" wrapText="0"/>
    </xf>
    <xf borderId="9" fillId="0" fontId="6" numFmtId="0" xfId="0" applyAlignment="1" applyBorder="1" applyFont="1">
      <alignment shrinkToFit="0" vertical="bottom" wrapText="0"/>
    </xf>
    <xf borderId="0" fillId="2" fontId="6" numFmtId="0" xfId="0" applyAlignment="1" applyFont="1">
      <alignment readingOrder="0" shrinkToFit="0" vertical="bottom" wrapText="0"/>
    </xf>
    <xf borderId="0" fillId="2" fontId="6" numFmtId="165" xfId="0" applyAlignment="1" applyFont="1" applyNumberFormat="1">
      <alignment horizontal="left" readingOrder="0" shrinkToFit="0" vertical="bottom" wrapText="0"/>
    </xf>
    <xf borderId="9" fillId="4" fontId="6" numFmtId="0" xfId="0" applyAlignment="1" applyBorder="1" applyFont="1">
      <alignment horizontal="left" readingOrder="0" shrinkToFit="0" vertical="bottom" wrapText="0"/>
    </xf>
    <xf borderId="0" fillId="4" fontId="6" numFmtId="166" xfId="0" applyAlignment="1" applyFont="1" applyNumberFormat="1">
      <alignment horizontal="left" readingOrder="0" shrinkToFit="0" vertical="bottom" wrapText="0"/>
    </xf>
    <xf borderId="0" fillId="4" fontId="6" numFmtId="0" xfId="0" applyAlignment="1" applyFont="1">
      <alignment horizontal="left" readingOrder="0" shrinkToFit="0" vertical="bottom" wrapText="0"/>
    </xf>
    <xf borderId="0" fillId="14" fontId="6" numFmtId="0" xfId="0" applyAlignment="1" applyFill="1" applyFont="1">
      <alignment readingOrder="0" shrinkToFit="0" vertical="bottom" wrapText="0"/>
    </xf>
    <xf borderId="0" fillId="5" fontId="12" numFmtId="0" xfId="0" applyAlignment="1" applyFont="1">
      <alignment shrinkToFit="0" vertical="top" wrapText="1"/>
    </xf>
    <xf borderId="10" fillId="0" fontId="6" numFmtId="0" xfId="0" applyAlignment="1" applyBorder="1" applyFont="1">
      <alignment readingOrder="0" shrinkToFit="0" vertical="bottom" wrapText="0"/>
    </xf>
    <xf borderId="0" fillId="15" fontId="6" numFmtId="0" xfId="0" applyAlignment="1" applyFill="1" applyFont="1">
      <alignment horizontal="left" readingOrder="0" shrinkToFit="0" wrapText="1"/>
    </xf>
    <xf borderId="0" fillId="0" fontId="13" numFmtId="0" xfId="0" applyFont="1"/>
    <xf borderId="11" fillId="0" fontId="6" numFmtId="0" xfId="0" applyAlignment="1" applyBorder="1" applyFont="1">
      <alignment readingOrder="0" shrinkToFit="0" vertical="bottom" wrapText="0"/>
    </xf>
    <xf borderId="0" fillId="5" fontId="3" numFmtId="0" xfId="0" applyAlignment="1" applyFont="1">
      <alignment shrinkToFit="0" vertical="top" wrapText="1"/>
    </xf>
    <xf borderId="0" fillId="0" fontId="6" numFmtId="0" xfId="0" applyAlignment="1" applyFont="1">
      <alignment readingOrder="0" shrinkToFit="0" vertical="bottom" wrapText="0"/>
    </xf>
    <xf borderId="0" fillId="0" fontId="14" numFmtId="0" xfId="0" applyAlignment="1" applyFont="1">
      <alignment readingOrder="0" shrinkToFit="0" vertical="bottom" wrapText="0"/>
    </xf>
    <xf borderId="12" fillId="0" fontId="6" numFmtId="0" xfId="0" applyAlignment="1" applyBorder="1" applyFont="1">
      <alignment shrinkToFit="0" vertical="bottom" wrapText="0"/>
    </xf>
    <xf borderId="13" fillId="4" fontId="6" numFmtId="0" xfId="0" applyAlignment="1" applyBorder="1" applyFont="1">
      <alignment readingOrder="0" shrinkToFit="0" vertical="top" wrapText="0"/>
    </xf>
    <xf borderId="0" fillId="0" fontId="6" numFmtId="0" xfId="0" applyAlignment="1" applyFont="1">
      <alignment shrinkToFit="0" vertical="bottom" wrapText="0"/>
    </xf>
    <xf borderId="14" fillId="4" fontId="6" numFmtId="0" xfId="0" applyAlignment="1" applyBorder="1" applyFont="1">
      <alignment readingOrder="0" shrinkToFit="0" vertical="bottom" wrapText="0"/>
    </xf>
    <xf borderId="15" fillId="0" fontId="15" numFmtId="0" xfId="0" applyAlignment="1" applyBorder="1" applyFont="1">
      <alignment readingOrder="0" shrinkToFit="0" vertical="bottom" wrapText="0"/>
    </xf>
    <xf borderId="16" fillId="0" fontId="6" numFmtId="0" xfId="0" applyAlignment="1" applyBorder="1" applyFont="1">
      <alignment readingOrder="0" shrinkToFit="0" vertical="bottom" wrapText="0"/>
    </xf>
    <xf borderId="17" fillId="4" fontId="6" numFmtId="0" xfId="0" applyAlignment="1" applyBorder="1" applyFont="1">
      <alignment readingOrder="0" shrinkToFit="0" vertical="top" wrapText="0"/>
    </xf>
    <xf borderId="0" fillId="0" fontId="6" numFmtId="0" xfId="0" applyAlignment="1" applyFont="1">
      <alignment readingOrder="0" shrinkToFit="0" wrapText="0"/>
    </xf>
    <xf borderId="0" fillId="0" fontId="9" numFmtId="0" xfId="0" applyAlignment="1" applyFont="1">
      <alignment readingOrder="0"/>
    </xf>
    <xf borderId="11" fillId="0" fontId="9" numFmtId="0" xfId="0" applyBorder="1" applyFont="1"/>
    <xf borderId="0" fillId="5" fontId="6" numFmtId="0" xfId="0" applyAlignment="1" applyFont="1">
      <alignment shrinkToFit="0" vertical="top" wrapText="1"/>
    </xf>
    <xf borderId="9" fillId="0" fontId="2" numFmtId="0" xfId="0" applyAlignment="1" applyBorder="1" applyFont="1">
      <alignment shrinkToFit="0" vertical="bottom" wrapText="0"/>
    </xf>
    <xf borderId="0" fillId="9" fontId="1" numFmtId="0" xfId="0" applyAlignment="1" applyFont="1">
      <alignment vertical="top"/>
    </xf>
    <xf borderId="0" fillId="4" fontId="6" numFmtId="0" xfId="0" applyAlignment="1" applyFont="1">
      <alignment horizontal="left" shrinkToFit="0" vertical="bottom" wrapText="0"/>
    </xf>
    <xf borderId="0" fillId="9" fontId="6" numFmtId="0" xfId="0" applyAlignment="1" applyFont="1">
      <alignment shrinkToFit="0" vertical="top" wrapText="1"/>
    </xf>
    <xf borderId="10" fillId="0" fontId="16" numFmtId="0" xfId="0" applyAlignment="1" applyBorder="1" applyFont="1">
      <alignment readingOrder="0" shrinkToFit="0" vertical="bottom" wrapText="0"/>
    </xf>
    <xf borderId="0" fillId="9" fontId="12" numFmtId="0" xfId="0" applyAlignment="1" applyFont="1">
      <alignment shrinkToFit="0" vertical="top" wrapText="1"/>
    </xf>
    <xf borderId="11" fillId="0" fontId="16" numFmtId="0" xfId="0" applyAlignment="1" applyBorder="1" applyFont="1">
      <alignment readingOrder="0" shrinkToFit="0" vertical="bottom" wrapText="0"/>
    </xf>
    <xf borderId="5" fillId="9" fontId="1" numFmtId="0" xfId="0" applyAlignment="1" applyBorder="1" applyFont="1">
      <alignment vertical="top"/>
    </xf>
    <xf borderId="0" fillId="0" fontId="17" numFmtId="0" xfId="0" applyAlignment="1" applyFont="1">
      <alignment readingOrder="0" shrinkToFit="0" vertical="bottom" wrapText="0"/>
    </xf>
    <xf borderId="0" fillId="0" fontId="9" numFmtId="166" xfId="0" applyAlignment="1" applyFont="1" applyNumberFormat="1">
      <alignment readingOrder="0"/>
    </xf>
    <xf borderId="0" fillId="4" fontId="1" numFmtId="0" xfId="0" applyAlignment="1" applyFont="1">
      <alignment readingOrder="0" shrinkToFit="0" vertical="top" wrapText="0"/>
    </xf>
    <xf borderId="0" fillId="0" fontId="18" numFmtId="166" xfId="0" applyFont="1" applyNumberFormat="1"/>
    <xf borderId="0" fillId="8" fontId="1" numFmtId="0" xfId="0" applyAlignment="1" applyFont="1">
      <alignment vertical="top"/>
    </xf>
    <xf borderId="0" fillId="8" fontId="1" numFmtId="0" xfId="0" applyAlignment="1" applyFont="1">
      <alignment shrinkToFit="0" vertical="top" wrapText="1"/>
    </xf>
    <xf borderId="14" fillId="4" fontId="1" numFmtId="0" xfId="0" applyAlignment="1" applyBorder="1" applyFont="1">
      <alignment readingOrder="0" shrinkToFit="0" vertical="bottom" wrapText="0"/>
    </xf>
    <xf borderId="0" fillId="8" fontId="3" numFmtId="0" xfId="0" applyAlignment="1" applyFont="1">
      <alignment shrinkToFit="0" vertical="top" wrapText="1"/>
    </xf>
    <xf borderId="0" fillId="0" fontId="19" numFmtId="0" xfId="0" applyAlignment="1" applyFont="1">
      <alignment readingOrder="0" shrinkToFit="0" vertical="bottom" wrapText="0"/>
    </xf>
    <xf borderId="18" fillId="8" fontId="1" numFmtId="0" xfId="0" applyAlignment="1" applyBorder="1" applyFont="1">
      <alignment shrinkToFit="0" vertical="top" wrapText="1"/>
    </xf>
    <xf borderId="0" fillId="0" fontId="19" numFmtId="0" xfId="0" applyAlignment="1" applyFont="1">
      <alignment readingOrder="0" shrinkToFit="0" wrapText="0"/>
    </xf>
    <xf borderId="19" fillId="8" fontId="4" numFmtId="0" xfId="0" applyAlignment="1" applyBorder="1" applyFont="1">
      <alignment shrinkToFit="0" vertical="top" wrapText="0"/>
    </xf>
    <xf borderId="0" fillId="0" fontId="10" numFmtId="0" xfId="0" applyAlignment="1" applyFont="1">
      <alignment readingOrder="0" shrinkToFit="0" vertical="bottom" wrapText="0"/>
    </xf>
    <xf borderId="0" fillId="0" fontId="20" numFmtId="0" xfId="0" applyAlignment="1" applyFont="1">
      <alignment readingOrder="0" shrinkToFit="0" vertical="bottom" wrapText="0"/>
    </xf>
    <xf borderId="12" fillId="0" fontId="10" numFmtId="0" xfId="0" applyAlignment="1" applyBorder="1" applyFont="1">
      <alignment shrinkToFit="0" vertical="bottom" wrapText="0"/>
    </xf>
    <xf borderId="13" fillId="4" fontId="3" numFmtId="0" xfId="0" applyAlignment="1" applyBorder="1" applyFont="1">
      <alignment readingOrder="0" shrinkToFit="0" vertical="top" wrapText="0"/>
    </xf>
    <xf borderId="0" fillId="0" fontId="10" numFmtId="0" xfId="0" applyAlignment="1" applyFont="1">
      <alignment shrinkToFit="0" vertical="bottom" wrapText="0"/>
    </xf>
    <xf borderId="14" fillId="4" fontId="3" numFmtId="0" xfId="0" applyAlignment="1" applyBorder="1" applyFont="1">
      <alignment readingOrder="0" shrinkToFit="0" vertical="bottom" wrapText="0"/>
    </xf>
    <xf borderId="15" fillId="0" fontId="21" numFmtId="0" xfId="0" applyAlignment="1" applyBorder="1" applyFont="1">
      <alignment readingOrder="0" shrinkToFit="0" vertical="bottom" wrapText="0"/>
    </xf>
    <xf borderId="0" fillId="8" fontId="3" numFmtId="0" xfId="0" applyAlignment="1" applyFont="1">
      <alignment shrinkToFit="0" vertical="top" wrapText="1"/>
    </xf>
    <xf borderId="0" fillId="0" fontId="22" numFmtId="0" xfId="0" applyAlignment="1" applyFont="1">
      <alignment readingOrder="0" shrinkToFit="0" vertical="bottom" wrapText="0"/>
    </xf>
    <xf borderId="17" fillId="4" fontId="3" numFmtId="0" xfId="0" applyAlignment="1" applyBorder="1" applyFont="1">
      <alignment readingOrder="0" shrinkToFit="0" vertical="top" wrapText="0"/>
    </xf>
    <xf borderId="5" fillId="8" fontId="23" numFmtId="0" xfId="0" applyAlignment="1" applyBorder="1" applyFont="1">
      <alignment shrinkToFit="0" vertical="top" wrapText="0"/>
    </xf>
    <xf borderId="0" fillId="0" fontId="24" numFmtId="0" xfId="0" applyAlignment="1" applyFont="1">
      <alignment readingOrder="0" shrinkToFit="0" vertical="bottom" wrapText="0"/>
    </xf>
    <xf borderId="0" fillId="0" fontId="24" numFmtId="0" xfId="0" applyAlignment="1" applyFont="1">
      <alignment readingOrder="0" shrinkToFit="0" wrapText="0"/>
    </xf>
    <xf borderId="11" fillId="0" fontId="10" numFmtId="0" xfId="0" applyAlignment="1" applyBorder="1" applyFont="1">
      <alignment readingOrder="0" shrinkToFit="0" vertical="bottom" wrapText="0"/>
    </xf>
    <xf borderId="0" fillId="6" fontId="6" numFmtId="0" xfId="0" applyAlignment="1" applyFont="1">
      <alignment readingOrder="0" shrinkToFit="0" vertical="bottom" wrapText="0"/>
    </xf>
    <xf borderId="0" fillId="15" fontId="16" numFmtId="0" xfId="0" applyAlignment="1" applyFont="1">
      <alignment horizontal="left" readingOrder="0" shrinkToFit="0" wrapText="1"/>
    </xf>
    <xf borderId="20" fillId="4" fontId="6" numFmtId="0" xfId="0" applyAlignment="1" applyBorder="1" applyFont="1">
      <alignment readingOrder="0" shrinkToFit="0" vertical="bottom" wrapText="0"/>
    </xf>
    <xf borderId="11" fillId="0" fontId="6" numFmtId="0" xfId="0" applyAlignment="1" applyBorder="1" applyFont="1">
      <alignment horizontal="right" readingOrder="0" shrinkToFit="0" vertical="bottom" wrapText="0"/>
    </xf>
    <xf borderId="0" fillId="6" fontId="1" numFmtId="0" xfId="0" applyAlignment="1" applyFont="1">
      <alignment readingOrder="0" shrinkToFit="0" vertical="bottom" wrapText="0"/>
    </xf>
    <xf borderId="0" fillId="4" fontId="25" numFmtId="0" xfId="0" applyAlignment="1" applyFont="1">
      <alignment readingOrder="0"/>
    </xf>
    <xf borderId="0" fillId="0" fontId="26" numFmtId="0" xfId="0" applyAlignment="1" applyFont="1">
      <alignment readingOrder="0"/>
    </xf>
    <xf borderId="0" fillId="4" fontId="27" numFmtId="0" xfId="0" applyAlignment="1" applyFont="1">
      <alignment readingOrder="0"/>
    </xf>
    <xf borderId="15" fillId="0" fontId="6" numFmtId="0" xfId="0" applyAlignment="1" applyBorder="1" applyFont="1">
      <alignment readingOrder="0" shrinkToFit="0" vertical="bottom" wrapText="0"/>
    </xf>
    <xf borderId="14" fillId="0" fontId="6" numFmtId="0" xfId="0" applyAlignment="1" applyBorder="1" applyFont="1">
      <alignment readingOrder="0" shrinkToFit="0" vertical="bottom" wrapText="0"/>
    </xf>
    <xf borderId="0" fillId="0" fontId="6" numFmtId="0" xfId="0" applyAlignment="1" applyFont="1">
      <alignment readingOrder="0" shrinkToFit="0" vertical="top" wrapText="0"/>
    </xf>
    <xf borderId="0" fillId="0" fontId="1" numFmtId="0" xfId="0" applyAlignment="1" applyFont="1">
      <alignment readingOrder="0" shrinkToFit="0" vertical="top" wrapText="0"/>
    </xf>
    <xf borderId="14" fillId="0" fontId="10" numFmtId="0" xfId="0" applyAlignment="1" applyBorder="1" applyFont="1">
      <alignment readingOrder="0" shrinkToFit="0" vertical="bottom" wrapText="0"/>
    </xf>
    <xf borderId="0" fillId="0" fontId="3" numFmtId="0" xfId="0" applyAlignment="1" applyFont="1">
      <alignment readingOrder="0" shrinkToFit="0" vertical="top" wrapText="0"/>
    </xf>
    <xf borderId="11" fillId="0" fontId="10" numFmtId="0" xfId="0" applyAlignment="1" applyBorder="1" applyFont="1">
      <alignment horizontal="right" readingOrder="0" shrinkToFit="0" vertical="bottom" wrapText="0"/>
    </xf>
    <xf borderId="0" fillId="12" fontId="28" numFmtId="0" xfId="0" applyAlignment="1" applyFont="1">
      <alignment shrinkToFit="0" vertical="bottom" wrapText="0"/>
    </xf>
    <xf borderId="9" fillId="0" fontId="29" numFmtId="0" xfId="0" applyAlignment="1" applyBorder="1" applyFont="1">
      <alignment shrinkToFit="0" vertical="bottom" wrapText="0"/>
    </xf>
    <xf borderId="0" fillId="2" fontId="29" numFmtId="0" xfId="0" applyAlignment="1" applyFont="1">
      <alignment readingOrder="0" shrinkToFit="0" vertical="bottom" wrapText="0"/>
    </xf>
    <xf borderId="0" fillId="2" fontId="29" numFmtId="165" xfId="0" applyAlignment="1" applyFont="1" applyNumberFormat="1">
      <alignment horizontal="left" readingOrder="0" shrinkToFit="0" vertical="bottom" wrapText="0"/>
    </xf>
    <xf borderId="9" fillId="4" fontId="29" numFmtId="0" xfId="0" applyAlignment="1" applyBorder="1" applyFont="1">
      <alignment horizontal="left" readingOrder="0" shrinkToFit="0" vertical="bottom" wrapText="0"/>
    </xf>
    <xf borderId="0" fillId="4" fontId="29" numFmtId="166" xfId="0" applyAlignment="1" applyFont="1" applyNumberFormat="1">
      <alignment horizontal="left" readingOrder="0" shrinkToFit="0" vertical="bottom" wrapText="0"/>
    </xf>
    <xf borderId="0" fillId="4" fontId="29" numFmtId="0" xfId="0" applyAlignment="1" applyFont="1">
      <alignment horizontal="left" readingOrder="0" shrinkToFit="0" vertical="bottom" wrapText="0"/>
    </xf>
    <xf borderId="0" fillId="6" fontId="29" numFmtId="0" xfId="0" applyAlignment="1" applyFont="1">
      <alignment readingOrder="0" shrinkToFit="0" vertical="bottom" wrapText="0"/>
    </xf>
    <xf borderId="10" fillId="0" fontId="29" numFmtId="0" xfId="0" applyAlignment="1" applyBorder="1" applyFont="1">
      <alignment readingOrder="0" shrinkToFit="0" vertical="bottom" wrapText="0"/>
    </xf>
    <xf borderId="11" fillId="0" fontId="29" numFmtId="0" xfId="0" applyAlignment="1" applyBorder="1" applyFont="1">
      <alignment readingOrder="0" shrinkToFit="0" vertical="bottom" wrapText="0"/>
    </xf>
    <xf borderId="0" fillId="0" fontId="29" numFmtId="0" xfId="0" applyAlignment="1" applyFont="1">
      <alignment readingOrder="0" shrinkToFit="0" vertical="bottom" wrapText="0"/>
    </xf>
    <xf borderId="0" fillId="0" fontId="30" numFmtId="0" xfId="0" applyAlignment="1" applyFont="1">
      <alignment readingOrder="0" shrinkToFit="0" vertical="bottom" wrapText="0"/>
    </xf>
    <xf borderId="0" fillId="0" fontId="29" numFmtId="0" xfId="0" applyAlignment="1" applyFont="1">
      <alignment shrinkToFit="0" vertical="bottom" wrapText="0"/>
    </xf>
    <xf borderId="20" fillId="4" fontId="29" numFmtId="0" xfId="0" applyAlignment="1" applyBorder="1" applyFont="1">
      <alignment readingOrder="0" shrinkToFit="0" vertical="bottom" wrapText="0"/>
    </xf>
    <xf borderId="17" fillId="0" fontId="29" numFmtId="0" xfId="0" applyAlignment="1" applyBorder="1" applyFont="1">
      <alignment readingOrder="0" shrinkToFit="0" vertical="bottom" wrapText="0"/>
    </xf>
    <xf borderId="20" fillId="0" fontId="29" numFmtId="0" xfId="0" applyAlignment="1" applyBorder="1" applyFont="1">
      <alignment shrinkToFit="0" vertical="bottom" wrapText="0"/>
    </xf>
    <xf borderId="11" fillId="0" fontId="29" numFmtId="0" xfId="0" applyAlignment="1" applyBorder="1" applyFont="1">
      <alignment horizontal="right" readingOrder="0" shrinkToFit="0" vertical="bottom" wrapText="0"/>
    </xf>
    <xf borderId="0" fillId="12" fontId="31" numFmtId="0" xfId="0" applyAlignment="1" applyFont="1">
      <alignment shrinkToFit="0" vertical="bottom" wrapText="0"/>
    </xf>
    <xf borderId="20" fillId="4" fontId="1" numFmtId="0" xfId="0" applyAlignment="1" applyBorder="1" applyFont="1">
      <alignment readingOrder="0" shrinkToFit="0" vertical="bottom" wrapText="0"/>
    </xf>
    <xf quotePrefix="1" borderId="0" fillId="0" fontId="6" numFmtId="0" xfId="0" applyAlignment="1" applyFont="1">
      <alignment readingOrder="0" shrinkToFit="0" vertical="bottom" wrapText="0"/>
    </xf>
    <xf borderId="20" fillId="4" fontId="3" numFmtId="0" xfId="0" applyAlignment="1" applyBorder="1" applyFont="1">
      <alignment readingOrder="0" shrinkToFit="0" vertical="bottom" wrapText="0"/>
    </xf>
    <xf borderId="16" fillId="0" fontId="10" numFmtId="0" xfId="0" applyAlignment="1" applyBorder="1" applyFont="1">
      <alignment readingOrder="0" shrinkToFit="0" vertical="bottom" wrapText="0"/>
    </xf>
    <xf borderId="21" fillId="0" fontId="6" numFmtId="0" xfId="0" applyAlignment="1" applyBorder="1" applyFont="1">
      <alignment readingOrder="0" shrinkToFit="0" vertical="bottom" wrapText="0"/>
    </xf>
    <xf borderId="9" fillId="0" fontId="32" numFmtId="0" xfId="0" applyAlignment="1" applyBorder="1" applyFont="1">
      <alignment shrinkToFit="0" vertical="bottom" wrapText="0"/>
    </xf>
    <xf borderId="0" fillId="2" fontId="10" numFmtId="0" xfId="0" applyAlignment="1" applyFont="1">
      <alignment readingOrder="0" shrinkToFit="0" vertical="bottom" wrapText="0"/>
    </xf>
    <xf borderId="0" fillId="2" fontId="10" numFmtId="165" xfId="0" applyAlignment="1" applyFont="1" applyNumberFormat="1">
      <alignment horizontal="left" readingOrder="0" shrinkToFit="0" vertical="bottom" wrapText="0"/>
    </xf>
    <xf borderId="9" fillId="4" fontId="10" numFmtId="0" xfId="0" applyAlignment="1" applyBorder="1" applyFont="1">
      <alignment horizontal="left" readingOrder="0" shrinkToFit="0" vertical="bottom" wrapText="0"/>
    </xf>
    <xf borderId="0" fillId="4" fontId="10" numFmtId="0" xfId="0" applyAlignment="1" applyFont="1">
      <alignment horizontal="left" shrinkToFit="0" vertical="bottom" wrapText="0"/>
    </xf>
    <xf borderId="0" fillId="6" fontId="3" numFmtId="0" xfId="0" applyAlignment="1" applyFont="1">
      <alignment readingOrder="0" shrinkToFit="0" vertical="bottom" wrapText="0"/>
    </xf>
    <xf borderId="10" fillId="0" fontId="33" numFmtId="0" xfId="0" applyAlignment="1" applyBorder="1" applyFont="1">
      <alignment readingOrder="0" shrinkToFit="0" vertical="bottom" wrapText="0"/>
    </xf>
    <xf borderId="11" fillId="0" fontId="33" numFmtId="0" xfId="0" applyAlignment="1" applyBorder="1" applyFont="1">
      <alignment readingOrder="0" shrinkToFit="0" vertical="bottom" wrapText="0"/>
    </xf>
    <xf borderId="0" fillId="0" fontId="34" numFmtId="0" xfId="0" applyAlignment="1" applyFont="1">
      <alignment readingOrder="0"/>
    </xf>
    <xf borderId="0" fillId="0" fontId="10" numFmtId="0" xfId="0" applyAlignment="1" applyFont="1">
      <alignment readingOrder="0" shrinkToFit="0" vertical="top" wrapText="0"/>
    </xf>
    <xf borderId="0" fillId="12" fontId="28" numFmtId="0" xfId="0" applyAlignment="1" applyFont="1">
      <alignment readingOrder="0" shrinkToFit="0" vertical="bottom" wrapText="0"/>
    </xf>
    <xf borderId="0" fillId="0" fontId="35" numFmtId="0" xfId="0" applyAlignment="1" applyFont="1">
      <alignment readingOrder="0" shrinkToFit="0" vertical="bottom" wrapText="0"/>
    </xf>
    <xf borderId="0" fillId="4" fontId="1" numFmtId="0" xfId="0" applyAlignment="1" applyFont="1">
      <alignment readingOrder="0" shrinkToFit="0" vertical="bottom" wrapText="0"/>
    </xf>
    <xf borderId="0" fillId="4" fontId="3" numFmtId="0" xfId="0" applyAlignment="1" applyFont="1">
      <alignment readingOrder="0" shrinkToFit="0" vertical="bottom" wrapText="0"/>
    </xf>
    <xf borderId="0" fillId="4" fontId="10"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22" fillId="0" fontId="6" numFmtId="0" xfId="0" applyAlignment="1" applyBorder="1" applyFont="1">
      <alignment readingOrder="0" shrinkToFit="0" vertical="bottom" wrapText="0"/>
    </xf>
    <xf borderId="15" fillId="0" fontId="6" numFmtId="0" xfId="0" applyAlignment="1" applyBorder="1" applyFont="1">
      <alignment shrinkToFit="0" vertical="bottom" wrapText="0"/>
    </xf>
    <xf borderId="15" fillId="0" fontId="10" numFmtId="0" xfId="0" applyAlignment="1" applyBorder="1" applyFont="1">
      <alignment readingOrder="0" shrinkToFit="0" vertical="bottom" wrapText="0"/>
    </xf>
    <xf borderId="0" fillId="4" fontId="6" numFmtId="168" xfId="0" applyAlignment="1" applyFont="1" applyNumberFormat="1">
      <alignment horizontal="left" readingOrder="0" shrinkToFit="0" vertical="bottom" wrapText="0"/>
    </xf>
    <xf borderId="20" fillId="0" fontId="6" numFmtId="0" xfId="0" applyAlignment="1" applyBorder="1" applyFont="1">
      <alignment shrinkToFit="0" vertical="bottom" wrapText="0"/>
    </xf>
    <xf borderId="0" fillId="4" fontId="36" numFmtId="0" xfId="0" applyAlignment="1" applyFont="1">
      <alignment readingOrder="0"/>
    </xf>
    <xf borderId="0" fillId="0" fontId="37" numFmtId="0" xfId="0" applyAlignment="1" applyFont="1">
      <alignment readingOrder="0" shrinkToFit="0" vertical="bottom" wrapText="0"/>
    </xf>
    <xf borderId="0" fillId="0" fontId="37" numFmtId="0" xfId="0" applyAlignment="1" applyFont="1">
      <alignment horizontal="left" readingOrder="0" shrinkToFit="0" vertical="bottom" wrapText="0"/>
    </xf>
    <xf borderId="0" fillId="0" fontId="37" numFmtId="0" xfId="0" applyAlignment="1" applyFont="1">
      <alignment readingOrder="0" shrinkToFit="0" wrapText="0"/>
    </xf>
    <xf borderId="0" fillId="0" fontId="38" numFmtId="0" xfId="0" applyAlignment="1" applyFont="1">
      <alignment horizontal="left" readingOrder="0" shrinkToFit="0" vertical="bottom" wrapText="0"/>
    </xf>
    <xf borderId="0" fillId="0" fontId="38" numFmtId="0" xfId="0" applyAlignment="1" applyFont="1">
      <alignment readingOrder="0" shrinkToFit="0" vertical="bottom" wrapText="0"/>
    </xf>
    <xf borderId="0" fillId="0" fontId="38" numFmtId="0" xfId="0" applyAlignment="1" applyFont="1">
      <alignment readingOrder="0" shrinkToFit="0" wrapText="0"/>
    </xf>
    <xf borderId="0" fillId="0" fontId="39" numFmtId="0" xfId="0" applyAlignment="1" applyFont="1">
      <alignment readingOrder="0" shrinkToFit="0" vertical="bottom" wrapText="0"/>
    </xf>
    <xf borderId="0" fillId="0" fontId="40" numFmtId="0" xfId="0" applyAlignment="1" applyFont="1">
      <alignment readingOrder="0" shrinkToFit="0" vertical="bottom" wrapText="0"/>
    </xf>
    <xf borderId="0" fillId="4" fontId="10" numFmtId="166" xfId="0" applyAlignment="1" applyFont="1" applyNumberFormat="1">
      <alignment horizontal="left" readingOrder="0" shrinkToFit="0" vertical="bottom" wrapText="0"/>
    </xf>
    <xf borderId="0" fillId="0" fontId="41" numFmtId="0" xfId="0" applyAlignment="1" applyFont="1">
      <alignment readingOrder="0" shrinkToFit="0" wrapText="0"/>
    </xf>
    <xf borderId="0" fillId="0" fontId="42" numFmtId="0" xfId="0" applyAlignment="1" applyFont="1">
      <alignment readingOrder="0" shrinkToFit="0" vertical="bottom" wrapText="0"/>
    </xf>
    <xf borderId="0" fillId="4" fontId="43" numFmtId="0" xfId="0" applyAlignment="1" applyFont="1">
      <alignment readingOrder="0"/>
    </xf>
    <xf borderId="10" fillId="16" fontId="6" numFmtId="0" xfId="0" applyAlignment="1" applyBorder="1" applyFill="1" applyFont="1">
      <alignment vertical="bottom"/>
    </xf>
    <xf borderId="0" fillId="16" fontId="6" numFmtId="0" xfId="0" applyAlignment="1" applyFont="1">
      <alignment vertical="bottom"/>
    </xf>
    <xf borderId="0" fillId="16" fontId="44" numFmtId="0" xfId="0" applyAlignment="1" applyFont="1">
      <alignment vertical="bottom"/>
    </xf>
    <xf borderId="0" fillId="16" fontId="6" numFmtId="0" xfId="0" applyAlignment="1" applyFont="1">
      <alignment vertical="bottom"/>
    </xf>
    <xf borderId="11" fillId="16" fontId="6" numFmtId="0" xfId="0" applyAlignment="1" applyBorder="1" applyFont="1">
      <alignment horizontal="right" vertical="bottom"/>
    </xf>
    <xf borderId="0" fillId="16" fontId="1" numFmtId="0" xfId="0" applyAlignment="1" applyFont="1">
      <alignment vertical="bottom"/>
    </xf>
    <xf borderId="0" fillId="16" fontId="45" numFmtId="0" xfId="0" applyAlignment="1" applyFont="1">
      <alignment vertical="bottom"/>
    </xf>
    <xf borderId="9" fillId="0" fontId="10" numFmtId="0" xfId="0" applyAlignment="1" applyBorder="1" applyFont="1">
      <alignment vertical="bottom"/>
    </xf>
    <xf borderId="0" fillId="2" fontId="10" numFmtId="0" xfId="0" applyAlignment="1" applyFont="1">
      <alignment vertical="bottom"/>
    </xf>
    <xf borderId="11" fillId="2" fontId="10" numFmtId="165" xfId="0" applyAlignment="1" applyBorder="1" applyFont="1" applyNumberFormat="1">
      <alignment vertical="bottom"/>
    </xf>
    <xf borderId="0" fillId="16" fontId="10" numFmtId="0" xfId="0" applyAlignment="1" applyFont="1">
      <alignment vertical="bottom"/>
    </xf>
    <xf borderId="0" fillId="16" fontId="10" numFmtId="0" xfId="0" applyAlignment="1" applyFont="1">
      <alignment vertical="bottom"/>
    </xf>
    <xf borderId="18" fillId="16" fontId="10" numFmtId="0" xfId="0" applyAlignment="1" applyBorder="1" applyFont="1">
      <alignment readingOrder="0" shrinkToFit="0" vertical="bottom" wrapText="0"/>
    </xf>
    <xf borderId="18" fillId="16" fontId="10" numFmtId="0" xfId="0" applyAlignment="1" applyBorder="1" applyFont="1">
      <alignment vertical="bottom"/>
    </xf>
    <xf borderId="11" fillId="16" fontId="10" numFmtId="0" xfId="0" applyAlignment="1" applyBorder="1" applyFont="1">
      <alignment vertical="bottom"/>
    </xf>
    <xf borderId="11" fillId="16" fontId="10" numFmtId="0" xfId="0" applyAlignment="1" applyBorder="1" applyFont="1">
      <alignment vertical="bottom"/>
    </xf>
    <xf borderId="0" fillId="16" fontId="10" numFmtId="0" xfId="0" applyAlignment="1" applyFont="1">
      <alignment vertical="bottom"/>
    </xf>
    <xf borderId="0" fillId="16" fontId="46" numFmtId="0" xfId="0" applyAlignment="1" applyFont="1">
      <alignment vertical="bottom"/>
    </xf>
    <xf borderId="0" fillId="16" fontId="10" numFmtId="0" xfId="0" applyAlignment="1" applyFont="1">
      <alignment readingOrder="0" vertical="bottom"/>
    </xf>
    <xf borderId="18" fillId="16" fontId="27" numFmtId="0" xfId="0" applyAlignment="1" applyBorder="1" applyFont="1">
      <alignment shrinkToFit="0" vertical="bottom" wrapText="0"/>
    </xf>
    <xf borderId="10" fillId="0" fontId="6" numFmtId="0" xfId="0" applyAlignment="1" applyBorder="1" applyFont="1">
      <alignment vertical="bottom"/>
    </xf>
    <xf borderId="0" fillId="0" fontId="6" numFmtId="0" xfId="0" applyAlignment="1" applyFont="1">
      <alignment vertical="bottom"/>
    </xf>
    <xf borderId="0" fillId="0" fontId="47" numFmtId="0" xfId="0" applyAlignment="1" applyFont="1">
      <alignment vertical="bottom"/>
    </xf>
    <xf borderId="0" fillId="0" fontId="1" numFmtId="0" xfId="0" applyAlignment="1" applyFont="1">
      <alignment vertical="bottom"/>
    </xf>
    <xf borderId="15" fillId="0" fontId="6" numFmtId="0" xfId="0" applyAlignment="1" applyBorder="1" applyFont="1">
      <alignment vertical="bottom"/>
    </xf>
    <xf borderId="11" fillId="0" fontId="6" numFmtId="0" xfId="0" applyAlignment="1" applyBorder="1" applyFont="1">
      <alignment horizontal="right" vertical="bottom"/>
    </xf>
    <xf borderId="0" fillId="12" fontId="1" numFmtId="0" xfId="0" applyAlignment="1" applyFont="1">
      <alignment vertical="bottom"/>
    </xf>
    <xf borderId="9" fillId="0" fontId="1" numFmtId="0" xfId="0" applyAlignment="1" applyBorder="1" applyFont="1">
      <alignment vertical="bottom"/>
    </xf>
    <xf borderId="0" fillId="2" fontId="1" numFmtId="0" xfId="0" applyAlignment="1" applyFont="1">
      <alignment vertical="bottom"/>
    </xf>
    <xf borderId="11" fillId="2" fontId="1" numFmtId="165" xfId="0" applyAlignment="1" applyBorder="1" applyFont="1" applyNumberFormat="1">
      <alignment vertical="bottom"/>
    </xf>
    <xf borderId="0" fillId="4" fontId="1" numFmtId="0" xfId="0" applyAlignment="1" applyFont="1">
      <alignment vertical="bottom"/>
    </xf>
    <xf borderId="0" fillId="4" fontId="1" numFmtId="0" xfId="0" applyAlignment="1" applyFont="1">
      <alignment vertical="bottom"/>
    </xf>
    <xf borderId="11" fillId="6" fontId="1" numFmtId="0" xfId="0" applyAlignment="1" applyBorder="1" applyFont="1">
      <alignment vertical="bottom"/>
    </xf>
    <xf borderId="11" fillId="0" fontId="1" numFmtId="0" xfId="0" applyAlignment="1" applyBorder="1" applyFont="1">
      <alignment vertical="bottom"/>
    </xf>
    <xf borderId="11" fillId="0" fontId="10" numFmtId="0" xfId="0" applyAlignment="1" applyBorder="1" applyFont="1">
      <alignment vertical="bottom"/>
    </xf>
    <xf borderId="0" fillId="0" fontId="10" numFmtId="0" xfId="0" applyAlignment="1" applyFont="1">
      <alignment vertical="bottom"/>
    </xf>
    <xf borderId="0" fillId="0" fontId="48" numFmtId="0" xfId="0" applyAlignment="1" applyFont="1">
      <alignment vertical="bottom"/>
    </xf>
    <xf borderId="15" fillId="0" fontId="10" numFmtId="0" xfId="0" applyAlignment="1" applyBorder="1" applyFont="1">
      <alignment vertical="bottom"/>
    </xf>
    <xf borderId="11" fillId="0" fontId="10" numFmtId="0" xfId="0" applyAlignment="1" applyBorder="1" applyFont="1">
      <alignment horizontal="right" vertical="bottom"/>
    </xf>
    <xf borderId="9" fillId="3" fontId="6" numFmtId="0" xfId="0" applyAlignment="1" applyBorder="1" applyFont="1">
      <alignment shrinkToFit="0" vertical="bottom" wrapText="0"/>
    </xf>
    <xf borderId="0" fillId="16" fontId="8" numFmtId="0" xfId="0" applyAlignment="1" applyFont="1">
      <alignment vertical="bottom"/>
    </xf>
    <xf borderId="9" fillId="3" fontId="1" numFmtId="0" xfId="0" applyAlignment="1" applyBorder="1" applyFont="1">
      <alignment vertical="bottom"/>
    </xf>
    <xf borderId="0" fillId="16" fontId="1" numFmtId="0" xfId="0" applyAlignment="1" applyFont="1">
      <alignment vertical="bottom"/>
    </xf>
    <xf borderId="18" fillId="16" fontId="10" numFmtId="0" xfId="0" applyAlignment="1" applyBorder="1" applyFont="1">
      <alignment shrinkToFit="0" vertical="bottom" wrapText="0"/>
    </xf>
    <xf borderId="18" fillId="16" fontId="1" numFmtId="0" xfId="0" applyAlignment="1" applyBorder="1" applyFont="1">
      <alignment vertical="bottom"/>
    </xf>
    <xf borderId="11" fillId="16" fontId="1" numFmtId="0" xfId="0" applyAlignment="1" applyBorder="1" applyFont="1">
      <alignment vertical="bottom"/>
    </xf>
    <xf borderId="18" fillId="16" fontId="25" numFmtId="0" xfId="0" applyAlignment="1" applyBorder="1" applyFont="1">
      <alignment shrinkToFit="0" vertical="bottom" wrapText="0"/>
    </xf>
    <xf borderId="18" fillId="16" fontId="1" numFmtId="0" xfId="0" applyAlignment="1" applyBorder="1" applyFont="1">
      <alignment vertical="bottom"/>
    </xf>
    <xf borderId="11" fillId="16" fontId="10" numFmtId="0" xfId="0" applyAlignment="1" applyBorder="1" applyFont="1">
      <alignment horizontal="right" vertical="bottom"/>
    </xf>
    <xf borderId="0" fillId="16" fontId="28" numFmtId="0" xfId="0" applyAlignment="1" applyFont="1">
      <alignment vertical="bottom"/>
    </xf>
    <xf borderId="18" fillId="0" fontId="49" numFmtId="0" xfId="0" applyAlignment="1" applyBorder="1" applyFont="1">
      <alignment shrinkToFit="0" vertical="bottom" wrapText="0"/>
    </xf>
    <xf borderId="0" fillId="0" fontId="6" numFmtId="0" xfId="0" applyAlignment="1" applyFont="1">
      <alignment vertical="bottom"/>
    </xf>
    <xf borderId="0" fillId="12" fontId="8" numFmtId="0" xfId="0" applyAlignment="1" applyFont="1">
      <alignment vertical="bottom"/>
    </xf>
    <xf borderId="0" fillId="0" fontId="42" numFmtId="0" xfId="0" applyAlignment="1" applyFont="1">
      <alignment vertical="bottom"/>
    </xf>
    <xf borderId="0" fillId="0" fontId="1" numFmtId="0" xfId="0" applyAlignment="1" applyFont="1">
      <alignment vertical="bottom"/>
    </xf>
    <xf borderId="0" fillId="4" fontId="8" numFmtId="0" xfId="0" applyAlignment="1" applyFont="1">
      <alignment readingOrder="0" shrinkToFit="0" vertical="bottom" wrapText="0"/>
    </xf>
    <xf borderId="18" fillId="4" fontId="10" numFmtId="0" xfId="0" applyAlignment="1" applyBorder="1" applyFont="1">
      <alignment readingOrder="0" shrinkToFit="0" vertical="bottom" wrapText="0"/>
    </xf>
    <xf borderId="18" fillId="14" fontId="1" numFmtId="0" xfId="0" applyAlignment="1" applyBorder="1" applyFont="1">
      <alignment vertical="bottom"/>
    </xf>
    <xf borderId="18" fillId="0" fontId="50" numFmtId="0" xfId="0" applyAlignment="1" applyBorder="1" applyFont="1">
      <alignment shrinkToFit="0" vertical="bottom" wrapText="0"/>
    </xf>
    <xf borderId="0" fillId="0" fontId="51" numFmtId="0" xfId="0" applyAlignment="1" applyFont="1">
      <alignment vertical="bottom"/>
    </xf>
    <xf borderId="0" fillId="0" fontId="3" numFmtId="0" xfId="0" applyAlignment="1" applyFont="1">
      <alignment vertical="bottom"/>
    </xf>
    <xf borderId="0" fillId="4" fontId="27" numFmtId="0" xfId="0" applyAlignment="1" applyFont="1">
      <alignment vertical="bottom"/>
    </xf>
    <xf borderId="0" fillId="4" fontId="52" numFmtId="0" xfId="0" applyAlignment="1" applyFont="1">
      <alignment vertical="bottom"/>
    </xf>
    <xf borderId="0" fillId="4" fontId="53" numFmtId="0" xfId="0" applyAlignment="1" applyFont="1">
      <alignment vertical="bottom"/>
    </xf>
    <xf borderId="0" fillId="0" fontId="1" numFmtId="0" xfId="0" applyAlignment="1" applyFont="1">
      <alignment vertical="bottom"/>
    </xf>
    <xf borderId="0" fillId="8" fontId="12" numFmtId="0" xfId="0" applyAlignment="1" applyFont="1">
      <alignment shrinkToFit="0" vertical="top" wrapText="1"/>
    </xf>
    <xf borderId="5" fillId="8" fontId="4" numFmtId="0" xfId="0" applyAlignment="1" applyBorder="1" applyFont="1">
      <alignment shrinkToFit="0" vertical="top" wrapText="0"/>
    </xf>
    <xf borderId="23" fillId="16" fontId="6" numFmtId="0" xfId="0" applyAlignment="1" applyBorder="1" applyFont="1">
      <alignment vertical="bottom"/>
    </xf>
    <xf borderId="24" fillId="16" fontId="6" numFmtId="0" xfId="0" applyAlignment="1" applyBorder="1" applyFont="1">
      <alignment vertical="bottom"/>
    </xf>
    <xf borderId="12" fillId="16" fontId="6" numFmtId="0" xfId="0" applyAlignment="1" applyBorder="1" applyFont="1">
      <alignment vertical="bottom"/>
    </xf>
    <xf borderId="24" fillId="16" fontId="1" numFmtId="0" xfId="0" applyAlignment="1" applyBorder="1" applyFont="1">
      <alignment vertical="bottom"/>
    </xf>
    <xf borderId="0" fillId="16" fontId="1" numFmtId="0" xfId="0" applyAlignment="1" applyFont="1">
      <alignment vertical="bottom"/>
    </xf>
    <xf borderId="25" fillId="16" fontId="6" numFmtId="0" xfId="0" applyAlignment="1" applyBorder="1" applyFont="1">
      <alignment horizontal="right" vertical="bottom"/>
    </xf>
    <xf borderId="26" fillId="16" fontId="1" numFmtId="0" xfId="0" applyAlignment="1" applyBorder="1" applyFont="1">
      <alignment vertical="bottom"/>
    </xf>
    <xf borderId="27" fillId="16" fontId="10" numFmtId="0" xfId="0" applyAlignment="1" applyBorder="1" applyFont="1">
      <alignment vertical="bottom"/>
    </xf>
    <xf borderId="28" fillId="16" fontId="54" numFmtId="0" xfId="0" applyAlignment="1" applyBorder="1" applyFont="1">
      <alignment shrinkToFit="0" vertical="bottom" wrapText="0"/>
    </xf>
    <xf borderId="27" fillId="16" fontId="1" numFmtId="0" xfId="0" applyAlignment="1" applyBorder="1" applyFont="1">
      <alignment vertical="bottom"/>
    </xf>
    <xf borderId="27" fillId="16" fontId="55" numFmtId="0" xfId="0" applyAlignment="1" applyBorder="1" applyFont="1">
      <alignment vertical="bottom"/>
    </xf>
    <xf borderId="29" fillId="16" fontId="10" numFmtId="0" xfId="0" applyAlignment="1" applyBorder="1" applyFont="1">
      <alignment vertical="bottom"/>
    </xf>
    <xf borderId="27" fillId="16" fontId="1" numFmtId="0" xfId="0" applyAlignment="1" applyBorder="1" applyFont="1">
      <alignment vertical="bottom"/>
    </xf>
    <xf borderId="0" fillId="16" fontId="56" numFmtId="0" xfId="0" applyAlignment="1" applyFont="1">
      <alignment vertical="bottom"/>
    </xf>
    <xf borderId="18" fillId="16" fontId="57" numFmtId="0" xfId="0" applyAlignment="1" applyBorder="1" applyFont="1">
      <alignment shrinkToFit="0" vertical="bottom" wrapText="0"/>
    </xf>
    <xf borderId="27" fillId="16" fontId="58" numFmtId="0" xfId="0" applyAlignment="1" applyBorder="1" applyFont="1">
      <alignment vertical="bottom"/>
    </xf>
    <xf borderId="28" fillId="16" fontId="1" numFmtId="0" xfId="0" applyAlignment="1" applyBorder="1" applyFont="1">
      <alignment shrinkToFit="0" vertical="bottom" wrapText="0"/>
    </xf>
    <xf borderId="28" fillId="16" fontId="27" numFmtId="0" xfId="0" applyAlignment="1" applyBorder="1" applyFont="1">
      <alignment shrinkToFit="0" vertical="bottom" wrapText="0"/>
    </xf>
    <xf borderId="28" fillId="16" fontId="1" numFmtId="0" xfId="0" applyAlignment="1" applyBorder="1" applyFont="1">
      <alignment vertical="bottom"/>
    </xf>
    <xf borderId="30" fillId="2" fontId="6" numFmtId="0" xfId="0" applyAlignment="1" applyBorder="1" applyFont="1">
      <alignment readingOrder="0" shrinkToFit="0" vertical="bottom" wrapText="0"/>
    </xf>
    <xf borderId="0" fillId="2" fontId="6" numFmtId="166" xfId="0" applyAlignment="1" applyFont="1" applyNumberFormat="1">
      <alignment horizontal="left" readingOrder="0" shrinkToFit="0" vertical="bottom" wrapText="0"/>
    </xf>
    <xf borderId="23" fillId="0" fontId="16" numFmtId="0" xfId="0" applyAlignment="1" applyBorder="1" applyFont="1">
      <alignment readingOrder="0" shrinkToFit="0" vertical="bottom" wrapText="0"/>
    </xf>
    <xf borderId="26" fillId="0" fontId="6" numFmtId="0" xfId="0" applyAlignment="1" applyBorder="1" applyFont="1">
      <alignment readingOrder="0" shrinkToFit="0" vertical="bottom" wrapText="0"/>
    </xf>
    <xf borderId="31" fillId="0" fontId="6" numFmtId="0" xfId="0" applyAlignment="1" applyBorder="1" applyFont="1">
      <alignment readingOrder="0" shrinkToFit="0" vertical="bottom" wrapText="0"/>
    </xf>
    <xf borderId="32" fillId="0" fontId="59" numFmtId="0" xfId="0" applyAlignment="1" applyBorder="1" applyFont="1">
      <alignment readingOrder="0" shrinkToFit="0" vertical="bottom" wrapText="0"/>
    </xf>
    <xf borderId="32" fillId="0" fontId="60" numFmtId="0" xfId="0" applyAlignment="1" applyBorder="1" applyFont="1">
      <alignment readingOrder="0" shrinkToFit="0" vertical="bottom" wrapText="0"/>
    </xf>
    <xf borderId="33" fillId="0" fontId="61" numFmtId="0" xfId="0" applyAlignment="1" applyBorder="1" applyFont="1">
      <alignment readingOrder="0" shrinkToFit="0" vertical="bottom" wrapText="0"/>
    </xf>
    <xf borderId="34" fillId="0" fontId="6" numFmtId="0" xfId="0" applyAlignment="1" applyBorder="1" applyFont="1">
      <alignment readingOrder="0" shrinkToFit="0" vertical="top" wrapText="0"/>
    </xf>
    <xf borderId="35" fillId="0" fontId="62" numFmtId="0" xfId="0" applyAlignment="1" applyBorder="1" applyFont="1">
      <alignment readingOrder="0" shrinkToFit="0" vertical="bottom" wrapText="0"/>
    </xf>
    <xf borderId="32" fillId="0" fontId="6" numFmtId="0" xfId="0" applyAlignment="1" applyBorder="1" applyFont="1">
      <alignment readingOrder="0" shrinkToFit="0" vertical="bottom" wrapText="0"/>
    </xf>
    <xf borderId="36" fillId="0" fontId="63" numFmtId="0" xfId="0" applyAlignment="1" applyBorder="1" applyFont="1">
      <alignment readingOrder="0" shrinkToFit="0" vertical="bottom" wrapText="0"/>
    </xf>
    <xf borderId="37" fillId="0" fontId="6" numFmtId="0" xfId="0" applyAlignment="1" applyBorder="1" applyFont="1">
      <alignment readingOrder="0" shrinkToFit="0" vertical="bottom" wrapText="0"/>
    </xf>
    <xf borderId="38" fillId="0" fontId="6" numFmtId="0" xfId="0" applyAlignment="1" applyBorder="1" applyFont="1">
      <alignment readingOrder="0" shrinkToFit="0" vertical="bottom" wrapText="0"/>
    </xf>
    <xf borderId="32" fillId="0" fontId="19" numFmtId="0" xfId="0" applyAlignment="1" applyBorder="1" applyFont="1">
      <alignment readingOrder="0" shrinkToFit="0" wrapText="0"/>
    </xf>
    <xf borderId="26" fillId="0" fontId="6" numFmtId="0" xfId="0" applyAlignment="1" applyBorder="1" applyFont="1">
      <alignment horizontal="right" readingOrder="0" shrinkToFit="0" vertical="bottom" wrapText="0"/>
    </xf>
    <xf borderId="25" fillId="0" fontId="16" numFmtId="0" xfId="0" applyAlignment="1" applyBorder="1" applyFont="1">
      <alignment readingOrder="0" shrinkToFit="0" vertical="bottom" wrapText="0"/>
    </xf>
    <xf borderId="25" fillId="0" fontId="6" numFmtId="0" xfId="0" applyAlignment="1" applyBorder="1" applyFont="1">
      <alignment readingOrder="0" shrinkToFit="0" vertical="bottom" wrapText="0"/>
    </xf>
    <xf borderId="39" fillId="0" fontId="6" numFmtId="0" xfId="0" applyAlignment="1" applyBorder="1" applyFont="1">
      <alignment readingOrder="0" shrinkToFit="0" vertical="bottom" wrapText="0"/>
    </xf>
    <xf borderId="36" fillId="0" fontId="64" numFmtId="0" xfId="0" applyAlignment="1" applyBorder="1" applyFont="1">
      <alignment readingOrder="0" shrinkToFit="0" vertical="bottom" wrapText="0"/>
    </xf>
    <xf borderId="17" fillId="0" fontId="6" numFmtId="0" xfId="0" applyAlignment="1" applyBorder="1" applyFont="1">
      <alignment readingOrder="0" shrinkToFit="0" vertical="top" wrapText="0"/>
    </xf>
    <xf borderId="36" fillId="0" fontId="6" numFmtId="0" xfId="0" applyAlignment="1" applyBorder="1" applyFont="1">
      <alignment readingOrder="0" shrinkToFit="0" vertical="bottom" wrapText="0"/>
    </xf>
    <xf borderId="25" fillId="0" fontId="6" numFmtId="0" xfId="0" applyAlignment="1" applyBorder="1" applyFont="1">
      <alignment horizontal="right" readingOrder="0" shrinkToFit="0" vertical="bottom" wrapText="0"/>
    </xf>
    <xf borderId="0" fillId="2" fontId="10" numFmtId="166" xfId="0" applyAlignment="1" applyFont="1" applyNumberFormat="1">
      <alignment horizontal="left" readingOrder="0" shrinkToFit="0" vertical="bottom" wrapText="0"/>
    </xf>
    <xf borderId="0" fillId="0" fontId="26" numFmtId="0" xfId="0" applyFont="1"/>
    <xf borderId="0" fillId="14" fontId="10" numFmtId="0" xfId="0" applyAlignment="1" applyFont="1">
      <alignment readingOrder="0" shrinkToFit="0" vertical="bottom" wrapText="0"/>
    </xf>
    <xf borderId="23" fillId="0" fontId="33" numFmtId="0" xfId="0" applyAlignment="1" applyBorder="1" applyFont="1">
      <alignment readingOrder="0" shrinkToFit="0" vertical="bottom" wrapText="0"/>
    </xf>
    <xf borderId="25" fillId="0" fontId="33" numFmtId="0" xfId="0" applyAlignment="1" applyBorder="1" applyFont="1">
      <alignment readingOrder="0" shrinkToFit="0" vertical="bottom" wrapText="0"/>
    </xf>
    <xf borderId="26" fillId="0" fontId="10" numFmtId="0" xfId="0" applyAlignment="1" applyBorder="1" applyFont="1">
      <alignment readingOrder="0" shrinkToFit="0" vertical="bottom" wrapText="0"/>
    </xf>
    <xf borderId="39" fillId="0" fontId="10" numFmtId="0" xfId="0" applyAlignment="1" applyBorder="1" applyFont="1">
      <alignment readingOrder="0" shrinkToFit="0" vertical="bottom" wrapText="0"/>
    </xf>
    <xf borderId="32" fillId="0" fontId="65" numFmtId="0" xfId="0" applyAlignment="1" applyBorder="1" applyFont="1">
      <alignment readingOrder="0" shrinkToFit="0" vertical="bottom" wrapText="0"/>
    </xf>
    <xf borderId="32" fillId="0" fontId="10" numFmtId="0" xfId="0" applyAlignment="1" applyBorder="1" applyFont="1">
      <alignment readingOrder="0" shrinkToFit="0" vertical="bottom" wrapText="0"/>
    </xf>
    <xf borderId="33" fillId="0" fontId="66" numFmtId="0" xfId="0" applyAlignment="1" applyBorder="1" applyFont="1">
      <alignment readingOrder="0" shrinkToFit="0" vertical="bottom" wrapText="0"/>
    </xf>
    <xf borderId="34" fillId="0" fontId="10" numFmtId="0" xfId="0" applyAlignment="1" applyBorder="1" applyFont="1">
      <alignment readingOrder="0" shrinkToFit="0" vertical="top" wrapText="0"/>
    </xf>
    <xf borderId="35" fillId="0" fontId="67" numFmtId="0" xfId="0" applyAlignment="1" applyBorder="1" applyFont="1">
      <alignment readingOrder="0" shrinkToFit="0" vertical="bottom" wrapText="0"/>
    </xf>
    <xf borderId="36" fillId="0" fontId="68" numFmtId="0" xfId="0" applyAlignment="1" applyBorder="1" applyFont="1">
      <alignment readingOrder="0" shrinkToFit="0" vertical="bottom" wrapText="0"/>
    </xf>
    <xf borderId="38" fillId="0" fontId="10" numFmtId="0" xfId="0" applyAlignment="1" applyBorder="1" applyFont="1">
      <alignment readingOrder="0" shrinkToFit="0" vertical="bottom" wrapText="0"/>
    </xf>
    <xf borderId="32" fillId="0" fontId="24" numFmtId="0" xfId="0" applyAlignment="1" applyBorder="1" applyFont="1">
      <alignment readingOrder="0" shrinkToFit="0" wrapText="0"/>
    </xf>
    <xf borderId="25" fillId="0" fontId="10" numFmtId="0" xfId="0" applyAlignment="1" applyBorder="1" applyFont="1">
      <alignment horizontal="right" readingOrder="0" shrinkToFit="0" vertical="bottom" wrapText="0"/>
    </xf>
    <xf borderId="0" fillId="4" fontId="6" numFmtId="167" xfId="0" applyAlignment="1" applyFont="1" applyNumberFormat="1">
      <alignment horizontal="left" readingOrder="0" shrinkToFit="0" vertical="bottom" wrapText="0"/>
    </xf>
    <xf borderId="40" fillId="0" fontId="6" numFmtId="0" xfId="0" applyAlignment="1" applyBorder="1" applyFont="1">
      <alignment readingOrder="0" shrinkToFit="0" vertical="bottom" wrapText="0"/>
    </xf>
    <xf borderId="37" fillId="0" fontId="69" numFmtId="0" xfId="0" applyAlignment="1" applyBorder="1" applyFont="1">
      <alignment readingOrder="0" shrinkToFit="0" vertical="bottom" wrapText="0"/>
    </xf>
    <xf borderId="32" fillId="0" fontId="6" numFmtId="0" xfId="0" applyAlignment="1" applyBorder="1" applyFont="1">
      <alignment readingOrder="0" shrinkToFit="0" vertical="top" wrapText="0"/>
    </xf>
    <xf borderId="32" fillId="0" fontId="70" numFmtId="0" xfId="0" applyAlignment="1" applyBorder="1" applyFont="1">
      <alignment readingOrder="0" shrinkToFit="0" vertical="bottom" wrapText="0"/>
    </xf>
    <xf borderId="41" fillId="0" fontId="6" numFmtId="0" xfId="0" applyAlignment="1" applyBorder="1" applyFont="1">
      <alignment readingOrder="0" shrinkToFit="0" vertical="bottom" wrapText="0"/>
    </xf>
    <xf borderId="0" fillId="6" fontId="10" numFmtId="0" xfId="0" applyAlignment="1" applyFont="1">
      <alignment readingOrder="0" shrinkToFit="0" vertical="bottom" wrapText="0"/>
    </xf>
    <xf borderId="25" fillId="0" fontId="10" numFmtId="0" xfId="0" applyAlignment="1" applyBorder="1" applyFont="1">
      <alignment readingOrder="0" shrinkToFit="0" vertical="bottom" wrapText="0"/>
    </xf>
    <xf borderId="40" fillId="0" fontId="10" numFmtId="0" xfId="0" applyAlignment="1" applyBorder="1" applyFont="1">
      <alignment readingOrder="0" shrinkToFit="0" vertical="bottom" wrapText="0"/>
    </xf>
    <xf borderId="37" fillId="0" fontId="71" numFmtId="0" xfId="0" applyAlignment="1" applyBorder="1" applyFont="1">
      <alignment readingOrder="0" shrinkToFit="0" vertical="bottom" wrapText="0"/>
    </xf>
    <xf borderId="32" fillId="0" fontId="10" numFmtId="0" xfId="0" applyAlignment="1" applyBorder="1" applyFont="1">
      <alignment readingOrder="0" shrinkToFit="0" vertical="top" wrapText="0"/>
    </xf>
    <xf borderId="32" fillId="0" fontId="6" numFmtId="0" xfId="0" applyAlignment="1" applyBorder="1" applyFont="1">
      <alignment shrinkToFit="0" vertical="bottom" wrapText="0"/>
    </xf>
    <xf borderId="27" fillId="0" fontId="6" numFmtId="0" xfId="0" applyAlignment="1" applyBorder="1" applyFont="1">
      <alignment readingOrder="0" shrinkToFit="0" vertical="bottom" wrapText="0"/>
    </xf>
    <xf borderId="42" fillId="0" fontId="6" numFmtId="0" xfId="0" applyAlignment="1" applyBorder="1" applyFont="1">
      <alignment shrinkToFit="0" vertical="bottom" wrapText="0"/>
    </xf>
    <xf borderId="41" fillId="0" fontId="10" numFmtId="0" xfId="0" applyAlignment="1" applyBorder="1" applyFont="1">
      <alignment readingOrder="0" shrinkToFit="0" vertical="bottom" wrapText="0"/>
    </xf>
    <xf borderId="42" fillId="0" fontId="10" numFmtId="0" xfId="0" applyAlignment="1" applyBorder="1" applyFont="1">
      <alignment shrinkToFit="0" vertical="bottom" wrapText="0"/>
    </xf>
    <xf borderId="27" fillId="0" fontId="10" numFmtId="0" xfId="0" applyAlignment="1" applyBorder="1" applyFont="1">
      <alignment readingOrder="0" shrinkToFit="0" vertical="bottom" wrapText="0"/>
    </xf>
    <xf borderId="23" fillId="0" fontId="6" numFmtId="0" xfId="0" applyAlignment="1" applyBorder="1" applyFont="1">
      <alignment readingOrder="0" shrinkToFit="0" vertical="bottom" wrapText="0"/>
    </xf>
    <xf borderId="42" fillId="0" fontId="72" numFmtId="0" xfId="0" applyAlignment="1" applyBorder="1" applyFont="1">
      <alignment readingOrder="0" shrinkToFit="0" vertical="bottom" wrapText="0"/>
    </xf>
    <xf borderId="37" fillId="0" fontId="73" numFmtId="0" xfId="0" applyAlignment="1" applyBorder="1" applyFont="1">
      <alignment readingOrder="0" shrinkToFit="0" vertical="bottom" wrapText="0"/>
    </xf>
    <xf borderId="42" fillId="0" fontId="6" numFmtId="0" xfId="0" applyAlignment="1" applyBorder="1" applyFont="1">
      <alignment readingOrder="0" shrinkToFit="0" vertical="bottom" wrapText="0"/>
    </xf>
    <xf borderId="42" fillId="0" fontId="10" numFmtId="0" xfId="0" applyAlignment="1" applyBorder="1" applyFont="1">
      <alignment readingOrder="0" shrinkToFit="0" vertical="bottom" wrapText="0"/>
    </xf>
    <xf borderId="36" fillId="0" fontId="10" numFmtId="0" xfId="0" applyAlignment="1" applyBorder="1" applyFont="1">
      <alignment readingOrder="0" shrinkToFit="0" vertical="bottom" wrapText="0"/>
    </xf>
    <xf borderId="0" fillId="17" fontId="1" numFmtId="0" xfId="0" applyAlignment="1" applyFill="1" applyFont="1">
      <alignment vertical="top"/>
    </xf>
    <xf borderId="0" fillId="17" fontId="25" numFmtId="0" xfId="0" applyAlignment="1" applyFont="1">
      <alignment shrinkToFit="0" vertical="top" wrapText="1"/>
    </xf>
    <xf borderId="0" fillId="17" fontId="27" numFmtId="0" xfId="0" applyAlignment="1" applyFont="1">
      <alignment shrinkToFit="0" vertical="top" wrapText="1"/>
    </xf>
    <xf borderId="18" fillId="17" fontId="1" numFmtId="0" xfId="0" applyAlignment="1" applyBorder="1" applyFont="1">
      <alignment shrinkToFit="0" vertical="top" wrapText="1"/>
    </xf>
    <xf borderId="19" fillId="17" fontId="4" numFmtId="0" xfId="0" applyAlignment="1" applyBorder="1" applyFont="1">
      <alignment shrinkToFit="0" vertical="top" wrapText="0"/>
    </xf>
    <xf borderId="0" fillId="17" fontId="6" numFmtId="0" xfId="0" applyAlignment="1" applyFont="1">
      <alignment shrinkToFit="0" vertical="top" wrapText="1"/>
    </xf>
    <xf borderId="0" fillId="17" fontId="10" numFmtId="0" xfId="0" applyAlignment="1" applyFont="1">
      <alignment shrinkToFit="0" vertical="top" wrapText="1"/>
    </xf>
    <xf borderId="18" fillId="0" fontId="9" numFmtId="0" xfId="0" applyBorder="1" applyFont="1"/>
    <xf borderId="24" fillId="0" fontId="6" numFmtId="0" xfId="0" applyAlignment="1" applyBorder="1" applyFont="1">
      <alignment readingOrder="0" shrinkToFit="0" vertical="bottom" wrapText="0"/>
    </xf>
    <xf borderId="23" fillId="0" fontId="10" numFmtId="0" xfId="0" applyAlignment="1" applyBorder="1" applyFont="1">
      <alignment readingOrder="0" shrinkToFit="0" vertical="bottom" wrapText="0"/>
    </xf>
    <xf borderId="0" fillId="17" fontId="1" numFmtId="0" xfId="0" applyAlignment="1" applyFont="1">
      <alignment shrinkToFit="0" vertical="top" wrapText="1"/>
    </xf>
    <xf borderId="0" fillId="17" fontId="3" numFmtId="0" xfId="0" applyAlignment="1" applyFont="1">
      <alignment shrinkToFit="0" vertical="top" wrapText="1"/>
    </xf>
    <xf borderId="0" fillId="17" fontId="1" numFmtId="0" xfId="0" applyAlignment="1" applyFont="1">
      <alignment shrinkToFit="0" vertical="top" wrapText="1"/>
    </xf>
    <xf borderId="5" fillId="17" fontId="4" numFmtId="0" xfId="0" applyAlignment="1" applyBorder="1" applyFont="1">
      <alignment shrinkToFit="0" vertical="top" wrapText="0"/>
    </xf>
    <xf borderId="0" fillId="18" fontId="1" numFmtId="0" xfId="0" applyAlignment="1" applyFill="1" applyFont="1">
      <alignment vertical="top"/>
    </xf>
    <xf borderId="0" fillId="18" fontId="1" numFmtId="0" xfId="0" applyAlignment="1" applyFont="1">
      <alignment shrinkToFit="0" vertical="top" wrapText="1"/>
    </xf>
    <xf borderId="0" fillId="18" fontId="3" numFmtId="0" xfId="0" applyAlignment="1" applyFont="1">
      <alignment shrinkToFit="0" vertical="top" wrapText="1"/>
    </xf>
    <xf borderId="5" fillId="18" fontId="4" numFmtId="0" xfId="0" applyAlignment="1" applyBorder="1" applyFont="1">
      <alignment shrinkToFit="0" vertical="top" wrapText="0"/>
    </xf>
    <xf borderId="0" fillId="18" fontId="3" numFmtId="0" xfId="0" applyAlignment="1" applyFont="1">
      <alignment shrinkToFit="0" vertical="top" wrapText="1"/>
    </xf>
    <xf borderId="5" fillId="18" fontId="74" numFmtId="0" xfId="0" applyAlignment="1" applyBorder="1" applyFont="1">
      <alignment shrinkToFit="0" vertical="top" wrapText="0"/>
    </xf>
    <xf borderId="43" fillId="0" fontId="6" numFmtId="0" xfId="0" applyAlignment="1" applyBorder="1" applyFont="1">
      <alignment readingOrder="0" shrinkToFit="0" vertical="bottom" wrapText="0"/>
    </xf>
    <xf borderId="43" fillId="0" fontId="10" numFmtId="0" xfId="0" applyAlignment="1" applyBorder="1" applyFont="1">
      <alignment readingOrder="0" shrinkToFit="0" vertical="bottom" wrapText="0"/>
    </xf>
    <xf borderId="32" fillId="0" fontId="10" numFmtId="0" xfId="0" applyAlignment="1" applyBorder="1" applyFont="1">
      <alignment shrinkToFit="0" vertical="bottom" wrapText="0"/>
    </xf>
    <xf borderId="44" fillId="0" fontId="6" numFmtId="0" xfId="0" applyAlignment="1" applyBorder="1" applyFont="1">
      <alignment vertical="bottom"/>
    </xf>
    <xf borderId="31" fillId="0" fontId="6" numFmtId="0" xfId="0" applyAlignment="1" applyBorder="1" applyFont="1">
      <alignment vertical="bottom"/>
    </xf>
    <xf borderId="31" fillId="0" fontId="75" numFmtId="0" xfId="0" applyAlignment="1" applyBorder="1" applyFont="1">
      <alignment vertical="bottom"/>
    </xf>
    <xf borderId="31" fillId="0" fontId="76" numFmtId="0" xfId="0" applyAlignment="1" applyBorder="1" applyFont="1">
      <alignment vertical="bottom"/>
    </xf>
    <xf borderId="26" fillId="0" fontId="6" numFmtId="0" xfId="0" applyAlignment="1" applyBorder="1" applyFont="1">
      <alignment horizontal="right" vertical="bottom"/>
    </xf>
    <xf borderId="10" fillId="0" fontId="1" numFmtId="0" xfId="0" applyAlignment="1" applyBorder="1" applyFont="1">
      <alignment vertical="bottom"/>
    </xf>
    <xf borderId="0" fillId="18" fontId="12" numFmtId="0" xfId="0" applyAlignment="1" applyFont="1">
      <alignment shrinkToFit="0" vertical="top" wrapText="1"/>
    </xf>
    <xf borderId="0" fillId="19" fontId="1" numFmtId="0" xfId="0" applyAlignment="1" applyFill="1" applyFont="1">
      <alignment vertical="top"/>
    </xf>
    <xf borderId="0" fillId="19" fontId="1" numFmtId="0" xfId="0" applyAlignment="1" applyFont="1">
      <alignment shrinkToFit="0" vertical="top" wrapText="1"/>
    </xf>
    <xf borderId="0" fillId="19" fontId="3" numFmtId="0" xfId="0" applyAlignment="1" applyFont="1">
      <alignment shrinkToFit="0" vertical="top" wrapText="1"/>
    </xf>
    <xf borderId="5" fillId="19" fontId="1" numFmtId="0" xfId="0" applyAlignment="1" applyBorder="1" applyFont="1">
      <alignment vertical="top"/>
    </xf>
    <xf borderId="9" fillId="3" fontId="1" numFmtId="0" xfId="0" applyAlignment="1" applyBorder="1" applyFont="1">
      <alignment shrinkToFit="0" vertical="bottom" wrapText="0"/>
    </xf>
    <xf borderId="10" fillId="0" fontId="1" numFmtId="0" xfId="0" applyAlignment="1" applyBorder="1" applyFont="1">
      <alignment readingOrder="0" shrinkToFit="0" vertical="bottom" wrapText="0"/>
    </xf>
    <xf borderId="0" fillId="0" fontId="6" numFmtId="0" xfId="0" applyAlignment="1" applyFont="1">
      <alignment readingOrder="0" vertical="bottom"/>
    </xf>
    <xf borderId="21" fillId="16" fontId="6" numFmtId="0" xfId="0" applyAlignment="1" applyBorder="1" applyFont="1">
      <alignment vertical="bottom"/>
    </xf>
    <xf borderId="11" fillId="0" fontId="1" numFmtId="0" xfId="0" applyAlignment="1" applyBorder="1" applyFont="1">
      <alignment readingOrder="0" shrinkToFit="0" vertical="bottom" wrapText="0"/>
    </xf>
    <xf borderId="9" fillId="3" fontId="3" numFmtId="0" xfId="0" applyAlignment="1" applyBorder="1" applyFont="1">
      <alignment shrinkToFit="0" vertical="bottom" wrapText="0"/>
    </xf>
    <xf borderId="10" fillId="0" fontId="3" numFmtId="0" xfId="0" applyAlignment="1" applyBorder="1" applyFont="1">
      <alignment readingOrder="0" shrinkToFit="0" vertical="bottom" wrapText="0"/>
    </xf>
    <xf borderId="11" fillId="0" fontId="3" numFmtId="0" xfId="0" applyAlignment="1" applyBorder="1" applyFont="1">
      <alignment readingOrder="0" shrinkToFit="0" vertical="bottom" wrapText="0"/>
    </xf>
    <xf borderId="9" fillId="3" fontId="10" numFmtId="0" xfId="0" applyAlignment="1" applyBorder="1" applyFont="1">
      <alignment shrinkToFit="0" vertical="bottom" wrapText="0"/>
    </xf>
    <xf borderId="0" fillId="2" fontId="10" numFmtId="0" xfId="0" applyAlignment="1" applyFont="1">
      <alignment readingOrder="0" shrinkToFit="0" vertical="bottom" wrapText="0"/>
    </xf>
    <xf borderId="0" fillId="2" fontId="10" numFmtId="165" xfId="0" applyAlignment="1" applyFont="1" applyNumberFormat="1">
      <alignment horizontal="left" readingOrder="0" shrinkToFit="0" vertical="bottom" wrapText="0"/>
    </xf>
    <xf borderId="9" fillId="4" fontId="10" numFmtId="0" xfId="0" applyAlignment="1" applyBorder="1" applyFont="1">
      <alignment horizontal="left" readingOrder="0" shrinkToFit="0" vertical="bottom" wrapText="0"/>
    </xf>
    <xf borderId="0" fillId="4" fontId="10" numFmtId="166" xfId="0" applyAlignment="1" applyFont="1" applyNumberFormat="1">
      <alignment horizontal="left" readingOrder="0" shrinkToFit="0" vertical="bottom" wrapText="0"/>
    </xf>
    <xf borderId="0" fillId="6" fontId="3" numFmtId="0" xfId="0" applyAlignment="1" applyFont="1">
      <alignment readingOrder="0" shrinkToFit="0" vertical="bottom" wrapText="0"/>
    </xf>
    <xf borderId="10" fillId="0" fontId="33" numFmtId="0" xfId="0" applyAlignment="1" applyBorder="1" applyFont="1">
      <alignment readingOrder="0" shrinkToFit="0" vertical="bottom" wrapText="0"/>
    </xf>
    <xf borderId="11" fillId="0" fontId="33" numFmtId="0" xfId="0" applyAlignment="1" applyBorder="1" applyFont="1">
      <alignment readingOrder="0" shrinkToFit="0" vertical="bottom" wrapText="0"/>
    </xf>
    <xf borderId="11" fillId="0" fontId="10" numFmtId="0" xfId="0" applyAlignment="1" applyBorder="1" applyFont="1">
      <alignment readingOrder="0" shrinkToFit="0" vertical="bottom" wrapText="0"/>
    </xf>
    <xf borderId="0" fillId="0" fontId="10" numFmtId="0" xfId="0" applyAlignment="1" applyFont="1">
      <alignment readingOrder="0" shrinkToFit="0" vertical="bottom" wrapText="0"/>
    </xf>
    <xf borderId="0" fillId="0" fontId="77" numFmtId="0" xfId="0" applyAlignment="1" applyFont="1">
      <alignment readingOrder="0" shrinkToFit="0" vertical="bottom" wrapText="0"/>
    </xf>
    <xf borderId="0" fillId="0" fontId="78" numFmtId="0" xfId="0" applyAlignment="1" applyFont="1">
      <alignment readingOrder="0" shrinkToFit="0" vertical="bottom" wrapText="0"/>
    </xf>
    <xf borderId="0" fillId="0" fontId="10" numFmtId="0" xfId="0" applyAlignment="1" applyFont="1">
      <alignment shrinkToFit="0" vertical="bottom" wrapText="0"/>
    </xf>
    <xf borderId="0" fillId="4" fontId="27" numFmtId="0" xfId="0" applyAlignment="1" applyFont="1">
      <alignment readingOrder="0" shrinkToFit="0" wrapText="0"/>
    </xf>
    <xf borderId="0" fillId="0" fontId="3" numFmtId="0" xfId="0" applyAlignment="1" applyFont="1">
      <alignment readingOrder="0" shrinkToFit="0" vertical="bottom" wrapText="0"/>
    </xf>
    <xf borderId="11" fillId="0" fontId="10" numFmtId="0" xfId="0" applyAlignment="1" applyBorder="1" applyFont="1">
      <alignment horizontal="right" readingOrder="0" shrinkToFit="0" vertical="bottom" wrapText="0"/>
    </xf>
    <xf borderId="0" fillId="12" fontId="28" numFmtId="0" xfId="0" applyAlignment="1" applyFont="1">
      <alignment shrinkToFit="0" vertical="bottom" wrapText="0"/>
    </xf>
    <xf borderId="0" fillId="2" fontId="6" numFmtId="0" xfId="0" applyAlignment="1" applyFont="1">
      <alignment readingOrder="0" shrinkToFit="0" vertical="bottom" wrapText="0"/>
    </xf>
    <xf borderId="0" fillId="2" fontId="6" numFmtId="165" xfId="0" applyAlignment="1" applyFont="1" applyNumberFormat="1">
      <alignment horizontal="left" readingOrder="0" shrinkToFit="0" vertical="bottom" wrapText="0"/>
    </xf>
    <xf borderId="9" fillId="4" fontId="6" numFmtId="0" xfId="0" applyAlignment="1" applyBorder="1" applyFont="1">
      <alignment horizontal="left" readingOrder="0" shrinkToFit="0" vertical="bottom" wrapText="0"/>
    </xf>
    <xf borderId="0" fillId="4" fontId="6" numFmtId="166" xfId="0" applyAlignment="1" applyFont="1" applyNumberFormat="1">
      <alignment horizontal="left" readingOrder="0" shrinkToFit="0" vertical="bottom" wrapText="0"/>
    </xf>
    <xf borderId="0" fillId="4" fontId="6" numFmtId="0" xfId="0" applyAlignment="1" applyFont="1">
      <alignment horizontal="left" readingOrder="0" shrinkToFit="0" vertical="bottom" wrapText="0"/>
    </xf>
    <xf borderId="0" fillId="6" fontId="6" numFmtId="0" xfId="0" applyAlignment="1" applyFont="1">
      <alignment readingOrder="0" shrinkToFit="0" vertical="bottom" wrapText="0"/>
    </xf>
    <xf borderId="10" fillId="0" fontId="6" numFmtId="0" xfId="0" applyAlignment="1" applyBorder="1" applyFont="1">
      <alignment readingOrder="0" shrinkToFit="0" vertical="bottom" wrapText="0"/>
    </xf>
    <xf borderId="10" fillId="0" fontId="6" numFmtId="0" xfId="0" applyAlignment="1" applyBorder="1" applyFont="1">
      <alignment shrinkToFit="0" vertical="bottom" wrapText="0"/>
    </xf>
    <xf borderId="0" fillId="0" fontId="6" numFmtId="0" xfId="0" applyAlignment="1" applyFont="1">
      <alignment shrinkToFit="0" vertical="bottom" wrapText="0"/>
    </xf>
    <xf borderId="0" fillId="0" fontId="79" numFmtId="0" xfId="0" applyAlignment="1" applyFont="1">
      <alignment shrinkToFit="0" vertical="bottom" wrapText="0"/>
    </xf>
    <xf borderId="0" fillId="0" fontId="6" numFmtId="0" xfId="0" applyAlignment="1" applyFont="1">
      <alignment shrinkToFit="0" vertical="bottom" wrapText="0"/>
    </xf>
    <xf borderId="11" fillId="0" fontId="6" numFmtId="0" xfId="0" applyAlignment="1" applyBorder="1" applyFont="1">
      <alignment horizontal="right" shrinkToFit="0" vertical="bottom" wrapText="0"/>
    </xf>
    <xf borderId="0" fillId="12" fontId="6" numFmtId="0" xfId="0" applyAlignment="1" applyFont="1">
      <alignment shrinkToFit="0" vertical="bottom" wrapText="0"/>
    </xf>
    <xf borderId="0" fillId="4" fontId="6" numFmtId="0" xfId="0" applyAlignment="1" applyFont="1">
      <alignment horizontal="left" shrinkToFit="0" vertical="bottom" wrapText="0"/>
    </xf>
    <xf borderId="0" fillId="6" fontId="1" numFmtId="0" xfId="0" applyAlignment="1" applyFont="1">
      <alignment readingOrder="0" shrinkToFit="0" vertical="bottom" wrapText="0"/>
    </xf>
    <xf borderId="9" fillId="0" fontId="16" numFmtId="0" xfId="0" applyAlignment="1" applyBorder="1" applyFont="1">
      <alignment readingOrder="0" shrinkToFit="0" vertical="bottom" wrapText="0"/>
    </xf>
    <xf borderId="0" fillId="0" fontId="16" numFmtId="0" xfId="0" applyAlignment="1" applyFont="1">
      <alignment readingOrder="0" shrinkToFit="0" vertical="bottom" wrapText="0"/>
    </xf>
    <xf borderId="11" fillId="0" fontId="6" numFmtId="0" xfId="0" applyAlignment="1" applyBorder="1" applyFont="1">
      <alignment shrinkToFit="0" vertical="bottom" wrapText="0"/>
    </xf>
    <xf borderId="0" fillId="0" fontId="80" numFmtId="0" xfId="0" applyAlignment="1" applyFont="1">
      <alignment shrinkToFit="0" vertical="bottom" wrapText="0"/>
    </xf>
    <xf borderId="0" fillId="0" fontId="6"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12" fontId="1" numFmtId="0" xfId="0" applyAlignment="1" applyFont="1">
      <alignment shrinkToFit="0" vertical="bottom" wrapText="0"/>
    </xf>
    <xf borderId="0" fillId="0" fontId="6" numFmtId="0" xfId="0" applyAlignment="1" applyFont="1">
      <alignment shrinkToFit="0" vertical="bottom" wrapText="0"/>
    </xf>
    <xf borderId="0" fillId="0" fontId="81" numFmtId="0" xfId="0" applyAlignment="1" applyFont="1">
      <alignment readingOrder="0" shrinkToFit="0" wrapText="0"/>
    </xf>
    <xf borderId="0" fillId="0" fontId="1" numFmtId="0" xfId="0" applyAlignment="1" applyFont="1">
      <alignment readingOrder="0" shrinkToFit="0" vertical="bottom" wrapText="0"/>
    </xf>
    <xf borderId="11" fillId="0" fontId="6" numFmtId="0" xfId="0" applyAlignment="1" applyBorder="1" applyFont="1">
      <alignment horizontal="right" readingOrder="0" shrinkToFit="0" vertical="bottom" wrapText="0"/>
    </xf>
    <xf borderId="0" fillId="12" fontId="8" numFmtId="0" xfId="0" applyAlignment="1" applyFont="1">
      <alignment shrinkToFit="0" vertical="bottom" wrapText="0"/>
    </xf>
    <xf borderId="45" fillId="0" fontId="6" numFmtId="0" xfId="0" applyAlignment="1" applyBorder="1" applyFont="1">
      <alignment readingOrder="0" shrinkToFit="0" vertical="bottom" wrapText="0"/>
    </xf>
    <xf borderId="9" fillId="0" fontId="6" numFmtId="0" xfId="0" applyAlignment="1" applyBorder="1" applyFont="1">
      <alignment readingOrder="0" shrinkToFit="0" vertical="bottom" wrapText="0"/>
    </xf>
    <xf borderId="10" fillId="16" fontId="6" numFmtId="0" xfId="0" applyAlignment="1" applyBorder="1" applyFont="1">
      <alignment shrinkToFit="0" vertical="bottom" wrapText="0"/>
    </xf>
    <xf borderId="0" fillId="16" fontId="6" numFmtId="0" xfId="0" applyAlignment="1" applyFont="1">
      <alignment shrinkToFit="0" vertical="bottom" wrapText="0"/>
    </xf>
    <xf borderId="0" fillId="16" fontId="82" numFmtId="0" xfId="0" applyAlignment="1" applyFont="1">
      <alignment shrinkToFit="0" vertical="bottom" wrapText="0"/>
    </xf>
    <xf borderId="0" fillId="16" fontId="83" numFmtId="0" xfId="0" applyAlignment="1" applyFont="1">
      <alignment shrinkToFit="0" vertical="bottom" wrapText="0"/>
    </xf>
    <xf borderId="0" fillId="16" fontId="6" numFmtId="0" xfId="0" applyAlignment="1" applyFont="1">
      <alignment shrinkToFit="0" vertical="bottom" wrapText="0"/>
    </xf>
    <xf borderId="18" fillId="16" fontId="6" numFmtId="0" xfId="0" applyAlignment="1" applyBorder="1" applyFont="1">
      <alignment shrinkToFit="0" vertical="bottom" wrapText="0"/>
    </xf>
    <xf borderId="18" fillId="16" fontId="6" numFmtId="0" xfId="0" applyAlignment="1" applyBorder="1" applyFont="1">
      <alignment shrinkToFit="0" vertical="bottom" wrapText="0"/>
    </xf>
    <xf borderId="11" fillId="16" fontId="6" numFmtId="0" xfId="0" applyAlignment="1" applyBorder="1" applyFont="1">
      <alignment horizontal="right" shrinkToFit="0" vertical="bottom" wrapText="0"/>
    </xf>
    <xf borderId="0" fillId="12" fontId="8" numFmtId="0" xfId="0" applyAlignment="1" applyFont="1">
      <alignment readingOrder="0" shrinkToFit="0" vertical="bottom" wrapText="0"/>
    </xf>
    <xf borderId="0" fillId="16" fontId="84" numFmtId="0" xfId="0" applyAlignment="1" applyFont="1">
      <alignment shrinkToFit="0" vertical="bottom" wrapText="0"/>
    </xf>
    <xf borderId="0" fillId="16" fontId="85" numFmtId="0" xfId="0" applyAlignment="1" applyFont="1">
      <alignment shrinkToFit="0" vertical="bottom" wrapText="0"/>
    </xf>
    <xf borderId="0" fillId="16" fontId="1" numFmtId="0" xfId="0" applyAlignment="1" applyFont="1">
      <alignment shrinkToFit="0" vertical="bottom" wrapText="0"/>
    </xf>
    <xf borderId="0" fillId="16" fontId="1" numFmtId="0" xfId="0" applyAlignment="1" applyFont="1">
      <alignment readingOrder="0" shrinkToFit="0" vertical="bottom" wrapText="0"/>
    </xf>
    <xf borderId="0" fillId="16" fontId="42" numFmtId="0" xfId="0" applyAlignment="1" applyFont="1">
      <alignment shrinkToFit="0" vertical="bottom" wrapText="0"/>
    </xf>
    <xf borderId="0" fillId="16" fontId="19" numFmtId="0" xfId="0" applyAlignment="1" applyFont="1">
      <alignment shrinkToFit="0" vertical="bottom" wrapText="0"/>
    </xf>
    <xf borderId="0" fillId="0" fontId="86" numFmtId="0" xfId="0" applyAlignment="1" applyFont="1">
      <alignment readingOrder="0" shrinkToFit="0" vertical="bottom" wrapText="0"/>
    </xf>
    <xf borderId="0" fillId="0" fontId="19" numFmtId="0" xfId="0" applyAlignment="1" applyFont="1">
      <alignment readingOrder="0" shrinkToFit="0" vertical="bottom" wrapText="0"/>
    </xf>
    <xf borderId="0" fillId="2" fontId="6" numFmtId="0" xfId="0" applyAlignment="1" applyFont="1">
      <alignment horizontal="left" shrinkToFit="0" vertical="bottom" wrapText="0"/>
    </xf>
    <xf borderId="0" fillId="0" fontId="87" numFmtId="0" xfId="0" applyAlignment="1" applyFont="1">
      <alignment shrinkToFit="0" vertical="bottom" wrapText="0"/>
    </xf>
    <xf borderId="46" fillId="0" fontId="6" numFmtId="0" xfId="0" applyAlignment="1" applyBorder="1" applyFont="1">
      <alignment readingOrder="0" shrinkToFit="0" vertical="bottom" wrapText="0"/>
    </xf>
    <xf borderId="0" fillId="0" fontId="88" numFmtId="0" xfId="0" applyAlignment="1" applyFont="1">
      <alignment shrinkToFit="0" vertical="bottom" wrapText="0"/>
    </xf>
    <xf borderId="0" fillId="4" fontId="8" numFmtId="0" xfId="0" applyAlignment="1" applyFont="1">
      <alignment readingOrder="0" shrinkToFit="0" vertical="bottom" wrapText="0"/>
    </xf>
    <xf borderId="0" fillId="0" fontId="6" numFmtId="0" xfId="0" applyAlignment="1" applyFont="1">
      <alignment readingOrder="0" shrinkToFit="0" wrapText="0"/>
    </xf>
    <xf borderId="0" fillId="4" fontId="89" numFmtId="0" xfId="0" applyAlignment="1" applyFont="1">
      <alignment readingOrder="0" shrinkToFit="0" wrapText="0"/>
    </xf>
    <xf borderId="0" fillId="16" fontId="90" numFmtId="0" xfId="0" applyAlignment="1" applyFont="1">
      <alignment shrinkToFit="0" vertical="bottom" wrapText="0"/>
    </xf>
    <xf borderId="0" fillId="16" fontId="8" numFmtId="0" xfId="0" applyAlignment="1" applyFont="1">
      <alignment shrinkToFit="0" vertical="bottom" wrapText="0"/>
    </xf>
    <xf borderId="0" fillId="16" fontId="1" numFmtId="0" xfId="0" applyAlignment="1" applyFont="1">
      <alignment shrinkToFit="0" vertical="bottom" wrapText="0"/>
    </xf>
    <xf borderId="0" fillId="16" fontId="1" numFmtId="0" xfId="0" applyAlignment="1" applyFont="1">
      <alignment shrinkToFit="0" vertical="bottom" wrapText="0"/>
    </xf>
    <xf borderId="0" fillId="16" fontId="6" numFmtId="0" xfId="0" applyAlignment="1" applyFont="1">
      <alignment readingOrder="0" shrinkToFit="0" vertical="bottom" wrapText="0"/>
    </xf>
    <xf borderId="5" fillId="19" fontId="4" numFmtId="0" xfId="0" applyAlignment="1" applyBorder="1" applyFont="1">
      <alignment shrinkToFit="0" vertical="top" wrapText="0"/>
    </xf>
    <xf borderId="0" fillId="4" fontId="91" numFmtId="0" xfId="0" applyAlignment="1" applyFont="1">
      <alignment readingOrder="0" shrinkToFit="0" wrapText="0"/>
    </xf>
    <xf borderId="18" fillId="19" fontId="1" numFmtId="0" xfId="0" applyAlignment="1" applyBorder="1" applyFont="1">
      <alignment shrinkToFit="0" vertical="top" wrapText="1"/>
    </xf>
    <xf borderId="19" fillId="19" fontId="4" numFmtId="0" xfId="0" applyAlignment="1" applyBorder="1" applyFont="1">
      <alignment shrinkToFit="0" vertical="top" wrapText="0"/>
    </xf>
    <xf borderId="47" fillId="0" fontId="6" numFmtId="0" xfId="0" applyAlignment="1" applyBorder="1" applyFont="1">
      <alignment readingOrder="0" shrinkToFit="0" vertical="bottom" wrapText="0"/>
    </xf>
    <xf borderId="0" fillId="4" fontId="25" numFmtId="0" xfId="0" applyAlignment="1" applyFont="1">
      <alignment readingOrder="0" shrinkToFit="0" wrapText="0"/>
    </xf>
    <xf borderId="0" fillId="19" fontId="3" numFmtId="0" xfId="0" applyAlignment="1" applyFont="1">
      <alignment shrinkToFit="0" vertical="top" wrapText="1"/>
    </xf>
    <xf borderId="0" fillId="0" fontId="92" numFmtId="0" xfId="0" applyAlignment="1" applyFont="1">
      <alignment shrinkToFit="0" vertical="bottom" wrapText="0"/>
    </xf>
    <xf borderId="0" fillId="15" fontId="16" numFmtId="0" xfId="0" applyAlignment="1" applyFont="1">
      <alignment horizontal="left" readingOrder="0" shrinkToFit="0" wrapText="0"/>
    </xf>
    <xf borderId="0" fillId="0" fontId="93" numFmtId="0" xfId="0" applyAlignment="1" applyFont="1">
      <alignment shrinkToFit="0" vertical="bottom" wrapText="0"/>
    </xf>
    <xf borderId="0" fillId="0" fontId="1" numFmtId="0" xfId="0" applyAlignment="1" applyFont="1">
      <alignment shrinkToFit="0" vertical="bottom" wrapText="0"/>
    </xf>
    <xf borderId="0" fillId="2" fontId="10" numFmtId="0" xfId="0" applyAlignment="1" applyFont="1">
      <alignment horizontal="left" shrinkToFit="0" vertical="bottom" wrapText="0"/>
    </xf>
    <xf borderId="0" fillId="4" fontId="10" numFmtId="0" xfId="0" applyAlignment="1" applyFont="1">
      <alignment horizontal="left" shrinkToFit="0" vertical="bottom" wrapText="0"/>
    </xf>
    <xf borderId="0" fillId="4" fontId="10" numFmtId="0" xfId="0" applyAlignment="1" applyFont="1">
      <alignment horizontal="left" readingOrder="0" shrinkToFit="0" vertical="bottom" wrapText="0"/>
    </xf>
    <xf borderId="47" fillId="0" fontId="10" numFmtId="0" xfId="0" applyAlignment="1" applyBorder="1" applyFont="1">
      <alignment readingOrder="0" shrinkToFit="0" vertical="bottom" wrapText="0"/>
    </xf>
    <xf borderId="9" fillId="0" fontId="10" numFmtId="0" xfId="0" applyAlignment="1" applyBorder="1" applyFont="1">
      <alignment readingOrder="0" shrinkToFit="0" vertical="bottom" wrapText="0"/>
    </xf>
    <xf borderId="10" fillId="0" fontId="10" numFmtId="0" xfId="0" applyAlignment="1" applyBorder="1" applyFont="1">
      <alignment readingOrder="0" shrinkToFit="0" vertical="bottom" wrapText="0"/>
    </xf>
    <xf borderId="0" fillId="0" fontId="94" numFmtId="0" xfId="0" applyAlignment="1" applyFont="1">
      <alignment readingOrder="0" shrinkToFit="0" wrapText="0"/>
    </xf>
    <xf borderId="0" fillId="0" fontId="9" numFmtId="0" xfId="0" applyAlignment="1" applyFont="1">
      <alignment readingOrder="0" shrinkToFit="0" wrapText="0"/>
    </xf>
    <xf borderId="0" fillId="0" fontId="95" numFmtId="0" xfId="0" applyAlignment="1" applyFont="1">
      <alignment readingOrder="0" shrinkToFit="0" vertical="bottom" wrapText="0"/>
    </xf>
    <xf borderId="0" fillId="0" fontId="26" numFmtId="0" xfId="0" applyAlignment="1" applyFont="1">
      <alignment readingOrder="0" shrinkToFit="0" wrapText="0"/>
    </xf>
    <xf borderId="0" fillId="0" fontId="3" numFmtId="0" xfId="0" applyAlignment="1" applyFont="1">
      <alignment shrinkToFit="0" vertical="bottom" wrapText="1"/>
    </xf>
    <xf borderId="0" fillId="0" fontId="1" numFmtId="0" xfId="0" applyAlignment="1" applyFont="1">
      <alignment shrinkToFit="0" vertical="bottom" wrapText="1"/>
    </xf>
    <xf borderId="0" fillId="4" fontId="25" numFmtId="0" xfId="0" applyAlignment="1" applyFont="1">
      <alignment vertical="bottom"/>
    </xf>
    <xf borderId="18" fillId="4" fontId="25" numFmtId="0" xfId="0" applyAlignment="1" applyBorder="1" applyFont="1">
      <alignment shrinkToFit="0" vertical="bottom" wrapText="0"/>
    </xf>
    <xf borderId="0" fillId="0" fontId="96" numFmtId="0" xfId="0" applyAlignment="1" applyFont="1">
      <alignment readingOrder="0" shrinkToFit="0" vertical="bottom" wrapText="0"/>
    </xf>
    <xf borderId="0" fillId="0" fontId="97" numFmtId="0" xfId="0" applyAlignment="1" applyFont="1">
      <alignment readingOrder="0" shrinkToFit="0" wrapText="0"/>
    </xf>
    <xf borderId="0" fillId="0" fontId="8" numFmtId="0" xfId="0" applyAlignment="1" applyFont="1">
      <alignment readingOrder="0" shrinkToFit="0" vertical="bottom" wrapText="0"/>
    </xf>
    <xf borderId="0" fillId="4" fontId="98" numFmtId="0" xfId="0" applyAlignment="1" applyFont="1">
      <alignment horizontal="left" readingOrder="0" shrinkToFit="0" wrapText="0"/>
    </xf>
    <xf borderId="0" fillId="4" fontId="99" numFmtId="0" xfId="0" applyAlignment="1" applyFont="1">
      <alignment horizontal="left" readingOrder="0" shrinkToFit="0" wrapText="0"/>
    </xf>
    <xf borderId="0" fillId="0" fontId="6" numFmtId="0" xfId="0" applyAlignment="1" applyFont="1">
      <alignment readingOrder="0" shrinkToFit="0" vertical="bottom" wrapText="0"/>
    </xf>
    <xf borderId="11" fillId="0" fontId="6" numFmtId="0" xfId="0" applyAlignment="1" applyBorder="1" applyFont="1">
      <alignment readingOrder="0" shrinkToFit="0" vertical="bottom" wrapText="0"/>
    </xf>
    <xf borderId="10" fillId="0" fontId="1" numFmtId="0" xfId="0" applyAlignment="1" applyBorder="1" applyFont="1">
      <alignment readingOrder="0" shrinkToFit="0" vertical="bottom" wrapText="0"/>
    </xf>
    <xf borderId="0" fillId="0" fontId="19" numFmtId="0" xfId="0" applyAlignment="1" applyFont="1">
      <alignment horizontal="left" readingOrder="0" shrinkToFit="0" vertical="bottom" wrapText="0"/>
    </xf>
    <xf borderId="11" fillId="0" fontId="1" numFmtId="0" xfId="0" applyAlignment="1" applyBorder="1" applyFont="1">
      <alignment readingOrder="0" shrinkToFit="0" vertical="bottom" wrapText="0"/>
    </xf>
    <xf borderId="10" fillId="0" fontId="3" numFmtId="0" xfId="0" applyAlignment="1" applyBorder="1" applyFont="1">
      <alignment readingOrder="0" shrinkToFit="0" vertical="bottom" wrapText="0"/>
    </xf>
    <xf borderId="11" fillId="0" fontId="3" numFmtId="0" xfId="0" applyAlignment="1" applyBorder="1" applyFont="1">
      <alignment readingOrder="0" shrinkToFit="0" vertical="bottom" wrapText="0"/>
    </xf>
    <xf borderId="0" fillId="0" fontId="24" numFmtId="0" xfId="0" applyAlignment="1" applyFont="1">
      <alignment horizontal="left" readingOrder="0" shrinkToFit="0" vertical="bottom" wrapText="0"/>
    </xf>
    <xf borderId="0" fillId="4" fontId="6" numFmtId="168" xfId="0" applyAlignment="1" applyFont="1" applyNumberFormat="1">
      <alignment horizontal="left" readingOrder="0" shrinkToFit="0" vertical="bottom" wrapText="0"/>
    </xf>
    <xf borderId="10" fillId="0" fontId="16" numFmtId="0" xfId="0" applyAlignment="1" applyBorder="1" applyFont="1">
      <alignment readingOrder="0" shrinkToFit="0" vertical="bottom" wrapText="0"/>
    </xf>
    <xf borderId="11" fillId="0" fontId="16" numFmtId="0" xfId="0" applyAlignment="1" applyBorder="1" applyFont="1">
      <alignment readingOrder="0" shrinkToFit="0" vertical="bottom" wrapText="0"/>
    </xf>
    <xf borderId="0" fillId="4" fontId="6" numFmtId="0" xfId="0" applyAlignment="1" applyFont="1">
      <alignment readingOrder="0" shrinkToFit="0" wrapText="0"/>
    </xf>
    <xf borderId="0" fillId="4" fontId="10" numFmtId="0" xfId="0" applyAlignment="1" applyFont="1">
      <alignment readingOrder="0" shrinkToFit="0" wrapText="0"/>
    </xf>
    <xf borderId="0" fillId="14" fontId="6" numFmtId="0" xfId="0" applyAlignment="1" applyFont="1">
      <alignment readingOrder="0" shrinkToFit="0" vertical="bottom" wrapText="0"/>
    </xf>
    <xf borderId="0" fillId="0" fontId="100" numFmtId="0" xfId="0" applyAlignment="1" applyFont="1">
      <alignment readingOrder="0" shrinkToFit="0" vertical="bottom" wrapText="0"/>
    </xf>
    <xf borderId="12" fillId="0" fontId="6" numFmtId="0" xfId="0" applyAlignment="1" applyBorder="1" applyFont="1">
      <alignment shrinkToFit="0" vertical="bottom" wrapText="0"/>
    </xf>
    <xf borderId="13" fillId="0" fontId="1" numFmtId="0" xfId="0" applyAlignment="1" applyBorder="1" applyFont="1">
      <alignment readingOrder="0" shrinkToFit="0" vertical="top" wrapText="0"/>
    </xf>
    <xf borderId="0" fillId="10" fontId="1" numFmtId="0" xfId="0" applyAlignment="1" applyFont="1">
      <alignment readingOrder="0" shrinkToFit="0" vertical="top" wrapText="0"/>
    </xf>
    <xf borderId="17" fillId="0" fontId="1" numFmtId="0" xfId="0" applyAlignment="1" applyBorder="1" applyFont="1">
      <alignment readingOrder="0" shrinkToFit="0" vertical="top" wrapText="0"/>
    </xf>
    <xf borderId="0" fillId="0" fontId="19" numFmtId="0" xfId="0" applyAlignment="1" applyFont="1">
      <alignment readingOrder="0" shrinkToFit="0" wrapText="0"/>
    </xf>
    <xf borderId="0" fillId="11" fontId="1" numFmtId="0" xfId="0" applyAlignment="1" applyFont="1">
      <alignment readingOrder="0" shrinkToFit="0" vertical="top" wrapText="0"/>
    </xf>
    <xf borderId="21" fillId="0" fontId="1" numFmtId="0" xfId="0" applyAlignment="1" applyBorder="1" applyFont="1">
      <alignment readingOrder="0" shrinkToFit="0" vertical="top" wrapText="0"/>
    </xf>
    <xf borderId="0" fillId="0" fontId="1" numFmtId="0" xfId="0" applyAlignment="1" applyFont="1">
      <alignment readingOrder="0" shrinkToFit="0" vertical="top" wrapText="0"/>
    </xf>
    <xf borderId="21" fillId="0" fontId="6" numFmtId="0" xfId="0" applyAlignment="1" applyBorder="1" applyFont="1">
      <alignment readingOrder="0" shrinkToFit="0" vertical="bottom" wrapText="0"/>
    </xf>
    <xf borderId="0" fillId="10" fontId="6" numFmtId="0" xfId="0" applyAlignment="1" applyFont="1">
      <alignment readingOrder="0" shrinkToFit="0" vertical="top" wrapText="0"/>
    </xf>
    <xf borderId="0" fillId="11" fontId="6" numFmtId="0" xfId="0" applyAlignment="1" applyFont="1">
      <alignment readingOrder="0" shrinkToFit="0" vertical="top" wrapText="0"/>
    </xf>
    <xf borderId="0" fillId="11" fontId="1" numFmtId="0" xfId="0" applyAlignment="1" applyFont="1">
      <alignment shrinkToFit="0" vertical="top" wrapText="0"/>
    </xf>
    <xf borderId="0" fillId="16" fontId="101" numFmtId="0" xfId="0" applyAlignment="1" applyFont="1">
      <alignment shrinkToFit="0" vertical="bottom" wrapText="0"/>
    </xf>
    <xf borderId="0" fillId="15" fontId="6" numFmtId="0" xfId="0" applyAlignment="1" applyFont="1">
      <alignment horizontal="left" readingOrder="0" shrinkToFit="0" wrapText="0"/>
    </xf>
    <xf borderId="0" fillId="16" fontId="6" numFmtId="0" xfId="0" applyAlignment="1" applyFont="1">
      <alignment shrinkToFit="0" vertical="top" wrapText="0"/>
    </xf>
    <xf borderId="0" fillId="16" fontId="1" numFmtId="0" xfId="0" applyAlignment="1" applyFont="1">
      <alignment shrinkToFit="0" vertical="top" wrapText="0"/>
    </xf>
    <xf borderId="10" fillId="0" fontId="10" numFmtId="0" xfId="0" applyAlignment="1" applyBorder="1" applyFont="1">
      <alignment readingOrder="0" shrinkToFit="0" vertical="bottom" wrapText="0"/>
    </xf>
    <xf borderId="0" fillId="11" fontId="1" numFmtId="0" xfId="0" applyAlignment="1" applyFont="1">
      <alignment readingOrder="0" shrinkToFit="0" vertical="top" wrapText="0"/>
    </xf>
    <xf borderId="0" fillId="11" fontId="3" numFmtId="0" xfId="0" applyAlignment="1" applyFont="1">
      <alignment readingOrder="0" shrinkToFit="0" vertical="top" wrapText="0"/>
    </xf>
    <xf borderId="0" fillId="4" fontId="6" numFmtId="0" xfId="0" applyAlignment="1" applyFont="1">
      <alignment readingOrder="0"/>
    </xf>
    <xf borderId="0" fillId="20" fontId="26" numFmtId="0" xfId="0" applyAlignment="1" applyFill="1" applyFont="1">
      <alignment readingOrder="0"/>
    </xf>
    <xf borderId="0" fillId="21" fontId="9" numFmtId="0" xfId="0" applyAlignment="1" applyFill="1" applyFont="1">
      <alignment readingOrder="0"/>
    </xf>
    <xf borderId="0" fillId="21" fontId="9" numFmtId="0" xfId="0" applyFont="1"/>
    <xf borderId="0" fillId="3" fontId="9" numFmtId="0" xfId="0" applyFont="1"/>
    <xf borderId="0" fillId="21" fontId="9" numFmtId="0" xfId="0" applyAlignment="1" applyFont="1">
      <alignment readingOrder="0" shrinkToFit="0" wrapText="1"/>
    </xf>
    <xf borderId="0" fillId="15" fontId="1" numFmtId="0" xfId="0" applyAlignment="1" applyFont="1">
      <alignment readingOrder="0" shrinkToFit="0" vertical="bottom" wrapText="1"/>
    </xf>
    <xf borderId="0" fillId="21" fontId="9" numFmtId="0" xfId="0" applyAlignment="1" applyFont="1">
      <alignment shrinkToFit="0" wrapText="1"/>
    </xf>
    <xf borderId="0" fillId="21" fontId="1" numFmtId="0" xfId="0" applyAlignment="1" applyFont="1">
      <alignment vertical="bottom"/>
    </xf>
    <xf borderId="0" fillId="21" fontId="1" numFmtId="0" xfId="0" applyAlignment="1" applyFont="1">
      <alignment vertical="bottom"/>
    </xf>
    <xf borderId="0" fillId="15" fontId="9" numFmtId="0" xfId="0" applyAlignment="1" applyFont="1">
      <alignment readingOrder="0" shrinkToFit="0" wrapText="1"/>
    </xf>
    <xf borderId="0" fillId="20" fontId="9" numFmtId="0" xfId="0" applyAlignment="1" applyFont="1">
      <alignment readingOrder="0"/>
    </xf>
    <xf borderId="0" fillId="0" fontId="19" numFmtId="0" xfId="0" applyAlignment="1" applyFont="1">
      <alignment horizontal="left" readingOrder="0" shrinkToFit="0" vertical="bottom" wrapText="0"/>
    </xf>
    <xf borderId="0" fillId="0" fontId="24" numFmtId="0" xfId="0" applyAlignment="1" applyFont="1">
      <alignment horizontal="left" readingOrder="0" shrinkToFit="0" vertical="bottom" wrapText="0"/>
    </xf>
    <xf borderId="0" fillId="12" fontId="6" numFmtId="0" xfId="0" applyAlignment="1" applyFont="1">
      <alignment vertical="bottom"/>
    </xf>
    <xf borderId="0" fillId="20" fontId="9" numFmtId="0" xfId="0" applyAlignment="1" applyFont="1">
      <alignment shrinkToFit="0" wrapText="1"/>
    </xf>
    <xf borderId="0" fillId="0" fontId="102" numFmtId="0" xfId="0" applyAlignment="1" applyFont="1">
      <alignment readingOrder="0" vertical="bottom"/>
    </xf>
    <xf borderId="0" fillId="15" fontId="9" numFmtId="0" xfId="0" applyAlignment="1" applyFont="1">
      <alignment shrinkToFit="0" wrapText="1"/>
    </xf>
    <xf borderId="0" fillId="3" fontId="9" numFmtId="0" xfId="0" applyAlignment="1" applyFont="1">
      <alignment shrinkToFit="0" wrapText="1"/>
    </xf>
    <xf borderId="0" fillId="3" fontId="1" numFmtId="0" xfId="0" applyAlignment="1" applyFont="1">
      <alignment readingOrder="0" shrinkToFit="0" vertical="bottom" wrapText="1"/>
    </xf>
    <xf borderId="0" fillId="16" fontId="103" numFmtId="0" xfId="0" applyAlignment="1" applyFont="1">
      <alignment vertical="bottom"/>
    </xf>
    <xf borderId="0" fillId="20" fontId="9" numFmtId="0" xfId="0" applyFont="1"/>
    <xf borderId="0" fillId="16" fontId="35" numFmtId="0" xfId="0" applyAlignment="1" applyFont="1">
      <alignment vertical="bottom"/>
    </xf>
    <xf borderId="0" fillId="0" fontId="9" numFmtId="20" xfId="0" applyFont="1" applyNumberFormat="1"/>
    <xf borderId="9" fillId="0" fontId="16" numFmtId="0" xfId="0" applyAlignment="1" applyBorder="1" applyFont="1">
      <alignment readingOrder="0" shrinkToFit="0" vertical="bottom" wrapText="0"/>
    </xf>
    <xf borderId="0" fillId="0" fontId="16" numFmtId="0" xfId="0" applyAlignment="1" applyFont="1">
      <alignment readingOrder="0" shrinkToFit="0" vertical="bottom" wrapText="0"/>
    </xf>
    <xf borderId="11" fillId="16" fontId="6" numFmtId="0" xfId="0" applyAlignment="1" applyBorder="1" applyFont="1">
      <alignment vertical="bottom"/>
    </xf>
    <xf borderId="0" fillId="0" fontId="9" numFmtId="0" xfId="0" applyAlignment="1" applyFont="1">
      <alignment shrinkToFit="0" wrapText="1"/>
    </xf>
    <xf borderId="0" fillId="4" fontId="104" numFmtId="0" xfId="0" applyAlignment="1" applyFont="1">
      <alignment shrinkToFit="0" wrapText="1"/>
    </xf>
    <xf borderId="0" fillId="2" fontId="6" numFmtId="0" xfId="0" applyAlignment="1" applyFont="1">
      <alignment horizontal="left" shrinkToFit="0" vertical="bottom" wrapText="0"/>
    </xf>
    <xf borderId="48" fillId="0" fontId="6" numFmtId="0" xfId="0" applyAlignment="1" applyBorder="1" applyFont="1">
      <alignment readingOrder="0" vertical="bottom"/>
    </xf>
    <xf borderId="9" fillId="0" fontId="6" numFmtId="0" xfId="0" applyAlignment="1" applyBorder="1" applyFont="1">
      <alignment readingOrder="0" vertical="bottom"/>
    </xf>
    <xf borderId="0" fillId="0" fontId="105" numFmtId="0" xfId="0" applyAlignment="1" applyFont="1">
      <alignment vertical="bottom"/>
    </xf>
    <xf borderId="47" fillId="0" fontId="6" numFmtId="0" xfId="0" applyAlignment="1" applyBorder="1" applyFont="1">
      <alignment readingOrder="0" vertical="bottom"/>
    </xf>
    <xf borderId="18" fillId="0" fontId="1" numFmtId="0" xfId="0" applyAlignment="1" applyBorder="1" applyFont="1">
      <alignment shrinkToFit="0" vertical="bottom" wrapText="0"/>
    </xf>
    <xf borderId="18" fillId="0" fontId="1" numFmtId="0" xfId="0" applyAlignment="1" applyBorder="1" applyFont="1">
      <alignment vertical="bottom"/>
    </xf>
    <xf borderId="18" fillId="0" fontId="1" numFmtId="0" xfId="0" applyAlignment="1" applyBorder="1" applyFont="1">
      <alignment vertical="bottom"/>
    </xf>
    <xf borderId="0" fillId="4" fontId="106" numFmtId="0" xfId="0" applyAlignment="1" applyFont="1">
      <alignment readingOrder="0"/>
    </xf>
    <xf borderId="0" fillId="2" fontId="1" numFmtId="0" xfId="0" applyAlignment="1" applyFont="1">
      <alignment readingOrder="0" shrinkToFit="0" vertical="bottom" wrapText="0"/>
    </xf>
    <xf borderId="0" fillId="2" fontId="1" numFmtId="0" xfId="0" applyAlignment="1" applyFont="1">
      <alignment horizontal="left" shrinkToFit="0" vertical="bottom" wrapText="0"/>
    </xf>
    <xf borderId="9" fillId="4" fontId="1" numFmtId="0" xfId="0" applyAlignment="1" applyBorder="1" applyFont="1">
      <alignment horizontal="left" readingOrder="0" shrinkToFit="0" vertical="bottom" wrapText="0"/>
    </xf>
    <xf borderId="0" fillId="4" fontId="1" numFmtId="166" xfId="0" applyAlignment="1" applyFont="1" applyNumberFormat="1">
      <alignment horizontal="left" readingOrder="0" shrinkToFit="0" vertical="bottom" wrapText="0"/>
    </xf>
    <xf borderId="0" fillId="4" fontId="1" numFmtId="0" xfId="0" applyAlignment="1" applyFont="1">
      <alignment horizontal="left" readingOrder="0" shrinkToFit="0" vertical="bottom" wrapText="0"/>
    </xf>
    <xf borderId="47" fillId="0" fontId="1" numFmtId="0" xfId="0" applyAlignment="1" applyBorder="1" applyFont="1">
      <alignment readingOrder="0" vertical="bottom"/>
    </xf>
    <xf borderId="0" fillId="0" fontId="107"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wrapText="0"/>
    </xf>
    <xf borderId="11" fillId="0" fontId="1" numFmtId="0" xfId="0" applyAlignment="1" applyBorder="1" applyFont="1">
      <alignment horizontal="right" readingOrder="0" shrinkToFit="0" vertical="bottom" wrapText="0"/>
    </xf>
    <xf borderId="0" fillId="12" fontId="108" numFmtId="0" xfId="0" applyAlignment="1" applyFont="1">
      <alignment shrinkToFit="0" vertical="bottom" wrapText="0"/>
    </xf>
    <xf borderId="0" fillId="0" fontId="109" numFmtId="0" xfId="0" applyAlignment="1" applyFont="1">
      <alignment readingOrder="0" shrinkToFit="0" vertical="bottom" wrapText="0"/>
    </xf>
    <xf borderId="0" fillId="0" fontId="110"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111" numFmtId="0" xfId="0" applyAlignment="1" applyFont="1">
      <alignment readingOrder="0" shrinkToFit="0" vertical="bottom" wrapText="0"/>
    </xf>
    <xf borderId="49" fillId="4" fontId="1" numFmtId="0" xfId="0" applyAlignment="1" applyBorder="1" applyFont="1">
      <alignment horizontal="left" readingOrder="0" shrinkToFit="0" vertical="bottom" wrapText="0"/>
    </xf>
    <xf borderId="50" fillId="0" fontId="6" numFmtId="0" xfId="0" applyAlignment="1" applyBorder="1" applyFont="1">
      <alignment readingOrder="0" shrinkToFit="0" vertical="bottom" wrapText="0"/>
    </xf>
    <xf borderId="0" fillId="20" fontId="112" numFmtId="0" xfId="0" applyFont="1"/>
    <xf borderId="0" fillId="0" fontId="6" numFmtId="0" xfId="0" applyAlignment="1" applyFont="1">
      <alignment readingOrder="0" shrinkToFit="0" vertical="bottom" wrapText="0"/>
    </xf>
    <xf borderId="0" fillId="4" fontId="1" numFmtId="166" xfId="0" applyAlignment="1" applyFont="1" applyNumberFormat="1">
      <alignment vertical="bottom"/>
    </xf>
    <xf borderId="18" fillId="0" fontId="6" numFmtId="0" xfId="0" applyAlignment="1" applyBorder="1" applyFont="1">
      <alignment shrinkToFit="0" vertical="bottom" wrapText="0"/>
    </xf>
    <xf borderId="18" fillId="0" fontId="6" numFmtId="0" xfId="0" applyAlignment="1" applyBorder="1" applyFont="1">
      <alignment vertical="bottom"/>
    </xf>
    <xf borderId="0" fillId="0" fontId="6" numFmtId="0" xfId="0" applyAlignment="1" applyFont="1">
      <alignment vertical="bottom"/>
    </xf>
    <xf borderId="21" fillId="0" fontId="1" numFmtId="0" xfId="0" applyAlignment="1" applyBorder="1" applyFont="1">
      <alignment vertical="bottom"/>
    </xf>
    <xf borderId="0" fillId="4" fontId="1" numFmtId="0" xfId="0" applyAlignment="1" applyFont="1">
      <alignment vertical="bottom"/>
    </xf>
    <xf borderId="29" fillId="0" fontId="6" numFmtId="0" xfId="0" applyAlignment="1" applyBorder="1" applyFont="1">
      <alignment vertical="bottom"/>
    </xf>
    <xf borderId="0" fillId="12" fontId="1" numFmtId="0" xfId="0" applyAlignment="1" applyFont="1">
      <alignment vertical="bottom"/>
    </xf>
    <xf borderId="0" fillId="16" fontId="1" numFmtId="166" xfId="0" applyAlignment="1" applyFont="1" applyNumberFormat="1">
      <alignment vertical="bottom"/>
    </xf>
    <xf borderId="18" fillId="16" fontId="113" numFmtId="0" xfId="0" applyAlignment="1" applyBorder="1" applyFont="1">
      <alignment shrinkToFit="0" vertical="bottom" wrapText="0"/>
    </xf>
    <xf borderId="0" fillId="16" fontId="6" numFmtId="0" xfId="0" applyAlignment="1" applyFont="1">
      <alignment vertical="bottom"/>
    </xf>
    <xf borderId="0" fillId="16" fontId="114" numFmtId="0" xfId="0" applyAlignment="1" applyFont="1">
      <alignment vertical="bottom"/>
    </xf>
    <xf borderId="21" fillId="16" fontId="1" numFmtId="0" xfId="0" applyAlignment="1" applyBorder="1" applyFont="1">
      <alignment vertical="bottom"/>
    </xf>
    <xf borderId="12" fillId="16" fontId="1" numFmtId="0" xfId="0" applyAlignment="1" applyBorder="1" applyFont="1">
      <alignment vertical="bottom"/>
    </xf>
    <xf borderId="18" fillId="0" fontId="6" numFmtId="0" xfId="0" applyAlignment="1" applyBorder="1" applyFont="1">
      <alignment readingOrder="0" shrinkToFit="0" vertical="bottom" wrapText="0"/>
    </xf>
    <xf borderId="11" fillId="0" fontId="6" numFmtId="0" xfId="0" applyAlignment="1" applyBorder="1" applyFont="1">
      <alignment shrinkToFit="0" vertical="bottom" wrapText="0"/>
    </xf>
    <xf borderId="49" fillId="0" fontId="6" numFmtId="0" xfId="0" applyAlignment="1" applyBorder="1" applyFont="1">
      <alignment shrinkToFit="0" vertical="bottom" wrapText="0"/>
    </xf>
    <xf borderId="11" fillId="0" fontId="6" numFmtId="0" xfId="0" applyAlignment="1" applyBorder="1" applyFont="1">
      <alignment horizontal="right" shrinkToFit="0" vertical="bottom" wrapText="0"/>
    </xf>
    <xf borderId="9" fillId="2" fontId="6" numFmtId="165" xfId="0" applyAlignment="1" applyBorder="1" applyFont="1" applyNumberFormat="1">
      <alignment horizontal="left" readingOrder="0" shrinkToFit="0" vertical="bottom" wrapText="0"/>
    </xf>
    <xf borderId="33" fillId="0" fontId="6" numFmtId="0" xfId="0" applyAlignment="1" applyBorder="1" applyFont="1">
      <alignment shrinkToFit="0" vertical="bottom" wrapText="0"/>
    </xf>
    <xf borderId="35" fillId="0" fontId="6" numFmtId="0" xfId="0" applyAlignment="1" applyBorder="1" applyFont="1">
      <alignment readingOrder="0" shrinkToFit="0" vertical="bottom" wrapText="0"/>
    </xf>
    <xf borderId="36" fillId="0" fontId="6" numFmtId="0" xfId="0" applyAlignment="1" applyBorder="1" applyFont="1">
      <alignment shrinkToFit="0" vertical="bottom" wrapText="0"/>
    </xf>
    <xf borderId="0" fillId="10" fontId="6" numFmtId="0" xfId="0" applyAlignment="1" applyFont="1">
      <alignment readingOrder="0" shrinkToFit="0" vertical="top" wrapText="0"/>
    </xf>
    <xf borderId="32" fillId="0" fontId="115" numFmtId="0" xfId="0" applyAlignment="1" applyBorder="1" applyFont="1">
      <alignment readingOrder="0" shrinkToFit="0" wrapText="0"/>
    </xf>
    <xf borderId="32" fillId="0" fontId="116" numFmtId="0" xfId="0" applyAlignment="1" applyBorder="1" applyFont="1">
      <alignment readingOrder="0" shrinkToFit="0" wrapText="0"/>
    </xf>
    <xf borderId="11" fillId="2" fontId="6" numFmtId="0" xfId="0" applyAlignment="1" applyBorder="1" applyFont="1">
      <alignment readingOrder="0" shrinkToFit="0" vertical="bottom" wrapText="0"/>
    </xf>
    <xf borderId="0" fillId="10" fontId="6" numFmtId="0" xfId="0" applyAlignment="1" applyFont="1">
      <alignment shrinkToFit="0" vertical="top" wrapText="0"/>
    </xf>
    <xf borderId="37" fillId="0" fontId="6" numFmtId="0" xfId="0" applyAlignment="1" applyBorder="1" applyFont="1">
      <alignment shrinkToFit="0" vertical="bottom" wrapText="0"/>
    </xf>
    <xf borderId="32" fillId="0" fontId="6" numFmtId="0" xfId="0" applyAlignment="1" applyBorder="1" applyFont="1">
      <alignment shrinkToFit="0" wrapText="0"/>
    </xf>
    <xf borderId="0" fillId="6" fontId="16" numFmtId="0" xfId="0" applyAlignment="1" applyFont="1">
      <alignment readingOrder="0" shrinkToFit="0" vertical="bottom" wrapText="0"/>
    </xf>
    <xf borderId="0" fillId="4" fontId="117" numFmtId="0" xfId="0" applyAlignment="1" applyFont="1">
      <alignment readingOrder="0"/>
    </xf>
    <xf borderId="32" fillId="0" fontId="19" numFmtId="0" xfId="0" applyAlignment="1" applyBorder="1" applyFont="1">
      <alignment shrinkToFit="0" wrapText="0"/>
    </xf>
    <xf borderId="51" fillId="0" fontId="16" numFmtId="0" xfId="0" applyAlignment="1" applyBorder="1" applyFont="1">
      <alignment readingOrder="0" shrinkToFit="0" vertical="bottom" wrapText="0"/>
    </xf>
    <xf borderId="52" fillId="0" fontId="6" numFmtId="0" xfId="0" applyAlignment="1" applyBorder="1" applyFont="1">
      <alignment readingOrder="0" shrinkToFit="0" vertical="bottom" wrapText="0"/>
    </xf>
    <xf borderId="35" fillId="0" fontId="6" numFmtId="0" xfId="0" applyAlignment="1" applyBorder="1" applyFont="1">
      <alignment shrinkToFit="0" vertical="bottom" wrapText="0"/>
    </xf>
    <xf borderId="53" fillId="0" fontId="16" numFmtId="0" xfId="0" applyAlignment="1" applyBorder="1" applyFont="1">
      <alignment readingOrder="0" shrinkToFit="0" vertical="bottom" wrapText="0"/>
    </xf>
    <xf borderId="36" fillId="0" fontId="118" numFmtId="0" xfId="0" applyAlignment="1" applyBorder="1" applyFont="1">
      <alignment readingOrder="0" shrinkToFit="0" vertical="bottom" wrapText="0"/>
    </xf>
    <xf borderId="17" fillId="0" fontId="119" numFmtId="0" xfId="0" applyAlignment="1" applyBorder="1" applyFont="1">
      <alignment readingOrder="0" shrinkToFit="0" vertical="top" wrapText="0"/>
    </xf>
    <xf borderId="36" fillId="0" fontId="120" numFmtId="0" xfId="0" applyAlignment="1" applyBorder="1" applyFont="1">
      <alignment readingOrder="0" shrinkToFit="0" vertical="bottom" wrapText="0"/>
    </xf>
    <xf borderId="0" fillId="22" fontId="6" numFmtId="0" xfId="0" applyAlignment="1" applyFill="1" applyFont="1">
      <alignment readingOrder="0" shrinkToFit="0" vertical="bottom" wrapText="0"/>
    </xf>
    <xf borderId="53" fillId="0" fontId="6" numFmtId="0" xfId="0" applyAlignment="1" applyBorder="1" applyFont="1">
      <alignment readingOrder="0" shrinkToFit="0" vertical="bottom" wrapText="0"/>
    </xf>
    <xf borderId="0" fillId="0" fontId="121" numFmtId="0" xfId="0" applyFont="1"/>
    <xf borderId="32" fillId="0" fontId="1" numFmtId="0" xfId="0" applyAlignment="1" applyBorder="1" applyFont="1">
      <alignment readingOrder="0" shrinkToFit="0" vertical="bottom" wrapText="0"/>
    </xf>
    <xf borderId="36" fillId="0" fontId="1" numFmtId="0" xfId="0" applyAlignment="1" applyBorder="1" applyFont="1">
      <alignment shrinkToFit="0" vertical="bottom" wrapText="0"/>
    </xf>
    <xf borderId="0" fillId="10" fontId="1" numFmtId="0" xfId="0" applyAlignment="1" applyFont="1">
      <alignment readingOrder="0" shrinkToFit="0" vertical="top" wrapText="0"/>
    </xf>
    <xf borderId="37" fillId="0" fontId="122" numFmtId="0" xfId="0" applyAlignment="1" applyBorder="1" applyFont="1">
      <alignment readingOrder="0" shrinkToFit="0" vertical="bottom" wrapText="0"/>
    </xf>
    <xf borderId="32" fillId="0" fontId="1" numFmtId="0" xfId="0" applyAlignment="1" applyBorder="1" applyFont="1">
      <alignment shrinkToFit="0" vertical="bottom" wrapText="0"/>
    </xf>
    <xf borderId="17" fillId="0" fontId="1" numFmtId="0" xfId="0" applyAlignment="1" applyBorder="1" applyFont="1">
      <alignment readingOrder="0" shrinkToFit="0" vertical="top" wrapText="0"/>
    </xf>
    <xf borderId="37" fillId="0" fontId="1" numFmtId="0" xfId="0" applyAlignment="1" applyBorder="1" applyFont="1">
      <alignment readingOrder="0" shrinkToFit="0" vertical="bottom" wrapText="0"/>
    </xf>
    <xf borderId="0" fillId="22" fontId="16" numFmtId="0" xfId="0" applyAlignment="1" applyFont="1">
      <alignment readingOrder="0" shrinkToFit="0" vertical="bottom" wrapText="0"/>
    </xf>
    <xf borderId="54" fillId="0" fontId="16" numFmtId="0" xfId="0" applyAlignment="1" applyBorder="1" applyFont="1">
      <alignment readingOrder="0" shrinkToFit="0" vertical="bottom" wrapText="0"/>
    </xf>
    <xf borderId="0" fillId="22" fontId="19" numFmtId="0" xfId="0" applyAlignment="1" applyFont="1">
      <alignment readingOrder="0" shrinkToFit="0" vertical="bottom" wrapText="0"/>
    </xf>
    <xf borderId="55" fillId="0" fontId="6" numFmtId="0" xfId="0" applyAlignment="1" applyBorder="1" applyFont="1">
      <alignment horizontal="right" readingOrder="0" shrinkToFit="0" vertical="bottom" wrapText="0"/>
    </xf>
    <xf borderId="0" fillId="4" fontId="123" numFmtId="0" xfId="0" applyAlignment="1" applyFont="1">
      <alignment readingOrder="0" shrinkToFit="0" wrapText="0"/>
    </xf>
    <xf borderId="11" fillId="2" fontId="10" numFmtId="0" xfId="0" applyAlignment="1" applyBorder="1" applyFont="1">
      <alignment readingOrder="0" shrinkToFit="0" vertical="bottom" wrapText="0"/>
    </xf>
    <xf borderId="0" fillId="22" fontId="10" numFmtId="0" xfId="0" applyAlignment="1" applyFont="1">
      <alignment readingOrder="0" shrinkToFit="0" vertical="bottom" wrapText="0"/>
    </xf>
    <xf borderId="53" fillId="0" fontId="33" numFmtId="0" xfId="0" applyAlignment="1" applyBorder="1" applyFont="1">
      <alignment readingOrder="0" shrinkToFit="0" vertical="bottom" wrapText="0"/>
    </xf>
    <xf borderId="52" fillId="0" fontId="10" numFmtId="0" xfId="0" applyAlignment="1" applyBorder="1" applyFont="1">
      <alignment readingOrder="0" shrinkToFit="0" vertical="bottom" wrapText="0"/>
    </xf>
    <xf borderId="33" fillId="0" fontId="10" numFmtId="0" xfId="0" applyAlignment="1" applyBorder="1" applyFont="1">
      <alignment shrinkToFit="0" vertical="bottom" wrapText="0"/>
    </xf>
    <xf borderId="35" fillId="0" fontId="10" numFmtId="0" xfId="0" applyAlignment="1" applyBorder="1" applyFont="1">
      <alignment shrinkToFit="0" vertical="bottom" wrapText="0"/>
    </xf>
    <xf borderId="36" fillId="0" fontId="10" numFmtId="0" xfId="0" applyAlignment="1" applyBorder="1" applyFont="1">
      <alignment shrinkToFit="0" vertical="bottom" wrapText="0"/>
    </xf>
    <xf borderId="0" fillId="10" fontId="10" numFmtId="0" xfId="0" applyAlignment="1" applyFont="1">
      <alignment readingOrder="0" shrinkToFit="0" vertical="top" wrapText="0"/>
    </xf>
    <xf borderId="17" fillId="0" fontId="10" numFmtId="0" xfId="0" applyAlignment="1" applyBorder="1" applyFont="1">
      <alignment readingOrder="0" shrinkToFit="0" vertical="top" wrapText="0"/>
    </xf>
    <xf borderId="37" fillId="0" fontId="10" numFmtId="0" xfId="0" applyAlignment="1" applyBorder="1" applyFont="1">
      <alignment readingOrder="0" shrinkToFit="0" vertical="bottom" wrapText="0"/>
    </xf>
    <xf borderId="32" fillId="0" fontId="24" numFmtId="0" xfId="0" applyAlignment="1" applyBorder="1" applyFont="1">
      <alignment shrinkToFit="0" wrapText="0"/>
    </xf>
    <xf borderId="55" fillId="0" fontId="10" numFmtId="0" xfId="0" applyAlignment="1" applyBorder="1" applyFont="1">
      <alignment horizontal="right" readingOrder="0" shrinkToFit="0" vertical="bottom" wrapText="0"/>
    </xf>
    <xf borderId="0" fillId="22" fontId="124" numFmtId="0" xfId="0" applyAlignment="1" applyFont="1">
      <alignment readingOrder="0" shrinkToFit="0" vertical="bottom" wrapText="0"/>
    </xf>
    <xf borderId="0" fillId="22" fontId="125" numFmtId="0" xfId="0" applyAlignment="1" applyFont="1">
      <alignment readingOrder="0" shrinkToFit="0" vertical="bottom" wrapText="0"/>
    </xf>
    <xf borderId="35" fillId="0" fontId="10" numFmtId="0" xfId="0" applyAlignment="1" applyBorder="1" applyFont="1">
      <alignment readingOrder="0" shrinkToFit="0" vertical="bottom" wrapText="0"/>
    </xf>
    <xf borderId="0" fillId="10" fontId="10" numFmtId="0" xfId="0" applyAlignment="1" applyFont="1">
      <alignment shrinkToFit="0" vertical="top" wrapText="0"/>
    </xf>
    <xf borderId="37" fillId="0" fontId="10" numFmtId="0" xfId="0" applyAlignment="1" applyBorder="1" applyFont="1">
      <alignment shrinkToFit="0" vertical="bottom" wrapText="0"/>
    </xf>
    <xf borderId="33" fillId="0" fontId="6" numFmtId="0" xfId="0" applyAlignment="1" applyBorder="1" applyFont="1">
      <alignment readingOrder="0" shrinkToFit="0" vertical="bottom" wrapText="0"/>
    </xf>
    <xf borderId="33" fillId="0" fontId="126" numFmtId="0" xfId="0" applyAlignment="1" applyBorder="1" applyFont="1">
      <alignment readingOrder="0" shrinkToFit="0" vertical="bottom" wrapText="0"/>
    </xf>
    <xf borderId="56" fillId="0" fontId="6" numFmtId="0" xfId="0" applyAlignment="1" applyBorder="1" applyFont="1">
      <alignment readingOrder="0" shrinkToFit="0" vertical="bottom" wrapText="0"/>
    </xf>
    <xf borderId="39" fillId="0" fontId="19" numFmtId="0" xfId="0" applyAlignment="1" applyBorder="1" applyFont="1">
      <alignment readingOrder="0" shrinkToFit="0" wrapText="0"/>
    </xf>
    <xf borderId="39" fillId="0" fontId="127" numFmtId="0" xfId="0" applyAlignment="1" applyBorder="1" applyFont="1">
      <alignment readingOrder="0" shrinkToFit="0" vertical="bottom" wrapText="0"/>
    </xf>
    <xf borderId="39" fillId="0" fontId="6" numFmtId="0" xfId="0" applyAlignment="1" applyBorder="1" applyFont="1">
      <alignment shrinkToFit="0" vertical="bottom" wrapText="0"/>
    </xf>
    <xf borderId="56" fillId="0" fontId="6" numFmtId="0" xfId="0" applyAlignment="1" applyBorder="1" applyFont="1">
      <alignment shrinkToFit="0" vertical="bottom" wrapText="0"/>
    </xf>
    <xf borderId="39" fillId="0" fontId="19" numFmtId="0" xfId="0" applyAlignment="1" applyBorder="1" applyFont="1">
      <alignment shrinkToFit="0" wrapText="0"/>
    </xf>
    <xf borderId="0" fillId="0" fontId="6" numFmtId="0" xfId="0" applyAlignment="1" applyFont="1">
      <alignment readingOrder="0" shrinkToFit="0" vertical="bottom" wrapText="0"/>
    </xf>
    <xf borderId="0" fillId="0" fontId="16" numFmtId="0" xfId="0" applyAlignment="1" applyFont="1">
      <alignment shrinkToFit="0" vertical="bottom" wrapText="0"/>
    </xf>
    <xf borderId="0" fillId="14" fontId="1" numFmtId="0" xfId="0" applyAlignment="1" applyFont="1">
      <alignment readingOrder="0" shrinkToFit="0" vertical="bottom" wrapText="0"/>
    </xf>
    <xf borderId="0" fillId="14" fontId="3" numFmtId="0" xfId="0" applyAlignment="1" applyFont="1">
      <alignment readingOrder="0" shrinkToFit="0" vertical="bottom" wrapText="0"/>
    </xf>
    <xf borderId="0" fillId="0" fontId="3" numFmtId="0" xfId="0" applyAlignment="1" applyFont="1">
      <alignment shrinkToFit="0" vertical="bottom" wrapText="0"/>
    </xf>
    <xf borderId="0" fillId="0" fontId="33" numFmtId="0" xfId="0" applyAlignment="1" applyFont="1">
      <alignment readingOrder="0" shrinkToFit="0" vertical="bottom" wrapText="0"/>
    </xf>
    <xf borderId="49" fillId="4" fontId="3" numFmtId="0" xfId="0" applyAlignment="1" applyBorder="1" applyFont="1">
      <alignment horizontal="left" readingOrder="0" shrinkToFit="0" vertical="bottom" wrapText="0"/>
    </xf>
    <xf borderId="50" fillId="0" fontId="10" numFmtId="0" xfId="0" applyAlignment="1" applyBorder="1" applyFont="1">
      <alignment readingOrder="0" shrinkToFit="0" vertical="bottom" wrapText="0"/>
    </xf>
    <xf borderId="9" fillId="3" fontId="6" numFmtId="0" xfId="0" applyAlignment="1" applyBorder="1" applyFont="1">
      <alignment readingOrder="0" shrinkToFit="0" vertical="bottom" wrapText="0"/>
    </xf>
    <xf borderId="13" fillId="0" fontId="1" numFmtId="0" xfId="0" applyAlignment="1" applyBorder="1" applyFont="1">
      <alignment readingOrder="0" shrinkToFit="0" vertical="top" wrapText="0"/>
    </xf>
    <xf borderId="21" fillId="0" fontId="1" numFmtId="0" xfId="0" applyAlignment="1" applyBorder="1" applyFont="1">
      <alignment shrinkToFit="0" vertical="top" wrapText="0"/>
    </xf>
    <xf borderId="21" fillId="0" fontId="1" numFmtId="0" xfId="0" applyAlignment="1" applyBorder="1" applyFont="1">
      <alignment readingOrder="0" shrinkToFit="0" vertical="top" wrapText="0"/>
    </xf>
    <xf borderId="11" fillId="0" fontId="6" numFmtId="20" xfId="0" applyAlignment="1" applyBorder="1" applyFont="1" applyNumberFormat="1">
      <alignment horizontal="right" readingOrder="0" shrinkToFit="0" vertical="bottom" wrapText="0"/>
    </xf>
    <xf borderId="0" fillId="0" fontId="1" numFmtId="0" xfId="0" applyAlignment="1" applyFont="1">
      <alignment shrinkToFit="0" vertical="top" wrapText="0"/>
    </xf>
    <xf borderId="21" fillId="0" fontId="6" numFmtId="0" xfId="0" applyAlignment="1" applyBorder="1" applyFont="1">
      <alignment vertical="bottom"/>
    </xf>
    <xf borderId="0" fillId="11" fontId="6" numFmtId="0" xfId="0" applyAlignment="1" applyFont="1">
      <alignment vertical="top"/>
    </xf>
    <xf borderId="11" fillId="0" fontId="6" numFmtId="20" xfId="0" applyAlignment="1" applyBorder="1" applyFont="1" applyNumberFormat="1">
      <alignment horizontal="right" vertical="bottom"/>
    </xf>
    <xf borderId="0" fillId="11" fontId="1" numFmtId="0" xfId="0" applyAlignment="1" applyFont="1">
      <alignment vertical="top"/>
    </xf>
    <xf borderId="0" fillId="4" fontId="99" numFmtId="0" xfId="0" applyAlignment="1" applyFont="1">
      <alignment readingOrder="0"/>
    </xf>
    <xf borderId="0" fillId="16" fontId="1" numFmtId="0" xfId="0" applyAlignment="1" applyFont="1">
      <alignment vertical="top"/>
    </xf>
    <xf borderId="11" fillId="16" fontId="6" numFmtId="20" xfId="0" applyAlignment="1" applyBorder="1" applyFont="1" applyNumberFormat="1">
      <alignment horizontal="right" vertical="bottom"/>
    </xf>
    <xf borderId="0" fillId="10" fontId="1" numFmtId="0" xfId="0" applyAlignment="1" applyFont="1">
      <alignment shrinkToFit="0" vertical="top" wrapText="0"/>
    </xf>
    <xf borderId="0" fillId="0" fontId="128" numFmtId="0" xfId="0" applyAlignment="1" applyFont="1">
      <alignment vertical="bottom"/>
    </xf>
    <xf borderId="0" fillId="0" fontId="129" numFmtId="0" xfId="0" applyAlignment="1" applyFont="1">
      <alignment shrinkToFit="0" vertical="bottom" wrapText="0"/>
    </xf>
    <xf borderId="0" fillId="0" fontId="45" numFmtId="0" xfId="0" applyAlignment="1" applyFont="1">
      <alignment shrinkToFit="0" vertical="bottom" wrapText="0"/>
    </xf>
    <xf borderId="49" fillId="0" fontId="6" numFmtId="0" xfId="0" applyAlignment="1" applyBorder="1" applyFont="1">
      <alignment readingOrder="0" shrinkToFit="0" vertical="bottom" wrapText="0"/>
    </xf>
    <xf borderId="0" fillId="0" fontId="45" numFmtId="0" xfId="0" applyAlignment="1" applyFont="1">
      <alignment readingOrder="0" shrinkToFit="0" vertical="bottom" wrapText="0"/>
    </xf>
    <xf borderId="0" fillId="0" fontId="45" numFmtId="0" xfId="0" applyAlignment="1" applyFont="1">
      <alignment horizontal="left" readingOrder="0" shrinkToFit="0" vertical="bottom" wrapText="0"/>
    </xf>
    <xf borderId="0" fillId="4" fontId="6" numFmtId="0" xfId="0" applyAlignment="1" applyFont="1">
      <alignment horizontal="left" readingOrder="0"/>
    </xf>
    <xf borderId="0" fillId="4" fontId="10" numFmtId="0" xfId="0" applyAlignment="1" applyFont="1">
      <alignment horizontal="left" readingOrder="0"/>
    </xf>
    <xf borderId="6" fillId="3" fontId="6" numFmtId="0" xfId="0" applyAlignment="1" applyBorder="1" applyFont="1">
      <alignment shrinkToFit="0" vertical="bottom" wrapText="0"/>
    </xf>
    <xf borderId="7" fillId="2" fontId="6" numFmtId="165" xfId="0" applyAlignment="1" applyBorder="1" applyFont="1" applyNumberFormat="1">
      <alignment horizontal="left" readingOrder="0" shrinkToFit="0" vertical="bottom" wrapText="0"/>
    </xf>
    <xf borderId="6" fillId="4" fontId="6" numFmtId="0" xfId="0" applyAlignment="1" applyBorder="1" applyFont="1">
      <alignment horizontal="left" readingOrder="0" shrinkToFit="0" vertical="bottom" wrapText="0"/>
    </xf>
    <xf borderId="7" fillId="4" fontId="6" numFmtId="166" xfId="0" applyAlignment="1" applyBorder="1" applyFont="1" applyNumberFormat="1">
      <alignment horizontal="left" readingOrder="0" shrinkToFit="0" vertical="bottom" wrapText="0"/>
    </xf>
    <xf borderId="7" fillId="4" fontId="6" numFmtId="0" xfId="0" applyAlignment="1" applyBorder="1" applyFont="1">
      <alignment horizontal="left" readingOrder="0" shrinkToFit="0" vertical="bottom" wrapText="0"/>
    </xf>
    <xf borderId="7" fillId="6" fontId="6" numFmtId="0" xfId="0" applyAlignment="1" applyBorder="1" applyFont="1">
      <alignment readingOrder="0" shrinkToFit="0" vertical="bottom" wrapText="0"/>
    </xf>
    <xf borderId="57" fillId="0" fontId="6" numFmtId="0" xfId="0" applyAlignment="1" applyBorder="1" applyFont="1">
      <alignment readingOrder="0" shrinkToFit="0" vertical="bottom" wrapText="0"/>
    </xf>
    <xf borderId="57" fillId="16" fontId="6" numFmtId="0" xfId="0" applyAlignment="1" applyBorder="1" applyFont="1">
      <alignment vertical="bottom"/>
    </xf>
    <xf borderId="7" fillId="16" fontId="6" numFmtId="0" xfId="0" applyAlignment="1" applyBorder="1" applyFont="1">
      <alignment vertical="bottom"/>
    </xf>
    <xf borderId="7" fillId="16" fontId="130" numFmtId="0" xfId="0" applyAlignment="1" applyBorder="1" applyFont="1">
      <alignment vertical="bottom"/>
    </xf>
    <xf borderId="7" fillId="0" fontId="9" numFmtId="0" xfId="0" applyBorder="1" applyFont="1"/>
    <xf borderId="7" fillId="16" fontId="6" numFmtId="0" xfId="0" applyAlignment="1" applyBorder="1" applyFont="1">
      <alignment vertical="bottom"/>
    </xf>
    <xf borderId="8" fillId="16" fontId="6" numFmtId="0" xfId="0" applyAlignment="1" applyBorder="1" applyFont="1">
      <alignment horizontal="right" vertical="bottom"/>
    </xf>
    <xf borderId="0" fillId="3" fontId="1" numFmtId="0" xfId="0" applyAlignment="1" applyFont="1">
      <alignment shrinkToFit="0" vertical="bottom" wrapText="0"/>
    </xf>
    <xf borderId="0" fillId="16" fontId="1" numFmtId="0" xfId="0" applyAlignment="1" applyFont="1">
      <alignment readingOrder="0" vertical="bottom"/>
    </xf>
    <xf borderId="7" fillId="16" fontId="131" numFmtId="0" xfId="0" applyAlignment="1" applyBorder="1" applyFont="1">
      <alignment readingOrder="0" vertical="bottom"/>
    </xf>
    <xf borderId="7" fillId="16" fontId="6" numFmtId="0" xfId="0" applyAlignment="1" applyBorder="1" applyFont="1">
      <alignment readingOrder="0" vertical="bottom"/>
    </xf>
    <xf borderId="7" fillId="16" fontId="1" numFmtId="0" xfId="0" applyAlignment="1" applyBorder="1" applyFont="1">
      <alignment vertical="bottom"/>
    </xf>
    <xf borderId="0" fillId="4" fontId="9" numFmtId="0" xfId="0" applyFont="1"/>
    <xf borderId="0" fillId="12" fontId="9" numFmtId="0" xfId="0" applyFont="1"/>
  </cellXfs>
  <cellStyles count="1">
    <cellStyle xfId="0" name="Normal" builtinId="0"/>
  </cellStyles>
  <dxfs count="1">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'pr-type'!$A$2</c:f>
            </c:strRef>
          </c:tx>
          <c:spPr>
            <a:solidFill>
              <a:srgbClr val="9900FF"/>
            </a:solidFill>
          </c:spPr>
          <c:dLbls>
            <c:txPr>
              <a:bodyPr/>
              <a:lstStyle/>
              <a:p>
                <a:pPr lvl="0">
                  <a:defRPr b="0" i="0" sz="800"/>
                </a:pPr>
              </a:p>
            </c:txPr>
            <c:showLegendKey val="0"/>
            <c:showVal val="1"/>
            <c:showCatName val="0"/>
            <c:showSerName val="0"/>
            <c:showPercent val="0"/>
            <c:showBubbleSize val="0"/>
          </c:dLbls>
          <c:cat>
            <c:strRef>
              <c:f>('pr-type'!$E$1,'pr-type'!$Q$1,'pr-type'!$U$1,'pr-type'!$Y$1,'pr-type'!$AC$1,'pr-type'!$AG$1,'pr-type'!$AK$1,'pr-type'!$AO$1,'pr-type'!$AS$1)</c:f>
            </c:strRef>
          </c:cat>
          <c:val>
            <c:numRef>
              <c:f>('pr-type'!$E$2,'pr-type'!$Q$2,'pr-type'!$U$2,'pr-type'!$Y$2,'pr-type'!$AC$2,'pr-type'!$AG$2,'pr-type'!$AK$2,'pr-type'!$AO$2,'pr-type'!$AS$2)</c:f>
            </c:numRef>
          </c:val>
        </c:ser>
        <c:ser>
          <c:idx val="1"/>
          <c:order val="1"/>
          <c:tx>
            <c:strRef>
              <c:f>'pr-type'!$A$3</c:f>
            </c:strRef>
          </c:tx>
          <c:spPr>
            <a:solidFill>
              <a:srgbClr val="00A7A1"/>
            </a:solidFill>
          </c:spPr>
          <c:dLbls>
            <c:txPr>
              <a:bodyPr/>
              <a:lstStyle/>
              <a:p>
                <a:pPr lvl="0">
                  <a:defRPr b="0" i="0" sz="800"/>
                </a:pPr>
              </a:p>
            </c:txPr>
            <c:showLegendKey val="0"/>
            <c:showVal val="1"/>
            <c:showCatName val="0"/>
            <c:showSerName val="0"/>
            <c:showPercent val="0"/>
            <c:showBubbleSize val="0"/>
          </c:dLbls>
          <c:cat>
            <c:strRef>
              <c:f>('pr-type'!$E$1,'pr-type'!$Q$1,'pr-type'!$U$1,'pr-type'!$Y$1,'pr-type'!$AC$1,'pr-type'!$AG$1,'pr-type'!$AK$1,'pr-type'!$AO$1,'pr-type'!$AS$1)</c:f>
            </c:strRef>
          </c:cat>
          <c:val>
            <c:numRef>
              <c:f>('pr-type'!$E$3,'pr-type'!$Q$3,'pr-type'!$U$3,'pr-type'!$Y$3,'pr-type'!$AC$3,'pr-type'!$AG$3,'pr-type'!$AK$3,'pr-type'!$AO$3,'pr-type'!$AS$3)</c:f>
            </c:numRef>
          </c:val>
        </c:ser>
        <c:ser>
          <c:idx val="2"/>
          <c:order val="2"/>
          <c:tx>
            <c:strRef>
              <c:f>'pr-type'!$A$4</c:f>
            </c:strRef>
          </c:tx>
          <c:spPr>
            <a:solidFill>
              <a:srgbClr val="B6D7A8"/>
            </a:solidFill>
          </c:spPr>
          <c:dLbls>
            <c:txPr>
              <a:bodyPr/>
              <a:lstStyle/>
              <a:p>
                <a:pPr lvl="0">
                  <a:defRPr b="0" i="0" sz="800"/>
                </a:pPr>
              </a:p>
            </c:txPr>
            <c:showLegendKey val="0"/>
            <c:showVal val="1"/>
            <c:showCatName val="0"/>
            <c:showSerName val="0"/>
            <c:showPercent val="0"/>
            <c:showBubbleSize val="0"/>
          </c:dLbls>
          <c:cat>
            <c:strRef>
              <c:f>('pr-type'!$E$1,'pr-type'!$Q$1,'pr-type'!$U$1,'pr-type'!$Y$1,'pr-type'!$AC$1,'pr-type'!$AG$1,'pr-type'!$AK$1,'pr-type'!$AO$1,'pr-type'!$AS$1)</c:f>
            </c:strRef>
          </c:cat>
          <c:val>
            <c:numRef>
              <c:f>('pr-type'!$E$4,'pr-type'!$Q$4,'pr-type'!$U$4,'pr-type'!$Y$4,'pr-type'!$AC$4,'pr-type'!$AG$4,'pr-type'!$AK$4,'pr-type'!$AO$4,'pr-type'!$AS$4)</c:f>
            </c:numRef>
          </c:val>
        </c:ser>
        <c:ser>
          <c:idx val="3"/>
          <c:order val="3"/>
          <c:tx>
            <c:strRef>
              <c:f>'pr-type'!$A$5</c:f>
            </c:strRef>
          </c:tx>
          <c:spPr>
            <a:solidFill>
              <a:srgbClr val="000000"/>
            </a:solidFill>
          </c:spPr>
          <c:dLbls>
            <c:txPr>
              <a:bodyPr/>
              <a:lstStyle/>
              <a:p>
                <a:pPr lvl="0">
                  <a:defRPr b="0" i="0" sz="800"/>
                </a:pPr>
              </a:p>
            </c:txPr>
            <c:showLegendKey val="0"/>
            <c:showVal val="1"/>
            <c:showCatName val="0"/>
            <c:showSerName val="0"/>
            <c:showPercent val="0"/>
            <c:showBubbleSize val="0"/>
          </c:dLbls>
          <c:cat>
            <c:strRef>
              <c:f>('pr-type'!$E$1,'pr-type'!$Q$1,'pr-type'!$U$1,'pr-type'!$Y$1,'pr-type'!$AC$1,'pr-type'!$AG$1,'pr-type'!$AK$1,'pr-type'!$AO$1,'pr-type'!$AS$1)</c:f>
            </c:strRef>
          </c:cat>
          <c:val>
            <c:numRef>
              <c:f>('pr-type'!$E$5,'pr-type'!$Q$5,'pr-type'!$U$5,'pr-type'!$Y$5,'pr-type'!$AC$5,'pr-type'!$AG$5,'pr-type'!$AK$5,'pr-type'!$AO$5,'pr-type'!$AS$5)</c:f>
            </c:numRef>
          </c:val>
        </c:ser>
        <c:ser>
          <c:idx val="4"/>
          <c:order val="4"/>
          <c:tx>
            <c:strRef>
              <c:f>'pr-type'!$A$6</c:f>
            </c:strRef>
          </c:tx>
          <c:spPr>
            <a:solidFill>
              <a:srgbClr val="999999"/>
            </a:solidFill>
          </c:spPr>
          <c:dLbls>
            <c:txPr>
              <a:bodyPr/>
              <a:lstStyle/>
              <a:p>
                <a:pPr lvl="0">
                  <a:defRPr b="0" i="0" sz="800"/>
                </a:pPr>
              </a:p>
            </c:txPr>
            <c:showLegendKey val="0"/>
            <c:showVal val="1"/>
            <c:showCatName val="0"/>
            <c:showSerName val="0"/>
            <c:showPercent val="0"/>
            <c:showBubbleSize val="0"/>
          </c:dLbls>
          <c:cat>
            <c:strRef>
              <c:f>('pr-type'!$E$1,'pr-type'!$Q$1,'pr-type'!$U$1,'pr-type'!$Y$1,'pr-type'!$AC$1,'pr-type'!$AG$1,'pr-type'!$AK$1,'pr-type'!$AO$1,'pr-type'!$AS$1)</c:f>
            </c:strRef>
          </c:cat>
          <c:val>
            <c:numRef>
              <c:f>('pr-type'!$E$6,'pr-type'!$Q$6,'pr-type'!$U$6,'pr-type'!$Y$6,'pr-type'!$AC$6,'pr-type'!$AG$6,'pr-type'!$AK$6,'pr-type'!$AO$6,'pr-type'!$AS$6)</c:f>
            </c:numRef>
          </c:val>
        </c:ser>
        <c:overlap val="100"/>
        <c:axId val="257296687"/>
        <c:axId val="1899611032"/>
      </c:barChart>
      <c:catAx>
        <c:axId val="257296687"/>
        <c:scaling>
          <c:orientation val="minMax"/>
        </c:scaling>
        <c:delete val="0"/>
        <c:axPos val="b"/>
        <c:title>
          <c:tx>
            <c:rich>
              <a:bodyPr/>
              <a:lstStyle/>
              <a:p>
                <a:pPr lvl="0">
                  <a:defRPr b="0">
                    <a:solidFill>
                      <a:srgbClr val="000000"/>
                    </a:solidFill>
                    <a:latin typeface="Roboto"/>
                  </a:defRPr>
                </a:pPr>
                <a:r>
                  <a:t/>
                </a:r>
              </a:p>
            </c:rich>
          </c:tx>
          <c:overlay val="0"/>
        </c:title>
        <c:txPr>
          <a:bodyPr/>
          <a:lstStyle/>
          <a:p>
            <a:pPr lvl="0">
              <a:defRPr b="0">
                <a:solidFill>
                  <a:srgbClr val="000000"/>
                </a:solidFill>
                <a:latin typeface="Roboto"/>
              </a:defRPr>
            </a:pPr>
          </a:p>
        </c:txPr>
        <c:crossAx val="1899611032"/>
      </c:catAx>
      <c:valAx>
        <c:axId val="18996110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257296687"/>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'preprint version'!$A$2</c:f>
            </c:strRef>
          </c:tx>
          <c:spPr>
            <a:solidFill>
              <a:srgbClr val="AAAAAA"/>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version'!$E$2,'preprint version'!$Q$2,'preprint version'!$U$2,'preprint version'!$Y$2,'preprint version'!$AC$2,'preprint version'!$AG$2,'preprint version'!$AK$2,'preprint version'!$AO$2,'preprint version'!$AS$2)</c:f>
            </c:numRef>
          </c:val>
        </c:ser>
        <c:ser>
          <c:idx val="1"/>
          <c:order val="1"/>
          <c:tx>
            <c:strRef>
              <c:f>'preprint version'!$A$3</c:f>
            </c:strRef>
          </c:tx>
          <c:spPr>
            <a:solidFill>
              <a:srgbClr val="000000"/>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version'!$E$3,'preprint version'!$Q$3,'preprint version'!$U$3,'preprint version'!$Y$3,'preprint version'!$AC$3,'preprint version'!$AG$3,'preprint version'!$AK$3,'preprint version'!$AO$3,'preprint version'!$AS$3)</c:f>
            </c:numRef>
          </c:val>
        </c:ser>
        <c:ser>
          <c:idx val="2"/>
          <c:order val="2"/>
          <c:tx>
            <c:strRef>
              <c:f>'preprint version'!$A$4</c:f>
            </c:strRef>
          </c:tx>
          <c:spPr>
            <a:solidFill>
              <a:srgbClr val="B6D7A8"/>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version'!$E$4,'preprint version'!$Q$4,'preprint version'!$U$4,'preprint version'!$Y$4,'preprint version'!$AC$4,'preprint version'!$AG$4,'preprint version'!$AK$4,'preprint version'!$AO$4,'preprint version'!$AS$4)</c:f>
            </c:numRef>
          </c:val>
        </c:ser>
        <c:ser>
          <c:idx val="3"/>
          <c:order val="3"/>
          <c:tx>
            <c:strRef>
              <c:f>'preprint version'!$A$5</c:f>
            </c:strRef>
          </c:tx>
          <c:spPr>
            <a:solidFill>
              <a:srgbClr val="00A7A1"/>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version'!$E$5,'preprint version'!$Q$5,'preprint version'!$U$5,'preprint version'!$Y$5,'preprint version'!$AC$5,'preprint version'!$AG$5,'preprint version'!$AK$5,'preprint version'!$AO$5,'preprint version'!$AS$5)</c:f>
            </c:numRef>
          </c:val>
        </c:ser>
        <c:ser>
          <c:idx val="4"/>
          <c:order val="4"/>
          <c:tx>
            <c:strRef>
              <c:f>'preprint version'!$A$6</c:f>
            </c:strRef>
          </c:tx>
          <c:spPr>
            <a:solidFill>
              <a:srgbClr val="9900FF"/>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version'!$E$6,'preprint version'!$Q$6,'preprint version'!$U$6,'preprint version'!$Y$6,'preprint version'!$AC$6,'preprint version'!$AG$6,'preprint version'!$AK$6,'preprint version'!$AO$6,'preprint version'!$AS$6)</c:f>
            </c:numRef>
          </c:val>
        </c:ser>
        <c:ser>
          <c:idx val="5"/>
          <c:order val="5"/>
          <c:tx>
            <c:strRef>
              <c:f>'preprint version'!$A$7</c:f>
            </c:strRef>
          </c:tx>
          <c:spPr>
            <a:solidFill>
              <a:srgbClr val="0B5394"/>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version'!$E$7,'preprint version'!$Q$7,'preprint version'!$U$7,'preprint version'!$Y$7,'preprint version'!$AC$7,'preprint version'!$AG$7,'preprint version'!$AK$7,'preprint version'!$AO$7,'preprint version'!$AS$7)</c:f>
            </c:numRef>
          </c:val>
        </c:ser>
        <c:ser>
          <c:idx val="6"/>
          <c:order val="6"/>
          <c:tx>
            <c:strRef>
              <c:f>'preprint version'!$A$8</c:f>
            </c:strRef>
          </c:tx>
          <c:spPr>
            <a:solidFill>
              <a:srgbClr val="6FA8DC"/>
            </a:solidFill>
          </c:spPr>
          <c:dLbls>
            <c:txPr>
              <a:bodyPr/>
              <a:lstStyle/>
              <a:p>
                <a:pPr lvl="0">
                  <a:defRPr b="0" i="0" sz="600"/>
                </a:pPr>
              </a:p>
            </c:txPr>
            <c:showLegendKey val="0"/>
            <c:showVal val="1"/>
            <c:showCatName val="0"/>
            <c:showSerName val="0"/>
            <c:showPercent val="0"/>
            <c:showBubbleSize val="0"/>
          </c:dLbls>
          <c:cat>
            <c:strRef>
              <c:f>('preprint version'!$E$1,'preprint version'!$Q$1,'preprint version'!$U$1,'preprint version'!$Y$1,'preprint version'!$AC$1,'preprint version'!$AG$1,'preprint version'!$AK$1,'preprint version'!$AO$1,'preprint version'!$AS$1)</c:f>
            </c:strRef>
          </c:cat>
          <c:val>
            <c:numRef>
              <c:f>('preprint version'!$E$8,'preprint version'!$Q$8,'preprint version'!$U$8,'preprint version'!$Y$8,'preprint version'!$AC$8,'preprint version'!$AG$8,'preprint version'!$AK$8,'preprint version'!$AO$8,'preprint version'!$AS$8)</c:f>
            </c:numRef>
          </c:val>
        </c:ser>
        <c:overlap val="100"/>
        <c:axId val="1876138332"/>
        <c:axId val="106530195"/>
      </c:barChart>
      <c:catAx>
        <c:axId val="1876138332"/>
        <c:scaling>
          <c:orientation val="minMax"/>
        </c:scaling>
        <c:delete val="0"/>
        <c:axPos val="b"/>
        <c:title>
          <c:tx>
            <c:rich>
              <a:bodyPr/>
              <a:lstStyle/>
              <a:p>
                <a:pPr lvl="0">
                  <a:defRPr b="0">
                    <a:solidFill>
                      <a:srgbClr val="000000"/>
                    </a:solidFill>
                    <a:latin typeface="Roboto"/>
                  </a:defRPr>
                </a:pPr>
                <a:r>
                  <a:t/>
                </a:r>
              </a:p>
            </c:rich>
          </c:tx>
          <c:overlay val="0"/>
        </c:title>
        <c:txPr>
          <a:bodyPr/>
          <a:lstStyle/>
          <a:p>
            <a:pPr lvl="0">
              <a:defRPr b="0">
                <a:solidFill>
                  <a:srgbClr val="000000"/>
                </a:solidFill>
                <a:latin typeface="Roboto"/>
              </a:defRPr>
            </a:pPr>
          </a:p>
        </c:txPr>
        <c:crossAx val="106530195"/>
      </c:catAx>
      <c:valAx>
        <c:axId val="1065301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876138332"/>
      </c:valAx>
    </c:plotArea>
    <c:legend>
      <c:legendPos val="t"/>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percentStacked"/>
        <c:ser>
          <c:idx val="0"/>
          <c:order val="0"/>
          <c:tx>
            <c:strRef>
              <c:f>coreviewers!$A$2</c:f>
            </c:strRef>
          </c:tx>
          <c:spPr>
            <a:solidFill>
              <a:srgbClr val="00A7A1"/>
            </a:solidFill>
          </c:spPr>
          <c:dLbls>
            <c:txPr>
              <a:bodyPr/>
              <a:lstStyle/>
              <a:p>
                <a:pPr lvl="0">
                  <a:defRPr b="0" i="0" sz="800"/>
                </a:pPr>
              </a:p>
            </c:txPr>
            <c:showLegendKey val="0"/>
            <c:showVal val="1"/>
            <c:showCatName val="0"/>
            <c:showSerName val="0"/>
            <c:showPercent val="0"/>
            <c:showBubbleSize val="0"/>
          </c:dLbls>
          <c:cat>
            <c:strRef>
              <c:f>(coreviewers!$E$1,coreviewers!$Q$1,coreviewers!$U$1,coreviewers!$Y$1,coreviewers!$AC$1,coreviewers!$AG$1,coreviewers!$AK$1,coreviewers!$AO$1,coreviewers!$AS$1)</c:f>
            </c:strRef>
          </c:cat>
          <c:val>
            <c:numRef>
              <c:f>(coreviewers!$E$2,coreviewers!$Q$2,coreviewers!$U$2,coreviewers!$Y$2,coreviewers!$AC$2,coreviewers!$AG$2,coreviewers!$AK$2,coreviewers!$AO$2,coreviewers!$AS$2)</c:f>
            </c:numRef>
          </c:val>
        </c:ser>
        <c:ser>
          <c:idx val="1"/>
          <c:order val="1"/>
          <c:tx>
            <c:strRef>
              <c:f>coreviewers!$A$3</c:f>
            </c:strRef>
          </c:tx>
          <c:spPr>
            <a:solidFill>
              <a:srgbClr val="000000"/>
            </a:solidFill>
          </c:spPr>
          <c:dLbls>
            <c:txPr>
              <a:bodyPr/>
              <a:lstStyle/>
              <a:p>
                <a:pPr lvl="0">
                  <a:defRPr b="0" i="0" sz="800"/>
                </a:pPr>
              </a:p>
            </c:txPr>
            <c:showLegendKey val="0"/>
            <c:showVal val="1"/>
            <c:showCatName val="0"/>
            <c:showSerName val="0"/>
            <c:showPercent val="0"/>
            <c:showBubbleSize val="0"/>
          </c:dLbls>
          <c:cat>
            <c:strRef>
              <c:f>(coreviewers!$E$1,coreviewers!$Q$1,coreviewers!$U$1,coreviewers!$Y$1,coreviewers!$AC$1,coreviewers!$AG$1,coreviewers!$AK$1,coreviewers!$AO$1,coreviewers!$AS$1)</c:f>
            </c:strRef>
          </c:cat>
          <c:val>
            <c:numRef>
              <c:f>(coreviewers!$E$3,coreviewers!$Q$3,coreviewers!$U$3,coreviewers!$Y$3,coreviewers!$AC$3,coreviewers!$AG$3,coreviewers!$AK$3,coreviewers!$AO$3,coreviewers!$AS$3)</c:f>
            </c:numRef>
          </c:val>
        </c:ser>
        <c:ser>
          <c:idx val="2"/>
          <c:order val="2"/>
          <c:tx>
            <c:strRef>
              <c:f>coreviewers!$A$4</c:f>
            </c:strRef>
          </c:tx>
          <c:spPr>
            <a:solidFill>
              <a:srgbClr val="AAAAAA"/>
            </a:solidFill>
          </c:spPr>
          <c:dLbls>
            <c:txPr>
              <a:bodyPr/>
              <a:lstStyle/>
              <a:p>
                <a:pPr lvl="0">
                  <a:defRPr b="0" i="0" sz="800"/>
                </a:pPr>
              </a:p>
            </c:txPr>
            <c:showLegendKey val="0"/>
            <c:showVal val="1"/>
            <c:showCatName val="0"/>
            <c:showSerName val="0"/>
            <c:showPercent val="0"/>
            <c:showBubbleSize val="0"/>
          </c:dLbls>
          <c:cat>
            <c:strRef>
              <c:f>(coreviewers!$E$1,coreviewers!$Q$1,coreviewers!$U$1,coreviewers!$Y$1,coreviewers!$AC$1,coreviewers!$AG$1,coreviewers!$AK$1,coreviewers!$AO$1,coreviewers!$AS$1)</c:f>
            </c:strRef>
          </c:cat>
          <c:val>
            <c:numRef>
              <c:f>(coreviewers!$E$4,coreviewers!$Q$4,coreviewers!$U$4,coreviewers!$Y$4,coreviewers!$AC$4,coreviewers!$AG$4,coreviewers!$AK$4,coreviewers!$AO$4,coreviewers!$AS$4)</c:f>
            </c:numRef>
          </c:val>
        </c:ser>
        <c:ser>
          <c:idx val="3"/>
          <c:order val="3"/>
          <c:tx>
            <c:strRef>
              <c:f>coreviewers!$A$5</c:f>
            </c:strRef>
          </c:tx>
          <c:cat>
            <c:strRef>
              <c:f>(coreviewers!$E$1,coreviewers!$Q$1,coreviewers!$U$1,coreviewers!$Y$1,coreviewers!$AC$1,coreviewers!$AG$1,coreviewers!$AK$1,coreviewers!$AO$1,coreviewers!$AS$1)</c:f>
            </c:strRef>
          </c:cat>
          <c:val>
            <c:numRef>
              <c:f>(coreviewers!$E$5,coreviewers!$Q$5,coreviewers!$U$5,coreviewers!$Y$5,coreviewers!$AC$5,coreviewers!$AG$5,coreviewers!$AK$5,coreviewers!$AO$5,coreviewers!$AS$5)</c:f>
            </c:numRef>
          </c:val>
        </c:ser>
        <c:ser>
          <c:idx val="4"/>
          <c:order val="4"/>
          <c:tx>
            <c:strRef>
              <c:f>coreviewers!$A$6</c:f>
            </c:strRef>
          </c:tx>
          <c:cat>
            <c:strRef>
              <c:f>(coreviewers!$E$1,coreviewers!$Q$1,coreviewers!$U$1,coreviewers!$Y$1,coreviewers!$AC$1,coreviewers!$AG$1,coreviewers!$AK$1,coreviewers!$AO$1,coreviewers!$AS$1)</c:f>
            </c:strRef>
          </c:cat>
          <c:val>
            <c:numRef>
              <c:f>(coreviewers!$E$6,coreviewers!$Q$6,coreviewers!$U$6,coreviewers!$Y$6,coreviewers!$AC$6,coreviewers!$AG$6,coreviewers!$AK$6,coreviewers!$AO$6,coreviewers!$AS$6)</c:f>
            </c:numRef>
          </c:val>
        </c:ser>
        <c:overlap val="100"/>
        <c:axId val="1626335705"/>
        <c:axId val="532837953"/>
      </c:barChart>
      <c:catAx>
        <c:axId val="1626335705"/>
        <c:scaling>
          <c:orientation val="minMax"/>
        </c:scaling>
        <c:delete val="0"/>
        <c:axPos val="b"/>
        <c:title>
          <c:tx>
            <c:rich>
              <a:bodyPr/>
              <a:lstStyle/>
              <a:p>
                <a:pPr lvl="0">
                  <a:defRPr b="0">
                    <a:solidFill>
                      <a:srgbClr val="000000"/>
                    </a:solidFill>
                    <a:latin typeface="Roboto"/>
                  </a:defRPr>
                </a:pPr>
                <a:r>
                  <a:t/>
                </a:r>
              </a:p>
            </c:rich>
          </c:tx>
          <c:overlay val="0"/>
        </c:title>
        <c:txPr>
          <a:bodyPr/>
          <a:lstStyle/>
          <a:p>
            <a:pPr lvl="0">
              <a:defRPr b="0">
                <a:solidFill>
                  <a:srgbClr val="000000"/>
                </a:solidFill>
                <a:latin typeface="Roboto"/>
              </a:defRPr>
            </a:pPr>
          </a:p>
        </c:txPr>
        <c:crossAx val="532837953"/>
      </c:catAx>
      <c:valAx>
        <c:axId val="5328379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t/>
                </a:r>
              </a:p>
            </c:rich>
          </c:tx>
          <c:overlay val="0"/>
        </c:title>
        <c:numFmt formatCode="General" sourceLinked="1"/>
        <c:tickLblPos val="nextTo"/>
        <c:spPr>
          <a:ln w="47625">
            <a:noFill/>
          </a:ln>
        </c:spPr>
        <c:txPr>
          <a:bodyPr/>
          <a:lstStyle/>
          <a:p>
            <a:pPr lvl="0">
              <a:defRPr b="0">
                <a:solidFill>
                  <a:srgbClr val="000000"/>
                </a:solidFill>
                <a:latin typeface="Roboto"/>
              </a:defRPr>
            </a:pPr>
          </a:p>
        </c:txPr>
        <c:crossAx val="1626335705"/>
      </c:valAx>
    </c:plotArea>
    <c:legend>
      <c:legendPos val="r"/>
      <c:overlay val="0"/>
      <c:txPr>
        <a:bodyPr/>
        <a:lstStyle/>
        <a:p>
          <a:pPr lvl="0">
            <a:defRPr b="0">
              <a:solidFill>
                <a:srgbClr val="000000"/>
              </a:solidFill>
              <a:latin typeface="Roboto"/>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733425</xdr:colOff>
      <xdr:row>9</xdr:row>
      <xdr:rowOff>133350</xdr:rowOff>
    </xdr:from>
    <xdr:ext cx="7772400" cy="34861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209550</xdr:colOff>
      <xdr:row>11</xdr:row>
      <xdr:rowOff>295275</xdr:rowOff>
    </xdr:from>
    <xdr:ext cx="7772400" cy="33337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1343025</xdr:colOff>
      <xdr:row>11</xdr:row>
      <xdr:rowOff>123825</xdr:rowOff>
    </xdr:from>
    <xdr:ext cx="7772400" cy="220980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90" Type="http://schemas.openxmlformats.org/officeDocument/2006/relationships/hyperlink" Target="https://www.cell.com/cancer-cell/articletransfer" TargetMode="External"/><Relationship Id="rId194" Type="http://schemas.openxmlformats.org/officeDocument/2006/relationships/hyperlink" Target="https://arxiv.org/" TargetMode="External"/><Relationship Id="rId193" Type="http://schemas.openxmlformats.org/officeDocument/2006/relationships/hyperlink" Target="https://www.cell.com/cancer-cell/authors" TargetMode="External"/><Relationship Id="rId192" Type="http://schemas.openxmlformats.org/officeDocument/2006/relationships/hyperlink" Target="https://www.cell.com/reviewers" TargetMode="External"/><Relationship Id="rId191" Type="http://schemas.openxmlformats.org/officeDocument/2006/relationships/hyperlink" Target="https://publons.com/journal/573/cancer-cell" TargetMode="External"/><Relationship Id="rId187" Type="http://schemas.openxmlformats.org/officeDocument/2006/relationships/hyperlink" Target="https://www.cell.com/cancer-cell/authors" TargetMode="External"/><Relationship Id="rId186" Type="http://schemas.openxmlformats.org/officeDocument/2006/relationships/hyperlink" Target="https://arxiv.org/" TargetMode="External"/><Relationship Id="rId185" Type="http://schemas.openxmlformats.org/officeDocument/2006/relationships/hyperlink" Target="https://www.cell.com/cancer-cell/authors" TargetMode="External"/><Relationship Id="rId184" Type="http://schemas.openxmlformats.org/officeDocument/2006/relationships/hyperlink" Target="https://www.cell.com/reviewers" TargetMode="External"/><Relationship Id="rId189" Type="http://schemas.openxmlformats.org/officeDocument/2006/relationships/hyperlink" Target="https://www.cell.com/reviewers" TargetMode="External"/><Relationship Id="rId188" Type="http://schemas.openxmlformats.org/officeDocument/2006/relationships/hyperlink" Target="https://www.cell.com/pb-assets/shared/guidelines/cell_press_navigator.pdf" TargetMode="External"/><Relationship Id="rId183" Type="http://schemas.openxmlformats.org/officeDocument/2006/relationships/hyperlink" Target="https://publons.com/journal/573/cancer-cell" TargetMode="External"/><Relationship Id="rId182" Type="http://schemas.openxmlformats.org/officeDocument/2006/relationships/hyperlink" Target="https://www.cell.com/cancer-cell/articletransfer" TargetMode="External"/><Relationship Id="rId181" Type="http://schemas.openxmlformats.org/officeDocument/2006/relationships/hyperlink" Target="https://www.cell.com/reviewers" TargetMode="External"/><Relationship Id="rId180" Type="http://schemas.openxmlformats.org/officeDocument/2006/relationships/hyperlink" Target="https://authors.bmj.com/policies/preprints/" TargetMode="External"/><Relationship Id="rId176" Type="http://schemas.openxmlformats.org/officeDocument/2006/relationships/hyperlink" Target="https://authors.bmj.com/policies/peer-review-terms-and-conditions/" TargetMode="External"/><Relationship Id="rId175" Type="http://schemas.openxmlformats.org/officeDocument/2006/relationships/hyperlink" Target="https://authors.bmj.com/for-reviewers/reviewer-recognition/" TargetMode="External"/><Relationship Id="rId174" Type="http://schemas.openxmlformats.org/officeDocument/2006/relationships/hyperlink" Target="https://www.bmj.com/about-bmj/resources-reviewers" TargetMode="External"/><Relationship Id="rId173" Type="http://schemas.openxmlformats.org/officeDocument/2006/relationships/hyperlink" Target="https://www.bmj.com/about-bmj/resources-reviewers" TargetMode="External"/><Relationship Id="rId179" Type="http://schemas.openxmlformats.org/officeDocument/2006/relationships/hyperlink" Target="https://www.bmj.com/about-bmj/resources-reviewers" TargetMode="External"/><Relationship Id="rId178" Type="http://schemas.openxmlformats.org/officeDocument/2006/relationships/hyperlink" Target="https://authors.bmj.com/policies/peer-review-terms-and-conditions/" TargetMode="External"/><Relationship Id="rId177" Type="http://schemas.openxmlformats.org/officeDocument/2006/relationships/hyperlink" Target="https://authors.bmj.com/policies/peer-review-terms-and-conditions/" TargetMode="External"/><Relationship Id="rId198" Type="http://schemas.openxmlformats.org/officeDocument/2006/relationships/hyperlink" Target="http://aacrjournals.org/content/authors/manuscript-transfer" TargetMode="External"/><Relationship Id="rId197" Type="http://schemas.openxmlformats.org/officeDocument/2006/relationships/hyperlink" Target="http://aacrjournals.org/site/Info/Reviewers.xhtml" TargetMode="External"/><Relationship Id="rId196" Type="http://schemas.openxmlformats.org/officeDocument/2006/relationships/hyperlink" Target="http://aacrjournals.org/content/authors/editorial-process" TargetMode="External"/><Relationship Id="rId195" Type="http://schemas.openxmlformats.org/officeDocument/2006/relationships/hyperlink" Target="https://www.cell.com/cancer-cell/authors" TargetMode="External"/><Relationship Id="rId199" Type="http://schemas.openxmlformats.org/officeDocument/2006/relationships/hyperlink" Target="http://aacrjournals.org/content/authors/editorial-policies" TargetMode="External"/><Relationship Id="rId150" Type="http://schemas.openxmlformats.org/officeDocument/2006/relationships/hyperlink" Target="https://www.elsevier.com/journals/biomaterials/0142-9612?generatepdf=true" TargetMode="External"/><Relationship Id="rId392" Type="http://schemas.openxmlformats.org/officeDocument/2006/relationships/hyperlink" Target="https://www.elsevier.com/reviewers/how-to-review" TargetMode="External"/><Relationship Id="rId391" Type="http://schemas.openxmlformats.org/officeDocument/2006/relationships/hyperlink" Target="https://www.elsevier.com/reviewers/what-is-peer-review" TargetMode="External"/><Relationship Id="rId390" Type="http://schemas.openxmlformats.org/officeDocument/2006/relationships/hyperlink" Target="https://www.elsevier.com/reviewers/role" TargetMode="External"/><Relationship Id="rId1" Type="http://schemas.openxmlformats.org/officeDocument/2006/relationships/comments" Target="../comments1.xml"/><Relationship Id="rId2" Type="http://schemas.openxmlformats.org/officeDocument/2006/relationships/hyperlink" Target="https://journals.lww.com/academicmedicine/Pages/InstructionsforAuthors.aspx" TargetMode="External"/><Relationship Id="rId3" Type="http://schemas.openxmlformats.org/officeDocument/2006/relationships/hyperlink" Target="https://journals.lww.com/academicmedicine/Documents/ReviewerFAQs_Sept2012_v1.pdf" TargetMode="External"/><Relationship Id="rId149" Type="http://schemas.openxmlformats.org/officeDocument/2006/relationships/hyperlink" Target="https://www.aanda.org/author-information" TargetMode="External"/><Relationship Id="rId4" Type="http://schemas.openxmlformats.org/officeDocument/2006/relationships/hyperlink" Target="https://journals.lww.com/academicmedicine/Documents/ReviewerFAQs_Sept2012_v1.pdf" TargetMode="External"/><Relationship Id="rId148" Type="http://schemas.openxmlformats.org/officeDocument/2006/relationships/hyperlink" Target="https://www.aanda.org/author-information" TargetMode="External"/><Relationship Id="rId1090" Type="http://schemas.openxmlformats.org/officeDocument/2006/relationships/hyperlink" Target="https://www.thelancet.com/lancet/about" TargetMode="External"/><Relationship Id="rId1091" Type="http://schemas.openxmlformats.org/officeDocument/2006/relationships/hyperlink" Target="mailto:pressoffice@lancet.com" TargetMode="External"/><Relationship Id="rId1092" Type="http://schemas.openxmlformats.org/officeDocument/2006/relationships/hyperlink" Target="https://www.thelancet.com/pb/assets/raw/Lancet/authors/lancet-information-for-authors.pdf" TargetMode="External"/><Relationship Id="rId1093" Type="http://schemas.openxmlformats.org/officeDocument/2006/relationships/hyperlink" Target="https://www.thelancet.com/pb/assets/raw/Lancet/authors/lancet-information-for-authors.pdf" TargetMode="External"/><Relationship Id="rId1094" Type="http://schemas.openxmlformats.org/officeDocument/2006/relationships/hyperlink" Target="https://www.thelancet.com/pb/assets/raw/Lancet/authors/lancet-information-for-authors.pdf" TargetMode="External"/><Relationship Id="rId9" Type="http://schemas.openxmlformats.org/officeDocument/2006/relationships/hyperlink" Target="https://journals.lww.com/academicmedicine/Pages/InstructionsforAuthors.aspx" TargetMode="External"/><Relationship Id="rId143" Type="http://schemas.openxmlformats.org/officeDocument/2006/relationships/hyperlink" Target="https://academic.oup.com/journals/pages/access_purchase/rights_and_permissions/author_self_archiving_policy" TargetMode="External"/><Relationship Id="rId385" Type="http://schemas.openxmlformats.org/officeDocument/2006/relationships/hyperlink" Target="https://publications.agu.org/author-resource-center/publication-policies/dual-publication-policy/" TargetMode="External"/><Relationship Id="rId1095" Type="http://schemas.openxmlformats.org/officeDocument/2006/relationships/hyperlink" Target="https://www.thelancet.com/pb/assets/raw/Lancet/authors/lancet-information-for-authors.pdf" TargetMode="External"/><Relationship Id="rId142" Type="http://schemas.openxmlformats.org/officeDocument/2006/relationships/hyperlink" Target="https://academic.oup.com/journals/pages/authors/ethics" TargetMode="External"/><Relationship Id="rId384" Type="http://schemas.openxmlformats.org/officeDocument/2006/relationships/hyperlink" Target="https://publications.agu.org/reviewer-resources/" TargetMode="External"/><Relationship Id="rId1096" Type="http://schemas.openxmlformats.org/officeDocument/2006/relationships/hyperlink" Target="https://els-jbs-prod-cdn.literatumonline.com/pb/assets/raw/Lancet/authors/tln-info-for-authors-1541596047120.pdf" TargetMode="External"/><Relationship Id="rId141" Type="http://schemas.openxmlformats.org/officeDocument/2006/relationships/hyperlink" Target="https://academic.oup.com/applij/pages/General_Instructions" TargetMode="External"/><Relationship Id="rId383" Type="http://schemas.openxmlformats.org/officeDocument/2006/relationships/hyperlink" Target="https://publications.agu.org/reviewer-resources/" TargetMode="External"/><Relationship Id="rId1097" Type="http://schemas.openxmlformats.org/officeDocument/2006/relationships/hyperlink" Target="https://www.thelancet.com/preprints" TargetMode="External"/><Relationship Id="rId140" Type="http://schemas.openxmlformats.org/officeDocument/2006/relationships/hyperlink" Target="https://academic.oup.com/journals/pages/access_purchase/rights_and_permissions/author_self_archiving_policy" TargetMode="External"/><Relationship Id="rId382" Type="http://schemas.openxmlformats.org/officeDocument/2006/relationships/hyperlink" Target="https://publications.agu.org/author-resource-center/steps-to-publication/" TargetMode="External"/><Relationship Id="rId1098" Type="http://schemas.openxmlformats.org/officeDocument/2006/relationships/hyperlink" Target="https://els-jbs-prod-cdn.literatumonline.com/pb/assets/raw/Lancet/authors/tln-info-for-authors-1541596047120.pdf" TargetMode="External"/><Relationship Id="rId5" Type="http://schemas.openxmlformats.org/officeDocument/2006/relationships/hyperlink" Target="https://journals.lww.com/academicmedicine/Pages/InstructionsforAuthors.aspx" TargetMode="External"/><Relationship Id="rId147" Type="http://schemas.openxmlformats.org/officeDocument/2006/relationships/hyperlink" Target="https://aip.scitation.org/apl/info/policies" TargetMode="External"/><Relationship Id="rId389" Type="http://schemas.openxmlformats.org/officeDocument/2006/relationships/hyperlink" Target="https://publications.agu.org/author-resource-center/publication-policies/dual-publication-policy/" TargetMode="External"/><Relationship Id="rId1099" Type="http://schemas.openxmlformats.org/officeDocument/2006/relationships/hyperlink" Target="https://els-jbs-prod-cdn.literatumonline.com/pb/assets/raw/Lancet/authors/tln-info-for-authors-1541596047120.pdf" TargetMode="External"/><Relationship Id="rId6" Type="http://schemas.openxmlformats.org/officeDocument/2006/relationships/hyperlink" Target="https://journals.lww.com/academicmedicine/Pages/InstructionsforAuthors.aspx" TargetMode="External"/><Relationship Id="rId146" Type="http://schemas.openxmlformats.org/officeDocument/2006/relationships/hyperlink" Target="https://aip.scitation.org/apl/info/policies" TargetMode="External"/><Relationship Id="rId388" Type="http://schemas.openxmlformats.org/officeDocument/2006/relationships/hyperlink" Target="https://publications.agu.org/reviewer-resources/" TargetMode="External"/><Relationship Id="rId7" Type="http://schemas.openxmlformats.org/officeDocument/2006/relationships/hyperlink" Target="https://journals.lww.com/academicmedicine/Documents/ReviewerFAQs_Sept2012_v1.pdf" TargetMode="External"/><Relationship Id="rId145" Type="http://schemas.openxmlformats.org/officeDocument/2006/relationships/hyperlink" Target="https://aip.scitation.org/apl/info/policies" TargetMode="External"/><Relationship Id="rId387" Type="http://schemas.openxmlformats.org/officeDocument/2006/relationships/hyperlink" Target="https://publications.agu.org/reviewer-resources/" TargetMode="External"/><Relationship Id="rId8" Type="http://schemas.openxmlformats.org/officeDocument/2006/relationships/hyperlink" Target="https://journals.lww.com/academicmedicine/Documents/ReviewerFAQs_Sept2012_v1.pdf" TargetMode="External"/><Relationship Id="rId144" Type="http://schemas.openxmlformats.org/officeDocument/2006/relationships/hyperlink" Target="https://aip.scitation.org/apl/info/policies" TargetMode="External"/><Relationship Id="rId386" Type="http://schemas.openxmlformats.org/officeDocument/2006/relationships/hyperlink" Target="https://publications.agu.org/author-resource-center/steps-to-publication/" TargetMode="External"/><Relationship Id="rId381" Type="http://schemas.openxmlformats.org/officeDocument/2006/relationships/hyperlink" Target="https://uk.sagepub.com/en-gb/eur/prior-publication" TargetMode="External"/><Relationship Id="rId380" Type="http://schemas.openxmlformats.org/officeDocument/2006/relationships/hyperlink" Target="https://uk.sagepub.com/en-gb/eur/online-submission-peer-review-system" TargetMode="External"/><Relationship Id="rId139" Type="http://schemas.openxmlformats.org/officeDocument/2006/relationships/hyperlink" Target="https://academic.oup.com/journals/pages/authors/ethics" TargetMode="External"/><Relationship Id="rId138" Type="http://schemas.openxmlformats.org/officeDocument/2006/relationships/hyperlink" Target="https://academic.oup.com/applij/pages/General_Instructions" TargetMode="External"/><Relationship Id="rId137" Type="http://schemas.openxmlformats.org/officeDocument/2006/relationships/hyperlink" Target="https://www.elsevier.com/about/policies/sharing" TargetMode="External"/><Relationship Id="rId379" Type="http://schemas.openxmlformats.org/officeDocument/2006/relationships/hyperlink" Target="https://uk.sagepub.com/en-gb/eur/gender-society/journal200793" TargetMode="External"/><Relationship Id="rId1080" Type="http://schemas.openxmlformats.org/officeDocument/2006/relationships/hyperlink" Target="https://authorservices.wiley.com/Reviewers/journal-reviewers/recognition-for-reviewers/index.html" TargetMode="External"/><Relationship Id="rId1081" Type="http://schemas.openxmlformats.org/officeDocument/2006/relationships/hyperlink" Target="https://authorservices.wiley.com/Reviewers/journal-reviewers/how-to-perform-a-peer-review/general-and-ethical-guidelines.html" TargetMode="External"/><Relationship Id="rId1082" Type="http://schemas.openxmlformats.org/officeDocument/2006/relationships/hyperlink" Target="https://authorservices.wiley.com/Reviewers/journal-reviewers/recognition-for-reviewers/index.html" TargetMode="External"/><Relationship Id="rId1083" Type="http://schemas.openxmlformats.org/officeDocument/2006/relationships/hyperlink" Target="https://authorservices.wiley.com/Reviewers/journal-reviewers/how-to-perform-a-peer-review/general-and-ethical-guidelines.html" TargetMode="External"/><Relationship Id="rId132" Type="http://schemas.openxmlformats.org/officeDocument/2006/relationships/hyperlink" Target="https://www.elsevier.com/journals/applied-energy/0306-2619/guide-for-authors" TargetMode="External"/><Relationship Id="rId374" Type="http://schemas.openxmlformats.org/officeDocument/2006/relationships/hyperlink" Target="https://www.gastrojournal.org/content/authorinfo" TargetMode="External"/><Relationship Id="rId1084" Type="http://schemas.openxmlformats.org/officeDocument/2006/relationships/hyperlink" Target="https://cdn.ymaws.com/www.afajof.org/resource/resmgr/files/Submission_docs/JF_Submission_Guidelines-Feb.pdf" TargetMode="External"/><Relationship Id="rId131" Type="http://schemas.openxmlformats.org/officeDocument/2006/relationships/hyperlink" Target="https://www.elsevier.com/reviewers/what-is-peer-review" TargetMode="External"/><Relationship Id="rId373" Type="http://schemas.openxmlformats.org/officeDocument/2006/relationships/hyperlink" Target="https://www.elsevier.com/reviewers/what-is-peer-review" TargetMode="External"/><Relationship Id="rId1085" Type="http://schemas.openxmlformats.org/officeDocument/2006/relationships/hyperlink" Target="https://pubs.acs.org/userimages/ContentEditor/1218054468605/ethics.pdf" TargetMode="External"/><Relationship Id="rId130" Type="http://schemas.openxmlformats.org/officeDocument/2006/relationships/hyperlink" Target="https://www.elsevier.com/reviewers/role" TargetMode="External"/><Relationship Id="rId372" Type="http://schemas.openxmlformats.org/officeDocument/2006/relationships/hyperlink" Target="https://www.gastrojournal.org/content/authorinfo" TargetMode="External"/><Relationship Id="rId1086" Type="http://schemas.openxmlformats.org/officeDocument/2006/relationships/hyperlink" Target="http://pubs.acs.org/paragonplus/submission/jpclcd/jpclcd_authguide.pdf" TargetMode="External"/><Relationship Id="rId371" Type="http://schemas.openxmlformats.org/officeDocument/2006/relationships/hyperlink" Target="https://www.gastrojournal.org/content/authorinfo" TargetMode="External"/><Relationship Id="rId1087" Type="http://schemas.openxmlformats.org/officeDocument/2006/relationships/hyperlink" Target="http://pubs.acs.org/paragonplus/submission/jpclcd/jpclcd_authguide.pdf" TargetMode="External"/><Relationship Id="rId136" Type="http://schemas.openxmlformats.org/officeDocument/2006/relationships/hyperlink" Target="https://www.elsevier.com/reviewers/what-is-peer-review" TargetMode="External"/><Relationship Id="rId378" Type="http://schemas.openxmlformats.org/officeDocument/2006/relationships/hyperlink" Target="https://uk.sagepub.com/en-gb/eur/prior-publication" TargetMode="External"/><Relationship Id="rId1088" Type="http://schemas.openxmlformats.org/officeDocument/2006/relationships/hyperlink" Target="http://pubs.acs.org/paragonplus/submission/jpclcd/jpclcd_authguide.pdf" TargetMode="External"/><Relationship Id="rId135" Type="http://schemas.openxmlformats.org/officeDocument/2006/relationships/hyperlink" Target="https://www.elsevier.com/reviewers/role" TargetMode="External"/><Relationship Id="rId377" Type="http://schemas.openxmlformats.org/officeDocument/2006/relationships/hyperlink" Target="https://uk.sagepub.com/en-gb/eur/online-submission-peer-review-system" TargetMode="External"/><Relationship Id="rId1089" Type="http://schemas.openxmlformats.org/officeDocument/2006/relationships/hyperlink" Target="http://pubs.acs.org/paragonplus/submission/jpclcd/jpclcd_authguide.pdf" TargetMode="External"/><Relationship Id="rId134" Type="http://schemas.openxmlformats.org/officeDocument/2006/relationships/hyperlink" Target="https://www.elsevier.com/journals/applied-energy/0306-2619/guide-for-authors" TargetMode="External"/><Relationship Id="rId376" Type="http://schemas.openxmlformats.org/officeDocument/2006/relationships/hyperlink" Target="https://uk.sagepub.com/en-gb/eur/gender-society/journal200793" TargetMode="External"/><Relationship Id="rId133" Type="http://schemas.openxmlformats.org/officeDocument/2006/relationships/hyperlink" Target="https://www.elsevier.com/about/policies/copyright" TargetMode="External"/><Relationship Id="rId375" Type="http://schemas.openxmlformats.org/officeDocument/2006/relationships/hyperlink" Target="https://www.gastrojournal.org/content/authorinfo" TargetMode="External"/><Relationship Id="rId172" Type="http://schemas.openxmlformats.org/officeDocument/2006/relationships/hyperlink" Target="https://www.bmj.com/about-bmj/resources-reviewers/guidance-patient-reviewers" TargetMode="External"/><Relationship Id="rId171" Type="http://schemas.openxmlformats.org/officeDocument/2006/relationships/hyperlink" Target="https://authors.bmj.com/policies/preprints/" TargetMode="External"/><Relationship Id="rId170" Type="http://schemas.openxmlformats.org/officeDocument/2006/relationships/hyperlink" Target="https://authors.bmj.com/policies/peer-review-terms-and-conditions/" TargetMode="External"/><Relationship Id="rId165" Type="http://schemas.openxmlformats.org/officeDocument/2006/relationships/hyperlink" Target="https://www.bmj.com/about-bmj/resources-reviewers" TargetMode="External"/><Relationship Id="rId164" Type="http://schemas.openxmlformats.org/officeDocument/2006/relationships/hyperlink" Target="http://www.bloodjournal.org/page/authors/author-guide/Editorial-policies-for-authors" TargetMode="External"/><Relationship Id="rId163" Type="http://schemas.openxmlformats.org/officeDocument/2006/relationships/hyperlink" Target="http://www.bloodjournal.org/page/authors/author-guide/peer-review" TargetMode="External"/><Relationship Id="rId162" Type="http://schemas.openxmlformats.org/officeDocument/2006/relationships/hyperlink" Target="http://www.bloodjournal.org/page/authors/author-guide/peer-review" TargetMode="External"/><Relationship Id="rId169" Type="http://schemas.openxmlformats.org/officeDocument/2006/relationships/hyperlink" Target="https://authors.bmj.com/policies/peer-review-terms-and-conditions/" TargetMode="External"/><Relationship Id="rId168" Type="http://schemas.openxmlformats.org/officeDocument/2006/relationships/hyperlink" Target="https://authors.bmj.com/policies/peer-review-terms-and-conditions/" TargetMode="External"/><Relationship Id="rId167" Type="http://schemas.openxmlformats.org/officeDocument/2006/relationships/hyperlink" Target="https://authors.bmj.com/for-reviewers/reviewer-recognition/" TargetMode="External"/><Relationship Id="rId166" Type="http://schemas.openxmlformats.org/officeDocument/2006/relationships/hyperlink" Target="https://www.bmj.com/about-bmj/resources-reviewers" TargetMode="External"/><Relationship Id="rId161" Type="http://schemas.openxmlformats.org/officeDocument/2006/relationships/hyperlink" Target="http://www.bloodjournal.org/page/authors/author-guide/peer-review" TargetMode="External"/><Relationship Id="rId160" Type="http://schemas.openxmlformats.org/officeDocument/2006/relationships/hyperlink" Target="http://www.bloodjournal.org/page/authors/author-guide/peer-review" TargetMode="External"/><Relationship Id="rId159" Type="http://schemas.openxmlformats.org/officeDocument/2006/relationships/hyperlink" Target="http://www.bloodjournal.org/page/authors/author-guide/peer-review" TargetMode="External"/><Relationship Id="rId154" Type="http://schemas.openxmlformats.org/officeDocument/2006/relationships/hyperlink" Target="https://www.elsevier.com/journals/biomaterials/0142-9612?generatepdf=true" TargetMode="External"/><Relationship Id="rId396" Type="http://schemas.openxmlformats.org/officeDocument/2006/relationships/hyperlink" Target="https://www.elsevier.com/reviewers/how-to-review" TargetMode="External"/><Relationship Id="rId153" Type="http://schemas.openxmlformats.org/officeDocument/2006/relationships/hyperlink" Target="https://www.elsevier.com/reviewers/how-to-review" TargetMode="External"/><Relationship Id="rId395" Type="http://schemas.openxmlformats.org/officeDocument/2006/relationships/hyperlink" Target="https://www.elsevier.com/reviewers/what-is-peer-review" TargetMode="External"/><Relationship Id="rId152" Type="http://schemas.openxmlformats.org/officeDocument/2006/relationships/hyperlink" Target="https://www.elsevier.com/reviewers/what-is-peer-review" TargetMode="External"/><Relationship Id="rId394" Type="http://schemas.openxmlformats.org/officeDocument/2006/relationships/hyperlink" Target="https://www.elsevier.com/reviewers/role" TargetMode="External"/><Relationship Id="rId151" Type="http://schemas.openxmlformats.org/officeDocument/2006/relationships/hyperlink" Target="https://www.elsevier.com/reviewers/role" TargetMode="External"/><Relationship Id="rId393" Type="http://schemas.openxmlformats.org/officeDocument/2006/relationships/hyperlink" Target="https://www.elsevier.com/about/policies/copyright" TargetMode="External"/><Relationship Id="rId158" Type="http://schemas.openxmlformats.org/officeDocument/2006/relationships/hyperlink" Target="http://www.bloodjournal.org/page/authors/author-guide/peer-review" TargetMode="External"/><Relationship Id="rId157" Type="http://schemas.openxmlformats.org/officeDocument/2006/relationships/hyperlink" Target="https://www.elsevier.com/reviewers/how-to-review" TargetMode="External"/><Relationship Id="rId399" Type="http://schemas.openxmlformats.org/officeDocument/2006/relationships/hyperlink" Target="https://www.journals.elsevier.com/government-information-quarterly/announcements" TargetMode="External"/><Relationship Id="rId156" Type="http://schemas.openxmlformats.org/officeDocument/2006/relationships/hyperlink" Target="https://www.elsevier.com/reviewers/what-is-peer-review" TargetMode="External"/><Relationship Id="rId398" Type="http://schemas.openxmlformats.org/officeDocument/2006/relationships/hyperlink" Target="https://www.elsevier.com/journals/government-information-quarterly/0740-624x/guide-for-authors" TargetMode="External"/><Relationship Id="rId155" Type="http://schemas.openxmlformats.org/officeDocument/2006/relationships/hyperlink" Target="https://www.elsevier.com/reviewers/role" TargetMode="External"/><Relationship Id="rId397" Type="http://schemas.openxmlformats.org/officeDocument/2006/relationships/hyperlink" Target="https://www.elsevier.com/about/policies/sharing" TargetMode="External"/><Relationship Id="rId808" Type="http://schemas.openxmlformats.org/officeDocument/2006/relationships/hyperlink" Target="https://www.nature.com/authors/policies/peer_review.html" TargetMode="External"/><Relationship Id="rId807" Type="http://schemas.openxmlformats.org/officeDocument/2006/relationships/hyperlink" Target="https://www.nature.com/authors/policies/peer_review.html" TargetMode="External"/><Relationship Id="rId806" Type="http://schemas.openxmlformats.org/officeDocument/2006/relationships/hyperlink" Target="https://www.nature.com/authors/policies/preprints.html" TargetMode="External"/><Relationship Id="rId805" Type="http://schemas.openxmlformats.org/officeDocument/2006/relationships/hyperlink" Target="https://www.nature.com/neuro/for-referees/policies-and-processes" TargetMode="External"/><Relationship Id="rId809" Type="http://schemas.openxmlformats.org/officeDocument/2006/relationships/hyperlink" Target="https://www.nature.com/authors/author_resources/transfer_manuscripts.html" TargetMode="External"/><Relationship Id="rId800" Type="http://schemas.openxmlformats.org/officeDocument/2006/relationships/hyperlink" Target="https://www.nature.com/authors/policies/preprints.html" TargetMode="External"/><Relationship Id="rId804" Type="http://schemas.openxmlformats.org/officeDocument/2006/relationships/hyperlink" Target="https://www.nature.com/authors/author_resources/transfer_manuscripts.html" TargetMode="External"/><Relationship Id="rId803" Type="http://schemas.openxmlformats.org/officeDocument/2006/relationships/hyperlink" Target="https://www.nature.com/authors/policies/peer_review.html" TargetMode="External"/><Relationship Id="rId802" Type="http://schemas.openxmlformats.org/officeDocument/2006/relationships/hyperlink" Target="https://www.nature.com/authors/policies/peer_review.html" TargetMode="External"/><Relationship Id="rId801" Type="http://schemas.openxmlformats.org/officeDocument/2006/relationships/hyperlink" Target="https://www.nature.com/authors/peer_review/index.html" TargetMode="External"/><Relationship Id="rId40" Type="http://schemas.openxmlformats.org/officeDocument/2006/relationships/hyperlink" Target="https://pubs.acs.org/pb-assets/acspubs/Migrated/ancac3_revguide.pdf" TargetMode="External"/><Relationship Id="rId42" Type="http://schemas.openxmlformats.org/officeDocument/2006/relationships/hyperlink" Target="https://pubs.acs.org/page/ancac3/submission/prior.html" TargetMode="External"/><Relationship Id="rId41" Type="http://schemas.openxmlformats.org/officeDocument/2006/relationships/hyperlink" Target="https://pubs.acs.org/page/policy/manuscript_transfer/index.html" TargetMode="External"/><Relationship Id="rId44" Type="http://schemas.openxmlformats.org/officeDocument/2006/relationships/hyperlink" Target="https://www.euchems.eu/wp-content/uploads/Ethicalguidelines_tcm23-54057.pdf" TargetMode="External"/><Relationship Id="rId43" Type="http://schemas.openxmlformats.org/officeDocument/2006/relationships/hyperlink" Target="https://www.euchems.eu/wp-content/uploads/Ethicalguidelines_tcm23-54057.pdf" TargetMode="External"/><Relationship Id="rId46" Type="http://schemas.openxmlformats.org/officeDocument/2006/relationships/hyperlink" Target="https://application.wiley-vch.de/util/cta/euchems_ethicalguidelines.pdf" TargetMode="External"/><Relationship Id="rId45" Type="http://schemas.openxmlformats.org/officeDocument/2006/relationships/hyperlink" Target="https://application.wiley-vch.de/util/cta/physsci-en.pdf" TargetMode="External"/><Relationship Id="rId509" Type="http://schemas.openxmlformats.org/officeDocument/2006/relationships/hyperlink" Target="https://www.elsevier.com/reviewers/role" TargetMode="External"/><Relationship Id="rId508" Type="http://schemas.openxmlformats.org/officeDocument/2006/relationships/hyperlink" Target="https://www.elsevier.com/journals/journal-of-banking-and-finance/0378-4266/guide-for-authors" TargetMode="External"/><Relationship Id="rId503" Type="http://schemas.openxmlformats.org/officeDocument/2006/relationships/hyperlink" Target="https://www.elsevier.com/reviewers/role" TargetMode="External"/><Relationship Id="rId745" Type="http://schemas.openxmlformats.org/officeDocument/2006/relationships/hyperlink" Target="https://www.nature.com/authors/policies/peer_review.html" TargetMode="External"/><Relationship Id="rId987" Type="http://schemas.openxmlformats.org/officeDocument/2006/relationships/hyperlink" Target="https://www.tandfonline.com/action/authorSubmission?show=instructions&amp;journalCode=cres20" TargetMode="External"/><Relationship Id="rId502" Type="http://schemas.openxmlformats.org/officeDocument/2006/relationships/hyperlink" Target="https://www.elsevier.com/journals/journal-of-banking-and-finance/0378-4266/guide-for-authors" TargetMode="External"/><Relationship Id="rId744" Type="http://schemas.openxmlformats.org/officeDocument/2006/relationships/hyperlink" Target="https://www.nature.com/authors/policies/peer_review.html" TargetMode="External"/><Relationship Id="rId986" Type="http://schemas.openxmlformats.org/officeDocument/2006/relationships/hyperlink" Target="https://www.tandfonline.com/action/authorSubmission?show=instructions&amp;journalCode=cres20" TargetMode="External"/><Relationship Id="rId501" Type="http://schemas.openxmlformats.org/officeDocument/2006/relationships/hyperlink" Target="https://www.elsevier.com/about/policies/sharing" TargetMode="External"/><Relationship Id="rId743" Type="http://schemas.openxmlformats.org/officeDocument/2006/relationships/hyperlink" Target="https://www.nature.com/authors/policies/preprints.html" TargetMode="External"/><Relationship Id="rId985" Type="http://schemas.openxmlformats.org/officeDocument/2006/relationships/hyperlink" Target="https://authorservices.taylorandfrancis.com/what-to-expect-during-peer-review/" TargetMode="External"/><Relationship Id="rId500" Type="http://schemas.openxmlformats.org/officeDocument/2006/relationships/hyperlink" Target="https://www.elsevier.com/authors/journal-authors/submit-your-paper/submit-and-revise/article-transfer-service" TargetMode="External"/><Relationship Id="rId742" Type="http://schemas.openxmlformats.org/officeDocument/2006/relationships/hyperlink" Target="https://www.nature.com/authors/author_resources/transfer_manuscripts.html" TargetMode="External"/><Relationship Id="rId984" Type="http://schemas.openxmlformats.org/officeDocument/2006/relationships/hyperlink" Target="https://academic.oup.com/journals/pages/access_purchase/rights_and_permissions/self_archiving_policy_a" TargetMode="External"/><Relationship Id="rId507" Type="http://schemas.openxmlformats.org/officeDocument/2006/relationships/hyperlink" Target="https://www.elsevier.com/about/policies/sharing" TargetMode="External"/><Relationship Id="rId749" Type="http://schemas.openxmlformats.org/officeDocument/2006/relationships/hyperlink" Target="https://www.nature.com/authors/policies/peer_review.html" TargetMode="External"/><Relationship Id="rId506" Type="http://schemas.openxmlformats.org/officeDocument/2006/relationships/hyperlink" Target="https://www.elsevier.com/about/policies/copyright" TargetMode="External"/><Relationship Id="rId748" Type="http://schemas.openxmlformats.org/officeDocument/2006/relationships/hyperlink" Target="https://www.nature.com/authors/policies/preprints.html" TargetMode="External"/><Relationship Id="rId505" Type="http://schemas.openxmlformats.org/officeDocument/2006/relationships/hyperlink" Target="https://www.elsevier.com/reviewers/how-to-review" TargetMode="External"/><Relationship Id="rId747" Type="http://schemas.openxmlformats.org/officeDocument/2006/relationships/hyperlink" Target="https://www.nature.com/ng/for-referees/policies-and-processes" TargetMode="External"/><Relationship Id="rId989" Type="http://schemas.openxmlformats.org/officeDocument/2006/relationships/hyperlink" Target="https://www.elsevier.com/reviewers/role" TargetMode="External"/><Relationship Id="rId504" Type="http://schemas.openxmlformats.org/officeDocument/2006/relationships/hyperlink" Target="https://www.elsevier.com/reviewers/what-is-peer-review" TargetMode="External"/><Relationship Id="rId746" Type="http://schemas.openxmlformats.org/officeDocument/2006/relationships/hyperlink" Target="https://www.nature.com/authors/author_resources/transfer_manuscripts.html" TargetMode="External"/><Relationship Id="rId988" Type="http://schemas.openxmlformats.org/officeDocument/2006/relationships/hyperlink" Target="https://www.elsevier.com/journals/renewable-and-sustainable-energy-reviews/1364-0321/guide-for-authors" TargetMode="External"/><Relationship Id="rId48" Type="http://schemas.openxmlformats.org/officeDocument/2006/relationships/hyperlink" Target="https://wol-prod-cdn.literatumonline.com/pb-assets/assets/16163028/AFM-guide-for-authors-may-2018-1526994585463.pdf" TargetMode="External"/><Relationship Id="rId47" Type="http://schemas.openxmlformats.org/officeDocument/2006/relationships/hyperlink" Target="https://application.wiley-vch.de/util/cta/euchems_ethicalguidelines.pdf" TargetMode="External"/><Relationship Id="rId49" Type="http://schemas.openxmlformats.org/officeDocument/2006/relationships/hyperlink" Target="https://www.euchems.eu/wp-content/uploads/Ethicalguidelines_tcm23-54057.pdf" TargetMode="External"/><Relationship Id="rId741" Type="http://schemas.openxmlformats.org/officeDocument/2006/relationships/hyperlink" Target="https://www.nature.com/authors/policies/peer_review.html" TargetMode="External"/><Relationship Id="rId983" Type="http://schemas.openxmlformats.org/officeDocument/2006/relationships/hyperlink" Target="https://academic.oup.com/poq/pages/general_instructions" TargetMode="External"/><Relationship Id="rId740" Type="http://schemas.openxmlformats.org/officeDocument/2006/relationships/hyperlink" Target="https://www.nature.com/authors/policies/peer_review.html" TargetMode="External"/><Relationship Id="rId982" Type="http://schemas.openxmlformats.org/officeDocument/2006/relationships/hyperlink" Target="https://academic.oup.com/journals/pages/access_purchase/rights_and_permissions/self_archiving_policy_a" TargetMode="External"/><Relationship Id="rId981" Type="http://schemas.openxmlformats.org/officeDocument/2006/relationships/hyperlink" Target="https://academic.oup.com/poq/pages/general_instructions" TargetMode="External"/><Relationship Id="rId980" Type="http://schemas.openxmlformats.org/officeDocument/2006/relationships/hyperlink" Target="https://uk.sagepub.com/en-gb/eur/how-to-review-articles" TargetMode="External"/><Relationship Id="rId31" Type="http://schemas.openxmlformats.org/officeDocument/2006/relationships/hyperlink" Target="https://aom.org/Publications/AMR/Frequently-Asked-Questions.aspx" TargetMode="External"/><Relationship Id="rId30" Type="http://schemas.openxmlformats.org/officeDocument/2006/relationships/hyperlink" Target="http://aom.org/uploadedFiles/Publications/AMJ/07_Colquitt_IrelandApr09FTE.pdf" TargetMode="External"/><Relationship Id="rId33" Type="http://schemas.openxmlformats.org/officeDocument/2006/relationships/hyperlink" Target="https://pubs.acs.org/pb-assets/acspubs/Migrated/ancac3_revguide.pdf" TargetMode="External"/><Relationship Id="rId32" Type="http://schemas.openxmlformats.org/officeDocument/2006/relationships/hyperlink" Target="http://aom.org/Publications/AMJ/Information-for-Contributors.aspx" TargetMode="External"/><Relationship Id="rId35" Type="http://schemas.openxmlformats.org/officeDocument/2006/relationships/hyperlink" Target="https://pubs.acs.org/page/ancac3/submission/prior.html" TargetMode="External"/><Relationship Id="rId34" Type="http://schemas.openxmlformats.org/officeDocument/2006/relationships/hyperlink" Target="http://pubs.acs.org/paragonplus/submission/ancac3/ancac3_authguide.pdf" TargetMode="External"/><Relationship Id="rId739" Type="http://schemas.openxmlformats.org/officeDocument/2006/relationships/hyperlink" Target="https://www.nature.com/authors/policies/preprints.html" TargetMode="External"/><Relationship Id="rId734" Type="http://schemas.openxmlformats.org/officeDocument/2006/relationships/hyperlink" Target="https://www.nature.com/ncomms/journal-policies/guide-to-referees" TargetMode="External"/><Relationship Id="rId976" Type="http://schemas.openxmlformats.org/officeDocument/2006/relationships/hyperlink" Target="https://uk.sagepub.com/en-gb/eur/get-credit-for-your-reviews" TargetMode="External"/><Relationship Id="rId733" Type="http://schemas.openxmlformats.org/officeDocument/2006/relationships/hyperlink" Target="https://www.nature.com/ncomms/journal-policies/guide-to-referees" TargetMode="External"/><Relationship Id="rId975" Type="http://schemas.openxmlformats.org/officeDocument/2006/relationships/hyperlink" Target="https://uk.sagepub.com/en-gb/eur/journal/progress-human-geography" TargetMode="External"/><Relationship Id="rId732" Type="http://schemas.openxmlformats.org/officeDocument/2006/relationships/hyperlink" Target="https://www.nature.com/authors/policies/preprints.html" TargetMode="External"/><Relationship Id="rId974" Type="http://schemas.openxmlformats.org/officeDocument/2006/relationships/hyperlink" Target="https://journals.sagepub.com/page/resources/reviewers" TargetMode="External"/><Relationship Id="rId731" Type="http://schemas.openxmlformats.org/officeDocument/2006/relationships/hyperlink" Target="https://www.nature.com/authors/author_resources/transfer_manuscripts.html" TargetMode="External"/><Relationship Id="rId973" Type="http://schemas.openxmlformats.org/officeDocument/2006/relationships/hyperlink" Target="https://www.pnas.org/page/authors/reviewers" TargetMode="External"/><Relationship Id="rId738" Type="http://schemas.openxmlformats.org/officeDocument/2006/relationships/hyperlink" Target="https://www.nature.com/ncomms/journal-policies/guide-to-referees" TargetMode="External"/><Relationship Id="rId737" Type="http://schemas.openxmlformats.org/officeDocument/2006/relationships/hyperlink" Target="https://www.nature.com/authors/author_resources/transfer_manuscripts.html" TargetMode="External"/><Relationship Id="rId979" Type="http://schemas.openxmlformats.org/officeDocument/2006/relationships/hyperlink" Target="https://uk.sagepub.com/en-gb/eur/get-credit-for-your-reviews" TargetMode="External"/><Relationship Id="rId736" Type="http://schemas.openxmlformats.org/officeDocument/2006/relationships/hyperlink" Target="https://www.nature.com/ncomms/journal-policies/guide-to-referees" TargetMode="External"/><Relationship Id="rId978" Type="http://schemas.openxmlformats.org/officeDocument/2006/relationships/hyperlink" Target="https://uk.sagepub.com/en-gb/eur/journal/progress-human-geography" TargetMode="External"/><Relationship Id="rId735" Type="http://schemas.openxmlformats.org/officeDocument/2006/relationships/hyperlink" Target="https://www.nature.com/authors/policies/peer_review.html" TargetMode="External"/><Relationship Id="rId977" Type="http://schemas.openxmlformats.org/officeDocument/2006/relationships/hyperlink" Target="https://uk.sagepub.com/en-gb/eur/how-to-review-articles" TargetMode="External"/><Relationship Id="rId37" Type="http://schemas.openxmlformats.org/officeDocument/2006/relationships/hyperlink" Target="https://pubs.acs.org/pb-assets/acspubs/Migrated/ancac3_revguide.pdf" TargetMode="External"/><Relationship Id="rId36" Type="http://schemas.openxmlformats.org/officeDocument/2006/relationships/hyperlink" Target="https://pubs.acs.org/userimages/ContentEditor/1218054468605/ethics.pdf" TargetMode="External"/><Relationship Id="rId39" Type="http://schemas.openxmlformats.org/officeDocument/2006/relationships/hyperlink" Target="https://pubs.acs.org/userimages/ContentEditor/1218054468605/ethics.pdf" TargetMode="External"/><Relationship Id="rId38" Type="http://schemas.openxmlformats.org/officeDocument/2006/relationships/hyperlink" Target="https://pubs.acs.org/page/policy/manuscript_transfer/index.html" TargetMode="External"/><Relationship Id="rId730" Type="http://schemas.openxmlformats.org/officeDocument/2006/relationships/hyperlink" Target="https://www.nature.com/authors/policies/peer_review.html" TargetMode="External"/><Relationship Id="rId972" Type="http://schemas.openxmlformats.org/officeDocument/2006/relationships/hyperlink" Target="https://www.pnas.org/content/115/52/E12466" TargetMode="External"/><Relationship Id="rId971" Type="http://schemas.openxmlformats.org/officeDocument/2006/relationships/hyperlink" Target="https://www.pnas.org/page/authors/reviewers" TargetMode="External"/><Relationship Id="rId970" Type="http://schemas.openxmlformats.org/officeDocument/2006/relationships/hyperlink" Target="https://www.pnas.org/page/authors/reviewers" TargetMode="External"/><Relationship Id="rId1114" Type="http://schemas.openxmlformats.org/officeDocument/2006/relationships/hyperlink" Target="https://www.nejm.org/about-nejm/editorial-policies" TargetMode="External"/><Relationship Id="rId1115" Type="http://schemas.openxmlformats.org/officeDocument/2006/relationships/hyperlink" Target="https://www.nejm.org/about-nejm/editorial-policies" TargetMode="External"/><Relationship Id="rId20" Type="http://schemas.openxmlformats.org/officeDocument/2006/relationships/hyperlink" Target="http://pubs.acs.org/paragonplus/submission/accacs/accacs_authguide.pdf" TargetMode="External"/><Relationship Id="rId1116" Type="http://schemas.openxmlformats.org/officeDocument/2006/relationships/hyperlink" Target="https://academic.oup.com/qje/pages/Policies" TargetMode="External"/><Relationship Id="rId1117" Type="http://schemas.openxmlformats.org/officeDocument/2006/relationships/hyperlink" Target="https://academic.oup.com/eurheartj/pages/Manuscript_Sharing" TargetMode="External"/><Relationship Id="rId22" Type="http://schemas.openxmlformats.org/officeDocument/2006/relationships/hyperlink" Target="https://pubs.acs.org/page/accacs/submission/prior.htmlhttps:/pubs.acs.org/page/policy/authorchoice/index.html" TargetMode="External"/><Relationship Id="rId1118" Type="http://schemas.openxmlformats.org/officeDocument/2006/relationships/hyperlink" Target="https://academic.oup.com/journals/pages/access_purchase/rights_and_permissions/self_archiving_policy_f" TargetMode="External"/><Relationship Id="rId21" Type="http://schemas.openxmlformats.org/officeDocument/2006/relationships/hyperlink" Target="https://pubs.acs.org/page/policy/manuscript_transfer/index.html" TargetMode="External"/><Relationship Id="rId1119" Type="http://schemas.openxmlformats.org/officeDocument/2006/relationships/hyperlink" Target="https://academic.oup.com/qje/pages/Policies" TargetMode="External"/><Relationship Id="rId24" Type="http://schemas.openxmlformats.org/officeDocument/2006/relationships/hyperlink" Target="https://pubs.acs.org/page/accacs/submission/prior.htmlhttps:/pubs.acs.org/page/policy/authorchoice/index.html" TargetMode="External"/><Relationship Id="rId23" Type="http://schemas.openxmlformats.org/officeDocument/2006/relationships/hyperlink" Target="https://pubs.acs.org/page/policy/manuscript_transfer/index.html" TargetMode="External"/><Relationship Id="rId525" Type="http://schemas.openxmlformats.org/officeDocument/2006/relationships/hyperlink" Target="https://www.elsevier.com/reviewers/what-is-peer-review" TargetMode="External"/><Relationship Id="rId767" Type="http://schemas.openxmlformats.org/officeDocument/2006/relationships/hyperlink" Target="https://www.nature.com/authors/policies/peer_review.html" TargetMode="External"/><Relationship Id="rId524" Type="http://schemas.openxmlformats.org/officeDocument/2006/relationships/hyperlink" Target="https://www.elsevier.com/reviewers/role" TargetMode="External"/><Relationship Id="rId766" Type="http://schemas.openxmlformats.org/officeDocument/2006/relationships/hyperlink" Target="https://www.nature.com/authors/policies/preprints.html" TargetMode="External"/><Relationship Id="rId523" Type="http://schemas.openxmlformats.org/officeDocument/2006/relationships/hyperlink" Target="https://www.elsevier.com/journals/journal-of-business-research/0148-2963/guide-for-authors" TargetMode="External"/><Relationship Id="rId765" Type="http://schemas.openxmlformats.org/officeDocument/2006/relationships/hyperlink" Target="https://www.nature.com/nmat/for-referees/policies-and-processes" TargetMode="External"/><Relationship Id="rId522" Type="http://schemas.openxmlformats.org/officeDocument/2006/relationships/hyperlink" Target="https://www.elsevier.com/about/policies/sharing" TargetMode="External"/><Relationship Id="rId764" Type="http://schemas.openxmlformats.org/officeDocument/2006/relationships/hyperlink" Target="https://www.nature.com/authors/author_resources/transfer_manuscripts.html" TargetMode="External"/><Relationship Id="rId529" Type="http://schemas.openxmlformats.org/officeDocument/2006/relationships/hyperlink" Target="https://www.elsevier.com/reviewers/role" TargetMode="External"/><Relationship Id="rId528" Type="http://schemas.openxmlformats.org/officeDocument/2006/relationships/hyperlink" Target="https://www.elsevier.com/journals/journal-of-cleaner-production/0959-6526/guide-for-authors" TargetMode="External"/><Relationship Id="rId527" Type="http://schemas.openxmlformats.org/officeDocument/2006/relationships/hyperlink" Target="https://www.elsevier.com/about/policies/sharing" TargetMode="External"/><Relationship Id="rId769" Type="http://schemas.openxmlformats.org/officeDocument/2006/relationships/hyperlink" Target="https://www.nature.com/authors/author_resources/transfer_manuscripts.html" TargetMode="External"/><Relationship Id="rId526" Type="http://schemas.openxmlformats.org/officeDocument/2006/relationships/hyperlink" Target="https://www.elsevier.com/reviewers/how-to-review" TargetMode="External"/><Relationship Id="rId768" Type="http://schemas.openxmlformats.org/officeDocument/2006/relationships/hyperlink" Target="https://www.nature.com/authors/policies/peer_review.html" TargetMode="External"/><Relationship Id="rId26" Type="http://schemas.openxmlformats.org/officeDocument/2006/relationships/hyperlink" Target="https://aom.org/Publications/AMR/Frequently-Asked-Questions.aspx" TargetMode="External"/><Relationship Id="rId25" Type="http://schemas.openxmlformats.org/officeDocument/2006/relationships/hyperlink" Target="https://aom.org/Publications/AMR/Frequently-Asked-Questions.aspx" TargetMode="External"/><Relationship Id="rId28" Type="http://schemas.openxmlformats.org/officeDocument/2006/relationships/hyperlink" Target="http://aom.org/uploadedFiles/Publications/AMJ/07_Colquitt_IrelandApr09FTE.pdf" TargetMode="External"/><Relationship Id="rId27" Type="http://schemas.openxmlformats.org/officeDocument/2006/relationships/hyperlink" Target="https://aom.org/Publications/AMR/Frequently-Asked-Questions.aspx" TargetMode="External"/><Relationship Id="rId521" Type="http://schemas.openxmlformats.org/officeDocument/2006/relationships/hyperlink" Target="https://www.elsevier.com/about/policies/copyright" TargetMode="External"/><Relationship Id="rId763" Type="http://schemas.openxmlformats.org/officeDocument/2006/relationships/hyperlink" Target="https://www.nature.com/authors/policies/peer_review.html" TargetMode="External"/><Relationship Id="rId1110" Type="http://schemas.openxmlformats.org/officeDocument/2006/relationships/hyperlink" Target="https://authorservices.wiley.com/Reviewers/journal-reviewers/recognition-for-reviewers/index.html" TargetMode="External"/><Relationship Id="rId29" Type="http://schemas.openxmlformats.org/officeDocument/2006/relationships/hyperlink" Target="http://aom.org/Publications/AMJ/Information-for-Contributors.aspx" TargetMode="External"/><Relationship Id="rId520" Type="http://schemas.openxmlformats.org/officeDocument/2006/relationships/hyperlink" Target="https://www.elsevier.com/reviewers/how-to-review" TargetMode="External"/><Relationship Id="rId762" Type="http://schemas.openxmlformats.org/officeDocument/2006/relationships/hyperlink" Target="https://www.nature.com/authors/policies/peer_review.html" TargetMode="External"/><Relationship Id="rId1111" Type="http://schemas.openxmlformats.org/officeDocument/2006/relationships/hyperlink" Target="https://onlinelibrary.wiley.com/page/journal/15404781/homepage/forauthors.html" TargetMode="External"/><Relationship Id="rId761" Type="http://schemas.openxmlformats.org/officeDocument/2006/relationships/hyperlink" Target="https://www.nature.com/authors/policies/preprints.html" TargetMode="External"/><Relationship Id="rId1112" Type="http://schemas.openxmlformats.org/officeDocument/2006/relationships/hyperlink" Target="https://authorservices.wiley.com/Reviewers/journal-reviewers/recognition-for-reviewers/index.html" TargetMode="External"/><Relationship Id="rId760" Type="http://schemas.openxmlformats.org/officeDocument/2006/relationships/hyperlink" Target="https://www.nature.com/authors/author_resources/transfer_manuscripts.html" TargetMode="External"/><Relationship Id="rId1113" Type="http://schemas.openxmlformats.org/officeDocument/2006/relationships/hyperlink" Target="https://www.nejm.org/media-center/publication-process" TargetMode="External"/><Relationship Id="rId1103" Type="http://schemas.openxmlformats.org/officeDocument/2006/relationships/hyperlink" Target="https://els-jbs-prod-cdn.literatumonline.com/pb/assets/raw/Lancet/authors/tlo-info-for-authors-1541596062097.pdf" TargetMode="External"/><Relationship Id="rId1104" Type="http://schemas.openxmlformats.org/officeDocument/2006/relationships/hyperlink" Target="https://www.thelancet.com/preprints" TargetMode="External"/><Relationship Id="rId1105" Type="http://schemas.openxmlformats.org/officeDocument/2006/relationships/hyperlink" Target="https://els-jbs-prod-cdn.literatumonline.com/pb/assets/raw/Lancet/authors/tlo-info-for-authors-1553790033677.pdf" TargetMode="External"/><Relationship Id="rId1106" Type="http://schemas.openxmlformats.org/officeDocument/2006/relationships/hyperlink" Target="https://els-jbs-prod-cdn.literatumonline.com/pb/assets/raw/Lancet/authors/tlo-info-for-authors-1541596062097.pdf" TargetMode="External"/><Relationship Id="rId11" Type="http://schemas.openxmlformats.org/officeDocument/2006/relationships/hyperlink" Target="https://pubs.acs.org/paragonplus/submission/aamick/aamick_authguide.pdf" TargetMode="External"/><Relationship Id="rId1107" Type="http://schemas.openxmlformats.org/officeDocument/2006/relationships/hyperlink" Target="https://els-jbs-prod-cdn.literatumonline.com/pb/assets/raw/Lancet/authors/tlo-info-for-authors-1541596062097.pdf" TargetMode="External"/><Relationship Id="rId10" Type="http://schemas.openxmlformats.org/officeDocument/2006/relationships/hyperlink" Target="https://pubs.acs.org/paragonplus/submission/aamick/aamick_authguide.pdf" TargetMode="External"/><Relationship Id="rId1108" Type="http://schemas.openxmlformats.org/officeDocument/2006/relationships/hyperlink" Target="https://onlinelibrary.wiley.com/page/journal/15404781/homepage/forauthors.html" TargetMode="External"/><Relationship Id="rId13" Type="http://schemas.openxmlformats.org/officeDocument/2006/relationships/hyperlink" Target="https://pubs.acs.org/publish/peer_reviews" TargetMode="External"/><Relationship Id="rId1109" Type="http://schemas.openxmlformats.org/officeDocument/2006/relationships/hyperlink" Target="https://authorservices.wiley.com/Reviewers/journal-reviewers/how-to-perform-a-peer-review/step-by-step-guide-to-reviewing-a-manuscript.html" TargetMode="External"/><Relationship Id="rId12" Type="http://schemas.openxmlformats.org/officeDocument/2006/relationships/hyperlink" Target="https://pubs.acs.org/paragonplus/submission/aamick/aamick_authguide.pdf" TargetMode="External"/><Relationship Id="rId519" Type="http://schemas.openxmlformats.org/officeDocument/2006/relationships/hyperlink" Target="https://www.elsevier.com/reviewers/what-is-peer-review" TargetMode="External"/><Relationship Id="rId514" Type="http://schemas.openxmlformats.org/officeDocument/2006/relationships/hyperlink" Target="https://www.springer.com/philosophy/ethics+and+moral+philosophy/journal/10551" TargetMode="External"/><Relationship Id="rId756" Type="http://schemas.openxmlformats.org/officeDocument/2006/relationships/hyperlink" Target="https://www.nature.com/ni/for-referees/policies-and-processes" TargetMode="External"/><Relationship Id="rId998" Type="http://schemas.openxmlformats.org/officeDocument/2006/relationships/hyperlink" Target="https://www.elsevier.com/reviewers/how-to-review" TargetMode="External"/><Relationship Id="rId513" Type="http://schemas.openxmlformats.org/officeDocument/2006/relationships/hyperlink" Target="https://www.springer.com/philosophy/ethics+and+moral+philosophy/journal/10551" TargetMode="External"/><Relationship Id="rId755" Type="http://schemas.openxmlformats.org/officeDocument/2006/relationships/hyperlink" Target="https://www.nature.com/authors/author_resources/transfer_manuscripts.html" TargetMode="External"/><Relationship Id="rId997" Type="http://schemas.openxmlformats.org/officeDocument/2006/relationships/hyperlink" Target="https://www.elsevier.com/reviewers/what-is-peer-review" TargetMode="External"/><Relationship Id="rId512" Type="http://schemas.openxmlformats.org/officeDocument/2006/relationships/hyperlink" Target="https://www.elsevier.com/about/policies/sharing" TargetMode="External"/><Relationship Id="rId754" Type="http://schemas.openxmlformats.org/officeDocument/2006/relationships/hyperlink" Target="https://www.nature.com/authors/policies/peer_review.html" TargetMode="External"/><Relationship Id="rId996" Type="http://schemas.openxmlformats.org/officeDocument/2006/relationships/hyperlink" Target="https://www.elsevier.com/reviewers/role" TargetMode="External"/><Relationship Id="rId511" Type="http://schemas.openxmlformats.org/officeDocument/2006/relationships/hyperlink" Target="https://www.elsevier.com/reviewers/how-to-review" TargetMode="External"/><Relationship Id="rId753" Type="http://schemas.openxmlformats.org/officeDocument/2006/relationships/hyperlink" Target="https://www.nature.com/authors/policies/peer_review.html" TargetMode="External"/><Relationship Id="rId995" Type="http://schemas.openxmlformats.org/officeDocument/2006/relationships/hyperlink" Target="https://www.elsevier.com/journals/research-policy/0048-7333/guide-for-authors" TargetMode="External"/><Relationship Id="rId518" Type="http://schemas.openxmlformats.org/officeDocument/2006/relationships/hyperlink" Target="https://www.elsevier.com/reviewers/role" TargetMode="External"/><Relationship Id="rId517" Type="http://schemas.openxmlformats.org/officeDocument/2006/relationships/hyperlink" Target="https://www.elsevier.com/journals/journal-of-business-research/0148-2963/guide-for-authors" TargetMode="External"/><Relationship Id="rId759" Type="http://schemas.openxmlformats.org/officeDocument/2006/relationships/hyperlink" Target="https://www.nature.com/authors/policies/peer_review.html" TargetMode="External"/><Relationship Id="rId516" Type="http://schemas.openxmlformats.org/officeDocument/2006/relationships/hyperlink" Target="https://www.springer.com/philosophy/ethics+and+moral+philosophy/journal/10551" TargetMode="External"/><Relationship Id="rId758" Type="http://schemas.openxmlformats.org/officeDocument/2006/relationships/hyperlink" Target="https://www.nature.com/authors/policies/peer_review.html" TargetMode="External"/><Relationship Id="rId515" Type="http://schemas.openxmlformats.org/officeDocument/2006/relationships/hyperlink" Target="https://www.springer.com/philosophy/ethics+and+moral+philosophy/journal/10551" TargetMode="External"/><Relationship Id="rId757" Type="http://schemas.openxmlformats.org/officeDocument/2006/relationships/hyperlink" Target="https://www.nature.com/authors/policies/preprints.html" TargetMode="External"/><Relationship Id="rId999" Type="http://schemas.openxmlformats.org/officeDocument/2006/relationships/hyperlink" Target="https://www.elsevier.com/about/policies/copyright" TargetMode="External"/><Relationship Id="rId15" Type="http://schemas.openxmlformats.org/officeDocument/2006/relationships/hyperlink" Target="https://pubs.acs.org/paragonplus/submission/achre4/achre4_authguide.pdf" TargetMode="External"/><Relationship Id="rId990" Type="http://schemas.openxmlformats.org/officeDocument/2006/relationships/hyperlink" Target="https://www.elsevier.com/reviewers/what-is-peer-review" TargetMode="External"/><Relationship Id="rId14" Type="http://schemas.openxmlformats.org/officeDocument/2006/relationships/hyperlink" Target="https://pubs.acs.org/paragonplus/submission/aamick/aamick_authguide.pdf" TargetMode="External"/><Relationship Id="rId17" Type="http://schemas.openxmlformats.org/officeDocument/2006/relationships/hyperlink" Target="https://pubs.acs.org/paragonplus/submission/achre4/achre4_authguide.pdf" TargetMode="External"/><Relationship Id="rId16" Type="http://schemas.openxmlformats.org/officeDocument/2006/relationships/hyperlink" Target="https://pubs.acs.org/page/policy/manuscript_transfer/index.html" TargetMode="External"/><Relationship Id="rId19" Type="http://schemas.openxmlformats.org/officeDocument/2006/relationships/hyperlink" Target="https://pubs.acs.org/paragonplus/submission/achre4/achre4_authguide.pdf" TargetMode="External"/><Relationship Id="rId510" Type="http://schemas.openxmlformats.org/officeDocument/2006/relationships/hyperlink" Target="https://www.elsevier.com/reviewers/what-is-peer-review" TargetMode="External"/><Relationship Id="rId752" Type="http://schemas.openxmlformats.org/officeDocument/2006/relationships/hyperlink" Target="https://www.nature.com/authors/policies/preprints.html" TargetMode="External"/><Relationship Id="rId994" Type="http://schemas.openxmlformats.org/officeDocument/2006/relationships/hyperlink" Target="https://www.elsevier.com/reviewers/how-to-review" TargetMode="External"/><Relationship Id="rId18" Type="http://schemas.openxmlformats.org/officeDocument/2006/relationships/hyperlink" Target="https://pubs.acs.org/paragonplus/submission/achre4/achre4_authguide.pdf" TargetMode="External"/><Relationship Id="rId751" Type="http://schemas.openxmlformats.org/officeDocument/2006/relationships/hyperlink" Target="https://www.nature.com/authors/author_resources/transfer_manuscripts.html" TargetMode="External"/><Relationship Id="rId993" Type="http://schemas.openxmlformats.org/officeDocument/2006/relationships/hyperlink" Target="https://www.elsevier.com/reviewers/what-is-peer-review" TargetMode="External"/><Relationship Id="rId1100" Type="http://schemas.openxmlformats.org/officeDocument/2006/relationships/hyperlink" Target="https://els-jbs-prod-cdn.literatumonline.com/pb/assets/raw/Lancet/authors/tln-info-for-authors-1541596047120.pdf" TargetMode="External"/><Relationship Id="rId750" Type="http://schemas.openxmlformats.org/officeDocument/2006/relationships/hyperlink" Target="https://www.nature.com/authors/policies/peer_review.html" TargetMode="External"/><Relationship Id="rId992" Type="http://schemas.openxmlformats.org/officeDocument/2006/relationships/hyperlink" Target="https://www.elsevier.com/reviewers/role" TargetMode="External"/><Relationship Id="rId1101" Type="http://schemas.openxmlformats.org/officeDocument/2006/relationships/hyperlink" Target="https://els-jbs-prod-cdn.literatumonline.com/pb/assets/raw/Lancet/authors/tln-info-for-authors-1541596047120.pdf" TargetMode="External"/><Relationship Id="rId991" Type="http://schemas.openxmlformats.org/officeDocument/2006/relationships/hyperlink" Target="https://www.elsevier.com/journals/renewable-and-sustainable-energy-reviews/1364-0321/guide-for-authors" TargetMode="External"/><Relationship Id="rId1102" Type="http://schemas.openxmlformats.org/officeDocument/2006/relationships/hyperlink" Target="https://els-jbs-prod-cdn.literatumonline.com/pb/assets/raw/Lancet/authors/tlo-info-for-authors-1541596062097.pdf" TargetMode="External"/><Relationship Id="rId84" Type="http://schemas.openxmlformats.org/officeDocument/2006/relationships/hyperlink" Target="https://uk.sagepub.com/en-gb/eur/how-to-review-articles" TargetMode="External"/><Relationship Id="rId83" Type="http://schemas.openxmlformats.org/officeDocument/2006/relationships/hyperlink" Target="https://uk.sagepub.com/en-gb/eur/how-to-review-articles" TargetMode="External"/><Relationship Id="rId86" Type="http://schemas.openxmlformats.org/officeDocument/2006/relationships/hyperlink" Target="https://us.sagepub.com/en-us/nam/journal/american-sociological-review" TargetMode="External"/><Relationship Id="rId85" Type="http://schemas.openxmlformats.org/officeDocument/2006/relationships/hyperlink" Target="https://journals.sagepub.com/page/help/online-first" TargetMode="External"/><Relationship Id="rId88" Type="http://schemas.openxmlformats.org/officeDocument/2006/relationships/hyperlink" Target="https://us.sagepub.com/en-us/nam/prior-publication" TargetMode="External"/><Relationship Id="rId87" Type="http://schemas.openxmlformats.org/officeDocument/2006/relationships/hyperlink" Target="https://us.sagepub.com/en-us/nam/reviewer-rewards" TargetMode="External"/><Relationship Id="rId89" Type="http://schemas.openxmlformats.org/officeDocument/2006/relationships/hyperlink" Target="https://us.sagepub.com/en-us/nam/journal/american-sociological-review" TargetMode="External"/><Relationship Id="rId709" Type="http://schemas.openxmlformats.org/officeDocument/2006/relationships/hyperlink" Target="https://www.nature.com/ncb/for-referees/policies-and-processes" TargetMode="External"/><Relationship Id="rId708" Type="http://schemas.openxmlformats.org/officeDocument/2006/relationships/hyperlink" Target="https://www.nature.com/authors/author_resources/transfer_manuscripts.html" TargetMode="External"/><Relationship Id="rId707" Type="http://schemas.openxmlformats.org/officeDocument/2006/relationships/hyperlink" Target="https://www.nature.com/authors/policies/peer_review.html" TargetMode="External"/><Relationship Id="rId949" Type="http://schemas.openxmlformats.org/officeDocument/2006/relationships/hyperlink" Target="https://journals.aps.org/prx/referees/guidelines-for-referees" TargetMode="External"/><Relationship Id="rId706" Type="http://schemas.openxmlformats.org/officeDocument/2006/relationships/hyperlink" Target="https://www.nature.com/authors/policies/peer_review.html" TargetMode="External"/><Relationship Id="rId948" Type="http://schemas.openxmlformats.org/officeDocument/2006/relationships/hyperlink" Target="https://journals.aps.org/prx/authors/editorial-policies-practices" TargetMode="External"/><Relationship Id="rId80" Type="http://schemas.openxmlformats.org/officeDocument/2006/relationships/hyperlink" Target="https://www.apsanet.org/APSR-Submission-Guidelines" TargetMode="External"/><Relationship Id="rId82" Type="http://schemas.openxmlformats.org/officeDocument/2006/relationships/hyperlink" Target="https://uk.sagepub.com/en-gb/eur/manuscript-submission-guidelines" TargetMode="External"/><Relationship Id="rId81" Type="http://schemas.openxmlformats.org/officeDocument/2006/relationships/hyperlink" Target="https://www.apsanet.org/APSR-Submission-Guidelines" TargetMode="External"/><Relationship Id="rId701" Type="http://schemas.openxmlformats.org/officeDocument/2006/relationships/hyperlink" Target="https://www.nature.com/authors/policies/preprints.html" TargetMode="External"/><Relationship Id="rId943" Type="http://schemas.openxmlformats.org/officeDocument/2006/relationships/hyperlink" Target="https://journals.aps.org/prl/authors/editorial-policies-practices" TargetMode="External"/><Relationship Id="rId700" Type="http://schemas.openxmlformats.org/officeDocument/2006/relationships/hyperlink" Target="https://www.nature.com/nbt/for-referees/policies-and-processes" TargetMode="External"/><Relationship Id="rId942" Type="http://schemas.openxmlformats.org/officeDocument/2006/relationships/hyperlink" Target="https://journals.aps.org/referees/referee-response-physical-review-letters" TargetMode="External"/><Relationship Id="rId941" Type="http://schemas.openxmlformats.org/officeDocument/2006/relationships/hyperlink" Target="https://journals.aps.org/prl/authors/editorial-policies-practices" TargetMode="External"/><Relationship Id="rId940" Type="http://schemas.openxmlformats.org/officeDocument/2006/relationships/hyperlink" Target="https://journals.aps.org/prl/authors/editorial-policies-practices" TargetMode="External"/><Relationship Id="rId705" Type="http://schemas.openxmlformats.org/officeDocument/2006/relationships/hyperlink" Target="https://www.nature.com/authors/policies/preprints.html" TargetMode="External"/><Relationship Id="rId947" Type="http://schemas.openxmlformats.org/officeDocument/2006/relationships/hyperlink" Target="https://journals.aps.org/prx/authors/editorial-policies-practices" TargetMode="External"/><Relationship Id="rId704" Type="http://schemas.openxmlformats.org/officeDocument/2006/relationships/hyperlink" Target="https://www.nature.com/authors/author_resources/transfer_manuscripts.html" TargetMode="External"/><Relationship Id="rId946" Type="http://schemas.openxmlformats.org/officeDocument/2006/relationships/hyperlink" Target="https://journals.aps.org/prx/authors/editorial-policies-practices" TargetMode="External"/><Relationship Id="rId703" Type="http://schemas.openxmlformats.org/officeDocument/2006/relationships/hyperlink" Target="https://www.nature.com/authors/policies/peer_review.html" TargetMode="External"/><Relationship Id="rId945" Type="http://schemas.openxmlformats.org/officeDocument/2006/relationships/hyperlink" Target="https://journals.aps.org/prl/authors/editorial-policies-practices" TargetMode="External"/><Relationship Id="rId702" Type="http://schemas.openxmlformats.org/officeDocument/2006/relationships/hyperlink" Target="https://www.nature.com/authors/policies/peer_review.html" TargetMode="External"/><Relationship Id="rId944" Type="http://schemas.openxmlformats.org/officeDocument/2006/relationships/hyperlink" Target="https://journals.aps.org/referees/referee-response-physical-review-letters" TargetMode="External"/><Relationship Id="rId73" Type="http://schemas.openxmlformats.org/officeDocument/2006/relationships/hyperlink" Target="https://ajpsblogging.files.wordpress.com/2015/09/ajps-author-resources-ver-1-0.pdf" TargetMode="External"/><Relationship Id="rId72" Type="http://schemas.openxmlformats.org/officeDocument/2006/relationships/hyperlink" Target="https://ajps.org/ajps-reviewer-instructions/" TargetMode="External"/><Relationship Id="rId75" Type="http://schemas.openxmlformats.org/officeDocument/2006/relationships/hyperlink" Target="https://ajph.aphapublications.org/page/authors.html" TargetMode="External"/><Relationship Id="rId74" Type="http://schemas.openxmlformats.org/officeDocument/2006/relationships/hyperlink" Target="https://ajph.aphapublications.org/page/authors.html" TargetMode="External"/><Relationship Id="rId77" Type="http://schemas.openxmlformats.org/officeDocument/2006/relationships/hyperlink" Target="https://ajph.aphapublications.org/page/authors.html" TargetMode="External"/><Relationship Id="rId76" Type="http://schemas.openxmlformats.org/officeDocument/2006/relationships/hyperlink" Target="https://ajph.aphapublications.org/page/authors.html" TargetMode="External"/><Relationship Id="rId79" Type="http://schemas.openxmlformats.org/officeDocument/2006/relationships/hyperlink" Target="https://www.cambridge.org/core/services/authors/journals/preparing-and-submitting-your-paper" TargetMode="External"/><Relationship Id="rId78" Type="http://schemas.openxmlformats.org/officeDocument/2006/relationships/hyperlink" Target="https://www.cambridge.org/core/services/authors/journals/preparing-and-submitting-your-paper" TargetMode="External"/><Relationship Id="rId939" Type="http://schemas.openxmlformats.org/officeDocument/2006/relationships/hyperlink" Target="https://journals.aps.org/prd/authors/editorial-policies-practices" TargetMode="External"/><Relationship Id="rId938" Type="http://schemas.openxmlformats.org/officeDocument/2006/relationships/hyperlink" Target="https://journals.aps.org/prd/authors/editorial-policies-practices" TargetMode="External"/><Relationship Id="rId937" Type="http://schemas.openxmlformats.org/officeDocument/2006/relationships/hyperlink" Target="https://journals.aps.org/prd/authors/editorial-policies-practices" TargetMode="External"/><Relationship Id="rId71" Type="http://schemas.openxmlformats.org/officeDocument/2006/relationships/hyperlink" Target="https://ajps.org/guidelines-for-manuscripts/" TargetMode="External"/><Relationship Id="rId70" Type="http://schemas.openxmlformats.org/officeDocument/2006/relationships/hyperlink" Target="https://ajpsblogging.files.wordpress.com/2015/09/ajps-author-resources-ver-1-0.pdf" TargetMode="External"/><Relationship Id="rId932" Type="http://schemas.openxmlformats.org/officeDocument/2006/relationships/hyperlink" Target="https://journals.aps.org/prb/authors/editorial-policies-practices" TargetMode="External"/><Relationship Id="rId931" Type="http://schemas.openxmlformats.org/officeDocument/2006/relationships/hyperlink" Target="https://journals.aps.org/prb/referees/guidelines-for-referees" TargetMode="External"/><Relationship Id="rId930" Type="http://schemas.openxmlformats.org/officeDocument/2006/relationships/hyperlink" Target="https://journals.aps.org/prb/referees/referee-response-physical-review" TargetMode="External"/><Relationship Id="rId936" Type="http://schemas.openxmlformats.org/officeDocument/2006/relationships/hyperlink" Target="https://journals.aps.org/prd/authors/editorial-policies-practices" TargetMode="External"/><Relationship Id="rId935" Type="http://schemas.openxmlformats.org/officeDocument/2006/relationships/hyperlink" Target="https://journals.aps.org/prd/authors/editorial-policies-practices" TargetMode="External"/><Relationship Id="rId934" Type="http://schemas.openxmlformats.org/officeDocument/2006/relationships/hyperlink" Target="https://journals.aps.org/prd/authors/editorial-policies-practices" TargetMode="External"/><Relationship Id="rId933" Type="http://schemas.openxmlformats.org/officeDocument/2006/relationships/hyperlink" Target="https://journals.aps.org/prb/authors/editorial-policies-practices" TargetMode="External"/><Relationship Id="rId62" Type="http://schemas.openxmlformats.org/officeDocument/2006/relationships/hyperlink" Target="https://www.aeaweb.org/journals/aer/reviewers" TargetMode="External"/><Relationship Id="rId61" Type="http://schemas.openxmlformats.org/officeDocument/2006/relationships/hyperlink" Target="https://onlinelibrary.wiley.com/pb-assets/assets/15214095/2089_guidelines.pdf" TargetMode="External"/><Relationship Id="rId64" Type="http://schemas.openxmlformats.org/officeDocument/2006/relationships/hyperlink" Target="https://www.aeaweb.org/journals/aer/about-aer/editorial-policy" TargetMode="External"/><Relationship Id="rId63" Type="http://schemas.openxmlformats.org/officeDocument/2006/relationships/hyperlink" Target="https://www.aeaweb.org/content/file?id=222" TargetMode="External"/><Relationship Id="rId66" Type="http://schemas.openxmlformats.org/officeDocument/2006/relationships/hyperlink" Target="https://www.aeaweb.org/content/file?id=222" TargetMode="External"/><Relationship Id="rId65" Type="http://schemas.openxmlformats.org/officeDocument/2006/relationships/hyperlink" Target="https://www.aeaweb.org/journals/aer/reviewers" TargetMode="External"/><Relationship Id="rId68" Type="http://schemas.openxmlformats.org/officeDocument/2006/relationships/hyperlink" Target="https://ajps.org/guidelines-for-manuscripts/" TargetMode="External"/><Relationship Id="rId67" Type="http://schemas.openxmlformats.org/officeDocument/2006/relationships/hyperlink" Target="https://www.aeaweb.org/journals/policies/copyright" TargetMode="External"/><Relationship Id="rId729" Type="http://schemas.openxmlformats.org/officeDocument/2006/relationships/hyperlink" Target="https://www.nature.com/authors/policies/peer_review.html" TargetMode="External"/><Relationship Id="rId728" Type="http://schemas.openxmlformats.org/officeDocument/2006/relationships/hyperlink" Target="https://www.nature.com/authors/policies/preprints.html" TargetMode="External"/><Relationship Id="rId60" Type="http://schemas.openxmlformats.org/officeDocument/2006/relationships/hyperlink" Target="https://wol-prod-cdn.literatumonline.com/pb-assets/assets/15214095/2089_guidelines-1510017322000.pdf" TargetMode="External"/><Relationship Id="rId723" Type="http://schemas.openxmlformats.org/officeDocument/2006/relationships/hyperlink" Target="https://www.nature.com/authors/policies/preprints.html" TargetMode="External"/><Relationship Id="rId965" Type="http://schemas.openxmlformats.org/officeDocument/2006/relationships/hyperlink" Target="https://journals.plos.org/plosone/s/editorial-and-peer-review-process" TargetMode="External"/><Relationship Id="rId722" Type="http://schemas.openxmlformats.org/officeDocument/2006/relationships/hyperlink" Target="https://www.nature.com/authors/author_resources/transfer_manuscripts.html" TargetMode="External"/><Relationship Id="rId964" Type="http://schemas.openxmlformats.org/officeDocument/2006/relationships/hyperlink" Target="https://journals.plos.org/plosone/s/preprints" TargetMode="External"/><Relationship Id="rId721" Type="http://schemas.openxmlformats.org/officeDocument/2006/relationships/hyperlink" Target="https://www.nature.com/authors/policies/peer_review.html" TargetMode="External"/><Relationship Id="rId963" Type="http://schemas.openxmlformats.org/officeDocument/2006/relationships/hyperlink" Target="https://journals.plos.org/plosone/s/reviewer-guidelines" TargetMode="External"/><Relationship Id="rId720" Type="http://schemas.openxmlformats.org/officeDocument/2006/relationships/hyperlink" Target="https://www.nature.com/authors/policies/peer_review.html" TargetMode="External"/><Relationship Id="rId962" Type="http://schemas.openxmlformats.org/officeDocument/2006/relationships/hyperlink" Target="https://journals.plos.org/plosone/s/editorial-and-peer-review-process" TargetMode="External"/><Relationship Id="rId727" Type="http://schemas.openxmlformats.org/officeDocument/2006/relationships/hyperlink" Target="https://www.nature.com/nclimate/for-referees/policies-and-processes" TargetMode="External"/><Relationship Id="rId969" Type="http://schemas.openxmlformats.org/officeDocument/2006/relationships/hyperlink" Target="https://www.pnas.org/page/authors/reviewers" TargetMode="External"/><Relationship Id="rId726" Type="http://schemas.openxmlformats.org/officeDocument/2006/relationships/hyperlink" Target="https://www.nature.com/authors/author_resources/transfer_manuscripts.html" TargetMode="External"/><Relationship Id="rId968" Type="http://schemas.openxmlformats.org/officeDocument/2006/relationships/hyperlink" Target="https://journals.plos.org/plosone/s/preprints" TargetMode="External"/><Relationship Id="rId725" Type="http://schemas.openxmlformats.org/officeDocument/2006/relationships/hyperlink" Target="https://www.nature.com/authors/policies/peer_review.html" TargetMode="External"/><Relationship Id="rId967" Type="http://schemas.openxmlformats.org/officeDocument/2006/relationships/hyperlink" Target="https://journals.plos.org/plosone/s/reviewer-guidelines" TargetMode="External"/><Relationship Id="rId724" Type="http://schemas.openxmlformats.org/officeDocument/2006/relationships/hyperlink" Target="https://www.nature.com/authors/policies/peer_review.html" TargetMode="External"/><Relationship Id="rId966" Type="http://schemas.openxmlformats.org/officeDocument/2006/relationships/hyperlink" Target="https://journals.plos.org/plosone/s/editorial-and-peer-review-process" TargetMode="External"/><Relationship Id="rId69" Type="http://schemas.openxmlformats.org/officeDocument/2006/relationships/hyperlink" Target="https://ajps.org/ajps-reviewer-instructions/" TargetMode="External"/><Relationship Id="rId961" Type="http://schemas.openxmlformats.org/officeDocument/2006/relationships/hyperlink" Target="https://journals.plos.org/plosone/s/editorial-and-peer-review-process" TargetMode="External"/><Relationship Id="rId960" Type="http://schemas.openxmlformats.org/officeDocument/2006/relationships/hyperlink" Target="https://www.elsevier.com/journals/physics-letters-b/0370-2693/guide-for-authors" TargetMode="External"/><Relationship Id="rId51" Type="http://schemas.openxmlformats.org/officeDocument/2006/relationships/hyperlink" Target="https://application.wiley-vch.de/util/cta/euchems_ethicalguidelines.pdf" TargetMode="External"/><Relationship Id="rId50" Type="http://schemas.openxmlformats.org/officeDocument/2006/relationships/hyperlink" Target="https://application.wiley-vch.de/util/cta/physsci-en.pdf" TargetMode="External"/><Relationship Id="rId53" Type="http://schemas.openxmlformats.org/officeDocument/2006/relationships/hyperlink" Target="https://application.wiley-vch.de/util/cta/euchems_ethicalguidelines.pdf" TargetMode="External"/><Relationship Id="rId52" Type="http://schemas.openxmlformats.org/officeDocument/2006/relationships/hyperlink" Target="https://wol-prod-cdn.literatumonline.com/pb-assets/assets/16163028/AFM-guide-for-authors-may-2018-1526994585463.pdf" TargetMode="External"/><Relationship Id="rId55" Type="http://schemas.openxmlformats.org/officeDocument/2006/relationships/hyperlink" Target="https://wol-prod-cdn.literatumonline.com/pb-assets/assets/16163028/AFM-guide-for-authors-may-2018-1526994585463.pdf" TargetMode="External"/><Relationship Id="rId54" Type="http://schemas.openxmlformats.org/officeDocument/2006/relationships/hyperlink" Target="https://wol-prod-cdn.literatumonline.com/pb-assets/assets/16163028/AFM-guide-for-authors-may-2018-1526994585463.pdf" TargetMode="External"/><Relationship Id="rId57" Type="http://schemas.openxmlformats.org/officeDocument/2006/relationships/hyperlink" Target="https://application.wiley-vch.de/util/cta/physsci-en.pdf" TargetMode="External"/><Relationship Id="rId56" Type="http://schemas.openxmlformats.org/officeDocument/2006/relationships/hyperlink" Target="https://www.euchems.eu/wp-content/uploads/Ethicalguidelines_tcm23-54057.pdf" TargetMode="External"/><Relationship Id="rId719" Type="http://schemas.openxmlformats.org/officeDocument/2006/relationships/hyperlink" Target="https://www.nature.com/authors/policies/preprints.html" TargetMode="External"/><Relationship Id="rId718" Type="http://schemas.openxmlformats.org/officeDocument/2006/relationships/hyperlink" Target="https://www.nature.com/nchem/for-referees/policies-and-processes" TargetMode="External"/><Relationship Id="rId717" Type="http://schemas.openxmlformats.org/officeDocument/2006/relationships/hyperlink" Target="https://www.nature.com/authors/author_resources/transfer_manuscripts.html" TargetMode="External"/><Relationship Id="rId959" Type="http://schemas.openxmlformats.org/officeDocument/2006/relationships/hyperlink" Target="https://www.elsevier.com/journals/physics-letters-b/0370-2693/guide-for-authors" TargetMode="External"/><Relationship Id="rId712" Type="http://schemas.openxmlformats.org/officeDocument/2006/relationships/hyperlink" Target="https://www.nature.com/authors/policies/peer_review.html" TargetMode="External"/><Relationship Id="rId954" Type="http://schemas.openxmlformats.org/officeDocument/2006/relationships/hyperlink" Target="https://journals.aps.org/prx/authors/editorial-policies-practices" TargetMode="External"/><Relationship Id="rId711" Type="http://schemas.openxmlformats.org/officeDocument/2006/relationships/hyperlink" Target="https://www.nature.com/authors/policies/peer_review.html" TargetMode="External"/><Relationship Id="rId953" Type="http://schemas.openxmlformats.org/officeDocument/2006/relationships/hyperlink" Target="https://journals.aps.org/prx/authors/editorial-policies-practices" TargetMode="External"/><Relationship Id="rId710" Type="http://schemas.openxmlformats.org/officeDocument/2006/relationships/hyperlink" Target="https://www.nature.com/authors/policies/preprints.html" TargetMode="External"/><Relationship Id="rId952" Type="http://schemas.openxmlformats.org/officeDocument/2006/relationships/hyperlink" Target="https://journals.aps.org/prx/referees/referee-response-physical-review-x" TargetMode="External"/><Relationship Id="rId951" Type="http://schemas.openxmlformats.org/officeDocument/2006/relationships/hyperlink" Target="https://journals.aps.org/prx/authors/editorial-policies-practices" TargetMode="External"/><Relationship Id="rId716" Type="http://schemas.openxmlformats.org/officeDocument/2006/relationships/hyperlink" Target="https://www.nature.com/authors/policies/peer_review.html" TargetMode="External"/><Relationship Id="rId958" Type="http://schemas.openxmlformats.org/officeDocument/2006/relationships/hyperlink" Target="https://www.elsevier.com/journals/physics-letters-b/0370-2693/guide-for-authors" TargetMode="External"/><Relationship Id="rId715" Type="http://schemas.openxmlformats.org/officeDocument/2006/relationships/hyperlink" Target="https://www.nature.com/authors/policies/peer_review.html" TargetMode="External"/><Relationship Id="rId957" Type="http://schemas.openxmlformats.org/officeDocument/2006/relationships/hyperlink" Target="https://www.elsevier.com/journals/physics-letters-b/0370-2693/guide-for-authors" TargetMode="External"/><Relationship Id="rId714" Type="http://schemas.openxmlformats.org/officeDocument/2006/relationships/hyperlink" Target="https://www.nature.com/authors/policies/preprints.html" TargetMode="External"/><Relationship Id="rId956" Type="http://schemas.openxmlformats.org/officeDocument/2006/relationships/hyperlink" Target="https://www.elsevier.com/journals/physics-letters-b/0370-2693/guide-for-authors" TargetMode="External"/><Relationship Id="rId713" Type="http://schemas.openxmlformats.org/officeDocument/2006/relationships/hyperlink" Target="https://www.nature.com/authors/author_resources/transfer_manuscripts.html" TargetMode="External"/><Relationship Id="rId955" Type="http://schemas.openxmlformats.org/officeDocument/2006/relationships/hyperlink" Target="https://www.elsevier.com/journals/physics-letters-b/0370-2693/guide-for-authors" TargetMode="External"/><Relationship Id="rId59" Type="http://schemas.openxmlformats.org/officeDocument/2006/relationships/hyperlink" Target="https://onlinelibrary.wiley.com/pb-assets/assets/15214095/2089_guidelines.pdf" TargetMode="External"/><Relationship Id="rId58" Type="http://schemas.openxmlformats.org/officeDocument/2006/relationships/hyperlink" Target="https://wol-prod-cdn.literatumonline.com/pb-assets/assets/15214095/2089_guidelines-1510017322000.pdf" TargetMode="External"/><Relationship Id="rId950" Type="http://schemas.openxmlformats.org/officeDocument/2006/relationships/hyperlink" Target="https://journals.aps.org/prx/referees/referee-response-physical-review-x" TargetMode="External"/><Relationship Id="rId590" Type="http://schemas.openxmlformats.org/officeDocument/2006/relationships/hyperlink" Target="https://us.sagepub.com/en-us/nam/how-to-review-articles" TargetMode="External"/><Relationship Id="rId107" Type="http://schemas.openxmlformats.org/officeDocument/2006/relationships/hyperlink" Target="https://academic.oup.com/annonc/pages/General_Instructions" TargetMode="External"/><Relationship Id="rId349" Type="http://schemas.openxmlformats.org/officeDocument/2006/relationships/hyperlink" Target="https://pubs.acs.org/paragonplus/submission/esthag/esthag_authguide.pdf" TargetMode="External"/><Relationship Id="rId106" Type="http://schemas.openxmlformats.org/officeDocument/2006/relationships/hyperlink" Target="http://annals.org/aim/pages/authors" TargetMode="External"/><Relationship Id="rId348" Type="http://schemas.openxmlformats.org/officeDocument/2006/relationships/hyperlink" Target="https://pubs.acs.org/paragonplus/submission/esthag/esthag_authguide.pdf" TargetMode="External"/><Relationship Id="rId105" Type="http://schemas.openxmlformats.org/officeDocument/2006/relationships/hyperlink" Target="http://annals.org/aim/pages/authors" TargetMode="External"/><Relationship Id="rId347" Type="http://schemas.openxmlformats.org/officeDocument/2006/relationships/hyperlink" Target="https://www.rsc.org/journals-books-databases/journal-authors-reviewers/processes-policies/" TargetMode="External"/><Relationship Id="rId589" Type="http://schemas.openxmlformats.org/officeDocument/2006/relationships/hyperlink" Target="https://us.sagepub.com/en-us/nam/reviewer-rewards" TargetMode="External"/><Relationship Id="rId104" Type="http://schemas.openxmlformats.org/officeDocument/2006/relationships/hyperlink" Target="http://annals.org/aim/pages/authors" TargetMode="External"/><Relationship Id="rId346" Type="http://schemas.openxmlformats.org/officeDocument/2006/relationships/hyperlink" Target="https://www.rsc.org/journals-books-databases/journal-authors-reviewers/processes-policies/" TargetMode="External"/><Relationship Id="rId588" Type="http://schemas.openxmlformats.org/officeDocument/2006/relationships/hyperlink" Target="https://journals.sagepub.com/pb-assets/cmscontent/JOM/JOM_Style_Guide_revised_2017.pdf" TargetMode="External"/><Relationship Id="rId109" Type="http://schemas.openxmlformats.org/officeDocument/2006/relationships/hyperlink" Target="https://academic.oup.com/annonc/pages/General_Instructions" TargetMode="External"/><Relationship Id="rId108" Type="http://schemas.openxmlformats.org/officeDocument/2006/relationships/hyperlink" Target="https://academic.oup.com/journals/pages/access_purchase/rights_and_permissions/author_self_archiving_policy" TargetMode="External"/><Relationship Id="rId341" Type="http://schemas.openxmlformats.org/officeDocument/2006/relationships/hyperlink" Target="https://www.econometricsociety.org/publications/econometrica/information-authors/editorial-procedures-and-policies" TargetMode="External"/><Relationship Id="rId583" Type="http://schemas.openxmlformats.org/officeDocument/2006/relationships/hyperlink" Target="https://jhep.sissa.it/jhep/help/helpLoader.jsp?pgType=author" TargetMode="External"/><Relationship Id="rId340" Type="http://schemas.openxmlformats.org/officeDocument/2006/relationships/hyperlink" Target="https://www.econometricsociety.org/publications/econometrica/information-authors/editorial-procedures-and-policies" TargetMode="External"/><Relationship Id="rId582" Type="http://schemas.openxmlformats.org/officeDocument/2006/relationships/hyperlink" Target="https://www.springer.com/us/authors-editors/journal-author/the-springer-transfer-desk" TargetMode="External"/><Relationship Id="rId581" Type="http://schemas.openxmlformats.org/officeDocument/2006/relationships/hyperlink" Target="https://www.springer.com/physics/particle+and+nuclear+physics/journal/13130" TargetMode="External"/><Relationship Id="rId580" Type="http://schemas.openxmlformats.org/officeDocument/2006/relationships/hyperlink" Target="https://www.springer.com/us/authors-editors/journal-author/the-springer-transfer-desk" TargetMode="External"/><Relationship Id="rId103" Type="http://schemas.openxmlformats.org/officeDocument/2006/relationships/hyperlink" Target="http://annals.org/aim/pages/authors" TargetMode="External"/><Relationship Id="rId345" Type="http://schemas.openxmlformats.org/officeDocument/2006/relationships/hyperlink" Target="http://www.rsc.org/journals-books-databases/journal-authors-reviewers/reviewer-responsibilities/" TargetMode="External"/><Relationship Id="rId587" Type="http://schemas.openxmlformats.org/officeDocument/2006/relationships/hyperlink" Target="https://us.sagepub.com/en-us/nam/prior-publication" TargetMode="External"/><Relationship Id="rId102" Type="http://schemas.openxmlformats.org/officeDocument/2006/relationships/hyperlink" Target="http://annals.org/aim/pages/authors" TargetMode="External"/><Relationship Id="rId344" Type="http://schemas.openxmlformats.org/officeDocument/2006/relationships/hyperlink" Target="http://www.rsc.org/journals-books-databases/journal-authors-reviewers/licences-copyright-permissions/" TargetMode="External"/><Relationship Id="rId586" Type="http://schemas.openxmlformats.org/officeDocument/2006/relationships/hyperlink" Target="https://us.sagepub.com/en-us/nam/how-to-review-articles" TargetMode="External"/><Relationship Id="rId101" Type="http://schemas.openxmlformats.org/officeDocument/2006/relationships/hyperlink" Target="http://annals.org/aim/pages/authors" TargetMode="External"/><Relationship Id="rId343" Type="http://schemas.openxmlformats.org/officeDocument/2006/relationships/hyperlink" Target="http://www.rsc.org/journals-books-databases/journal-authors-reviewers/processes-policies/" TargetMode="External"/><Relationship Id="rId585" Type="http://schemas.openxmlformats.org/officeDocument/2006/relationships/hyperlink" Target="https://us.sagepub.com/en-us/nam/reviewer-rewards" TargetMode="External"/><Relationship Id="rId100" Type="http://schemas.openxmlformats.org/officeDocument/2006/relationships/hyperlink" Target="http://annals.org/aim/pages/authors" TargetMode="External"/><Relationship Id="rId342" Type="http://schemas.openxmlformats.org/officeDocument/2006/relationships/hyperlink" Target="http://www.rsc.org/journals-books-databases/journal-authors-reviewers/reviewer-responsibilities/" TargetMode="External"/><Relationship Id="rId584" Type="http://schemas.openxmlformats.org/officeDocument/2006/relationships/hyperlink" Target="https://journals.sagepub.com/pb-assets/cmscontent/JOM/JOM_Style_Guide_revised_2017.pdf" TargetMode="External"/><Relationship Id="rId338" Type="http://schemas.openxmlformats.org/officeDocument/2006/relationships/hyperlink" Target="https://www.econometricsociety.org/publications/econometrica/information-authors/instructions-preparing-articles-publication" TargetMode="External"/><Relationship Id="rId337" Type="http://schemas.openxmlformats.org/officeDocument/2006/relationships/hyperlink" Target="https://www.econometricsociety.org/publications/econometrica/information-authors/editorial-procedures-and-policies" TargetMode="External"/><Relationship Id="rId579" Type="http://schemas.openxmlformats.org/officeDocument/2006/relationships/hyperlink" Target="https://www.springer.com/physics/particle+and+nuclear+physics/journal/13130" TargetMode="External"/><Relationship Id="rId336" Type="http://schemas.openxmlformats.org/officeDocument/2006/relationships/hyperlink" Target="https://www.econometricsociety.org/publications/econometrica/information-authors/editorial-procedures-and-policies" TargetMode="External"/><Relationship Id="rId578" Type="http://schemas.openxmlformats.org/officeDocument/2006/relationships/hyperlink" Target="https://www.elsevier.com/about/policies/sharing" TargetMode="External"/><Relationship Id="rId335" Type="http://schemas.openxmlformats.org/officeDocument/2006/relationships/hyperlink" Target="https://www.econometricsociety.org/publications/econometrica/information-authors/editorial-procedures-and-policies" TargetMode="External"/><Relationship Id="rId577" Type="http://schemas.openxmlformats.org/officeDocument/2006/relationships/hyperlink" Target="https://www.elsevier.com/reviewers/role" TargetMode="External"/><Relationship Id="rId339" Type="http://schemas.openxmlformats.org/officeDocument/2006/relationships/hyperlink" Target="https://www.econometricsociety.org/publications/econometrica/information-authors/editorial-procedures-and-policies" TargetMode="External"/><Relationship Id="rId330" Type="http://schemas.openxmlformats.org/officeDocument/2006/relationships/hyperlink" Target="https://www.tandfonline.com/action/journalInformation?show=aimsScope&amp;journalCode=rdij20" TargetMode="External"/><Relationship Id="rId572" Type="http://schemas.openxmlformats.org/officeDocument/2006/relationships/hyperlink" Target="https://publications.agu.org/reviewer-resources/" TargetMode="External"/><Relationship Id="rId571" Type="http://schemas.openxmlformats.org/officeDocument/2006/relationships/hyperlink" Target="https://publications.agu.org/reviewer-resources/" TargetMode="External"/><Relationship Id="rId570" Type="http://schemas.openxmlformats.org/officeDocument/2006/relationships/hyperlink" Target="https://publications.agu.org/reviewer-resources/review-criteria" TargetMode="External"/><Relationship Id="rId334" Type="http://schemas.openxmlformats.org/officeDocument/2006/relationships/hyperlink" Target="https://www.tandfonline.com/action/authorSubmission?show=instructions&amp;journalCode=rdij20" TargetMode="External"/><Relationship Id="rId576" Type="http://schemas.openxmlformats.org/officeDocument/2006/relationships/hyperlink" Target="https://www.elsevier.com/about/policies/sharing" TargetMode="External"/><Relationship Id="rId333" Type="http://schemas.openxmlformats.org/officeDocument/2006/relationships/hyperlink" Target="https://www.tandfonline.com/action/authorSubmission?journalCode=rdij20&amp;page=instructions" TargetMode="External"/><Relationship Id="rId575" Type="http://schemas.openxmlformats.org/officeDocument/2006/relationships/hyperlink" Target="https://www.elsevier.com/reviewers/role" TargetMode="External"/><Relationship Id="rId332" Type="http://schemas.openxmlformats.org/officeDocument/2006/relationships/hyperlink" Target="https://www.tandfonline.com/action/authorSubmission?journalCode=rdij20&amp;page=instructions" TargetMode="External"/><Relationship Id="rId574" Type="http://schemas.openxmlformats.org/officeDocument/2006/relationships/hyperlink" Target="https://publications.agu.org/reviewer-resources/" TargetMode="External"/><Relationship Id="rId331" Type="http://schemas.openxmlformats.org/officeDocument/2006/relationships/hyperlink" Target="https://www.tandfonline.com/action/authorSubmission?show=instructions&amp;journalCode=rdij20" TargetMode="External"/><Relationship Id="rId573" Type="http://schemas.openxmlformats.org/officeDocument/2006/relationships/hyperlink" Target="https://publications.agu.org/reviewer-resources/review-criteria" TargetMode="External"/><Relationship Id="rId370" Type="http://schemas.openxmlformats.org/officeDocument/2006/relationships/hyperlink" Target="https://www.gastrojournal.org/content/authorinfo" TargetMode="External"/><Relationship Id="rId129" Type="http://schemas.openxmlformats.org/officeDocument/2006/relationships/hyperlink" Target="https://www.elsevier.com/journals/applied-energy/0306-2619/guide-for-authors" TargetMode="External"/><Relationship Id="rId128" Type="http://schemas.openxmlformats.org/officeDocument/2006/relationships/hyperlink" Target="https://www.elsevier.com/about/policies/sharing" TargetMode="External"/><Relationship Id="rId127" Type="http://schemas.openxmlformats.org/officeDocument/2006/relationships/hyperlink" Target="https://www.elsevier.com/reviewers/what-is-peer-review" TargetMode="External"/><Relationship Id="rId369" Type="http://schemas.openxmlformats.org/officeDocument/2006/relationships/hyperlink" Target="https://www.gastrojournal.org/content/authorinfo" TargetMode="External"/><Relationship Id="rId126" Type="http://schemas.openxmlformats.org/officeDocument/2006/relationships/hyperlink" Target="https://www.elsevier.com/reviewers/role" TargetMode="External"/><Relationship Id="rId368" Type="http://schemas.openxmlformats.org/officeDocument/2006/relationships/hyperlink" Target="https://www.elsevier.com/reviewers/what-is-peer-review" TargetMode="External"/><Relationship Id="rId121" Type="http://schemas.openxmlformats.org/officeDocument/2006/relationships/hyperlink" Target="https://www.elsevier.com/journals/annals-of-tourism-research/0160-7383?generatepdf=true" TargetMode="External"/><Relationship Id="rId363" Type="http://schemas.openxmlformats.org/officeDocument/2006/relationships/hyperlink" Target="https://www.europeanurology.com/content/resources-for-authors" TargetMode="External"/><Relationship Id="rId120" Type="http://schemas.openxmlformats.org/officeDocument/2006/relationships/hyperlink" Target="https://authors.bmj.com/policies/preprints/" TargetMode="External"/><Relationship Id="rId362" Type="http://schemas.openxmlformats.org/officeDocument/2006/relationships/hyperlink" Target="https://www.elsevier.com/reviewers/what-is-peer-review" TargetMode="External"/><Relationship Id="rId361" Type="http://schemas.openxmlformats.org/officeDocument/2006/relationships/hyperlink" Target="https://www.elsevier.com/reviewers/role" TargetMode="External"/><Relationship Id="rId360" Type="http://schemas.openxmlformats.org/officeDocument/2006/relationships/hyperlink" Target="https://www.europeanurology.com/content/resources-for-authors" TargetMode="External"/><Relationship Id="rId125" Type="http://schemas.openxmlformats.org/officeDocument/2006/relationships/hyperlink" Target="https://www.elsevier.com/journals/annals-of-tourism-research/0160-7383?generatepdf=true" TargetMode="External"/><Relationship Id="rId367" Type="http://schemas.openxmlformats.org/officeDocument/2006/relationships/hyperlink" Target="https://www.gastrojournal.org/content/authorinfo" TargetMode="External"/><Relationship Id="rId124" Type="http://schemas.openxmlformats.org/officeDocument/2006/relationships/hyperlink" Target="https://www.elsevier.com/about/policies/copyright" TargetMode="External"/><Relationship Id="rId366" Type="http://schemas.openxmlformats.org/officeDocument/2006/relationships/hyperlink" Target="https://www.gastrojournal.org/content/authorinfo" TargetMode="External"/><Relationship Id="rId123" Type="http://schemas.openxmlformats.org/officeDocument/2006/relationships/hyperlink" Target="https://www.elsevier.com/reviewers/what-is-peer-review" TargetMode="External"/><Relationship Id="rId365" Type="http://schemas.openxmlformats.org/officeDocument/2006/relationships/hyperlink" Target="https://www.elsevier.com/reviewers/what-is-peer-review" TargetMode="External"/><Relationship Id="rId122" Type="http://schemas.openxmlformats.org/officeDocument/2006/relationships/hyperlink" Target="https://www.elsevier.com/reviewers/role" TargetMode="External"/><Relationship Id="rId364" Type="http://schemas.openxmlformats.org/officeDocument/2006/relationships/hyperlink" Target="https://www.elsevier.com/reviewers/role" TargetMode="External"/><Relationship Id="rId95" Type="http://schemas.openxmlformats.org/officeDocument/2006/relationships/hyperlink" Target="https://authorservices.wiley.com/Reviewers/journal-reviewers/tools-and-resources/review-confidentiality-policy.html" TargetMode="External"/><Relationship Id="rId94" Type="http://schemas.openxmlformats.org/officeDocument/2006/relationships/hyperlink" Target="https://onlinelibrary.wiley.com/page/journal/15213773/homepage/onlineopen" TargetMode="External"/><Relationship Id="rId97" Type="http://schemas.openxmlformats.org/officeDocument/2006/relationships/hyperlink" Target="https://onlinelibrary.wiley.com/page/journal/15213773/homepage/notice-to-authors" TargetMode="External"/><Relationship Id="rId96" Type="http://schemas.openxmlformats.org/officeDocument/2006/relationships/hyperlink" Target="https://authorservices.wiley.com/Reviewers/journal-reviewers/recognition-for-reviewers/index.html" TargetMode="External"/><Relationship Id="rId99" Type="http://schemas.openxmlformats.org/officeDocument/2006/relationships/hyperlink" Target="http://annals.org/aim/pages/authors" TargetMode="External"/><Relationship Id="rId98" Type="http://schemas.openxmlformats.org/officeDocument/2006/relationships/hyperlink" Target="https://onlinelibrary.wiley.com/page/journal/15213773/homepage/notice-to-authors" TargetMode="External"/><Relationship Id="rId91" Type="http://schemas.openxmlformats.org/officeDocument/2006/relationships/hyperlink" Target="https://uk.sagepub.com/en-gb/eur/how-to-review-articles" TargetMode="External"/><Relationship Id="rId90" Type="http://schemas.openxmlformats.org/officeDocument/2006/relationships/hyperlink" Target="https://us.sagepub.com/en-us/nam/reviewer-rewards" TargetMode="External"/><Relationship Id="rId93" Type="http://schemas.openxmlformats.org/officeDocument/2006/relationships/hyperlink" Target="https://onlinelibrary.wiley.com/page/journal/15213773/homepage/notice-to-authors" TargetMode="External"/><Relationship Id="rId92" Type="http://schemas.openxmlformats.org/officeDocument/2006/relationships/hyperlink" Target="https://us.sagepub.com/en-us/nam/prior-publication" TargetMode="External"/><Relationship Id="rId118" Type="http://schemas.openxmlformats.org/officeDocument/2006/relationships/hyperlink" Target="https://authors.bmj.com/policies/peer-review-terms-and-conditions/" TargetMode="External"/><Relationship Id="rId117" Type="http://schemas.openxmlformats.org/officeDocument/2006/relationships/hyperlink" Target="https://authors.bmj.com/policies/peer-review-terms-and-conditions/" TargetMode="External"/><Relationship Id="rId359" Type="http://schemas.openxmlformats.org/officeDocument/2006/relationships/hyperlink" Target="https://academic.oup.com/journals/pages/access_purchase/rights_and_permissions/self_archiving_policy_b" TargetMode="External"/><Relationship Id="rId116" Type="http://schemas.openxmlformats.org/officeDocument/2006/relationships/hyperlink" Target="https://ard.bmj.com/pages/about/" TargetMode="External"/><Relationship Id="rId358" Type="http://schemas.openxmlformats.org/officeDocument/2006/relationships/hyperlink" Target="https://academic.oup.com/eurheartj/pages/Manuscript_Sharing" TargetMode="External"/><Relationship Id="rId115" Type="http://schemas.openxmlformats.org/officeDocument/2006/relationships/hyperlink" Target="https://authors.bmj.com/policies/publication-embargo/" TargetMode="External"/><Relationship Id="rId357" Type="http://schemas.openxmlformats.org/officeDocument/2006/relationships/hyperlink" Target="https://academic.oup.com/eurheartj/pages/General_Instructions" TargetMode="External"/><Relationship Id="rId599" Type="http://schemas.openxmlformats.org/officeDocument/2006/relationships/hyperlink" Target="http://www.rsc.org/journals-books-databases/journal-authors-reviewers/processes-policies/" TargetMode="External"/><Relationship Id="rId119" Type="http://schemas.openxmlformats.org/officeDocument/2006/relationships/hyperlink" Target="https://authors.bmj.com/policies/peer-review-terms-and-conditions/" TargetMode="External"/><Relationship Id="rId110" Type="http://schemas.openxmlformats.org/officeDocument/2006/relationships/hyperlink" Target="https://academic.oup.com/journals/pages/access_purchase/rights_and_permissions/author_self_archiving_policy" TargetMode="External"/><Relationship Id="rId352" Type="http://schemas.openxmlformats.org/officeDocument/2006/relationships/hyperlink" Target="https://pubs.acs.org/paragonplus/submission/esthag/esthag_authguide.pdf" TargetMode="External"/><Relationship Id="rId594" Type="http://schemas.openxmlformats.org/officeDocument/2006/relationships/hyperlink" Target="http://www.rsc.org/journals-books-databases/journal-authors-reviewers/processes-policies/" TargetMode="External"/><Relationship Id="rId351" Type="http://schemas.openxmlformats.org/officeDocument/2006/relationships/hyperlink" Target="https://pubs.acs.org/paragonplus/submission/esthag/esthag_authguide.pdf" TargetMode="External"/><Relationship Id="rId593" Type="http://schemas.openxmlformats.org/officeDocument/2006/relationships/hyperlink" Target="http://www.rsc.org/journals-books-databases/journal-authors-reviewers/reviewer-responsibilities/" TargetMode="External"/><Relationship Id="rId350" Type="http://schemas.openxmlformats.org/officeDocument/2006/relationships/hyperlink" Target="https://pubs.acs.org/page/esthag/submission/prior.html" TargetMode="External"/><Relationship Id="rId592" Type="http://schemas.openxmlformats.org/officeDocument/2006/relationships/hyperlink" Target="http://www.rsc.org/journals-books-databases/journal-authors-reviewers/reviewer-responsibilities/" TargetMode="External"/><Relationship Id="rId591" Type="http://schemas.openxmlformats.org/officeDocument/2006/relationships/hyperlink" Target="https://us.sagepub.com/en-us/nam/prior-publication" TargetMode="External"/><Relationship Id="rId114" Type="http://schemas.openxmlformats.org/officeDocument/2006/relationships/hyperlink" Target="https://authors.bmj.com/policies/peer-review-terms-and-conditions/" TargetMode="External"/><Relationship Id="rId356" Type="http://schemas.openxmlformats.org/officeDocument/2006/relationships/hyperlink" Target="https://academic.oup.com/journals/pages/access_purchase/rights_and_permissions/self_archiving_policy_b" TargetMode="External"/><Relationship Id="rId598" Type="http://schemas.openxmlformats.org/officeDocument/2006/relationships/hyperlink" Target="http://www.rsc.org/journals-books-databases/journal-authors-reviewers/reviewer-responsibilities/" TargetMode="External"/><Relationship Id="rId113" Type="http://schemas.openxmlformats.org/officeDocument/2006/relationships/hyperlink" Target="https://authors.bmj.com/policies/peer-review-terms-and-conditions/" TargetMode="External"/><Relationship Id="rId355" Type="http://schemas.openxmlformats.org/officeDocument/2006/relationships/hyperlink" Target="https://academic.oup.com/eurheartj/pages/Manuscript_Sharing" TargetMode="External"/><Relationship Id="rId597" Type="http://schemas.openxmlformats.org/officeDocument/2006/relationships/hyperlink" Target="http://www.rsc.org/journals-books-databases/journal-authors-reviewers/reviewer-responsibilities/" TargetMode="External"/><Relationship Id="rId112" Type="http://schemas.openxmlformats.org/officeDocument/2006/relationships/hyperlink" Target="https://authors.bmj.com/policies/peer-review-terms-and-conditions/" TargetMode="External"/><Relationship Id="rId354" Type="http://schemas.openxmlformats.org/officeDocument/2006/relationships/hyperlink" Target="https://academic.oup.com/eurheartj/pages/General_Instructions" TargetMode="External"/><Relationship Id="rId596" Type="http://schemas.openxmlformats.org/officeDocument/2006/relationships/hyperlink" Target="http://www.rsc.org/journals-books-databases/journal-authors-reviewers/processes-policies/" TargetMode="External"/><Relationship Id="rId111" Type="http://schemas.openxmlformats.org/officeDocument/2006/relationships/hyperlink" Target="https://ard.bmj.com/pages/about/" TargetMode="External"/><Relationship Id="rId353" Type="http://schemas.openxmlformats.org/officeDocument/2006/relationships/hyperlink" Target="https://pubs.acs.org/page/esthag/submission/prior.html" TargetMode="External"/><Relationship Id="rId595" Type="http://schemas.openxmlformats.org/officeDocument/2006/relationships/hyperlink" Target="http://www.rsc.org/journals-books-databases/journal-authors-reviewers/reviewer-responsibilities/" TargetMode="External"/><Relationship Id="rId1136" Type="http://schemas.openxmlformats.org/officeDocument/2006/relationships/hyperlink" Target="https://www.elsevier.com/reviewers/role" TargetMode="External"/><Relationship Id="rId1137" Type="http://schemas.openxmlformats.org/officeDocument/2006/relationships/hyperlink" Target="https://www.elsevier.com/reviewers/what-is-peer-review" TargetMode="External"/><Relationship Id="rId1138" Type="http://schemas.openxmlformats.org/officeDocument/2006/relationships/hyperlink" Target="https://www.elsevier.com/reviewers/how-to-review" TargetMode="External"/><Relationship Id="rId1139" Type="http://schemas.openxmlformats.org/officeDocument/2006/relationships/hyperlink" Target="https://www.elsevier.com/about/policies/copyright" TargetMode="External"/><Relationship Id="rId305" Type="http://schemas.openxmlformats.org/officeDocument/2006/relationships/hyperlink" Target="https://ccr.msubmit.net/cgi-bin/main.plex?form_type=display_rev_instructions" TargetMode="External"/><Relationship Id="rId547" Type="http://schemas.openxmlformats.org/officeDocument/2006/relationships/hyperlink" Target="https://academic.oup.com/joc/pages/General_Instructions" TargetMode="External"/><Relationship Id="rId789" Type="http://schemas.openxmlformats.org/officeDocument/2006/relationships/hyperlink" Target="https://www.nature.com/authors/author_resources/transfer_manuscripts.html" TargetMode="External"/><Relationship Id="rId304" Type="http://schemas.openxmlformats.org/officeDocument/2006/relationships/hyperlink" Target="http://aacrjournals.org/content/authors/editorial-policies" TargetMode="External"/><Relationship Id="rId546" Type="http://schemas.openxmlformats.org/officeDocument/2006/relationships/hyperlink" Target="https://authorservices.wiley.com/open-science/open-access/about-wiley-open-access/manuscript-transfer-program.html" TargetMode="External"/><Relationship Id="rId788" Type="http://schemas.openxmlformats.org/officeDocument/2006/relationships/hyperlink" Target="https://www.nature.com/authors/policies/peer_review.html" TargetMode="External"/><Relationship Id="rId303" Type="http://schemas.openxmlformats.org/officeDocument/2006/relationships/hyperlink" Target="https://ccr.msubmit.net/cgi-bin/main.plex?form_type=display_rev_instructions" TargetMode="External"/><Relationship Id="rId545" Type="http://schemas.openxmlformats.org/officeDocument/2006/relationships/hyperlink" Target="https://onlinelibrary.wiley.com/page/journal/14602466/homepage/forauthors.html" TargetMode="External"/><Relationship Id="rId787" Type="http://schemas.openxmlformats.org/officeDocument/2006/relationships/hyperlink" Target="https://www.nature.com/authors/policies/peer_review.html" TargetMode="External"/><Relationship Id="rId302" Type="http://schemas.openxmlformats.org/officeDocument/2006/relationships/hyperlink" Target="http://aacrjournals.org/content/authors/manuscript-transfer" TargetMode="External"/><Relationship Id="rId544" Type="http://schemas.openxmlformats.org/officeDocument/2006/relationships/hyperlink" Target="http://ascopubs.org/jco/site/ifc/journal-policies.xhtml" TargetMode="External"/><Relationship Id="rId786" Type="http://schemas.openxmlformats.org/officeDocument/2006/relationships/hyperlink" Target="https://www.nature.com/authors/policies/preprints.html" TargetMode="External"/><Relationship Id="rId309" Type="http://schemas.openxmlformats.org/officeDocument/2006/relationships/hyperlink" Target="https://www.elsevier.com/reviewers/what-is-peer-review" TargetMode="External"/><Relationship Id="rId308" Type="http://schemas.openxmlformats.org/officeDocument/2006/relationships/hyperlink" Target="https://www.elsevier.com/authors/journal-authors/submit-your-paper" TargetMode="External"/><Relationship Id="rId307" Type="http://schemas.openxmlformats.org/officeDocument/2006/relationships/hyperlink" Target="https://www.elsevier.com/reviewers/role" TargetMode="External"/><Relationship Id="rId549" Type="http://schemas.openxmlformats.org/officeDocument/2006/relationships/hyperlink" Target="https://academic.oup.com/joc/pages/General_Instructions" TargetMode="External"/><Relationship Id="rId306" Type="http://schemas.openxmlformats.org/officeDocument/2006/relationships/hyperlink" Target="https://www.elsevier.com/reviewers/how-to-review" TargetMode="External"/><Relationship Id="rId548" Type="http://schemas.openxmlformats.org/officeDocument/2006/relationships/hyperlink" Target="https://academic.oup.com/journals/pages/access_purchase/rights_and_permissions/self_archiving_policy_f" TargetMode="External"/><Relationship Id="rId781" Type="http://schemas.openxmlformats.org/officeDocument/2006/relationships/hyperlink" Target="https://www.nature.com/authors/peer_review/index.html" TargetMode="External"/><Relationship Id="rId780" Type="http://schemas.openxmlformats.org/officeDocument/2006/relationships/hyperlink" Target="https://www.nature.com/authors/policies/preprints.html" TargetMode="External"/><Relationship Id="rId1130" Type="http://schemas.openxmlformats.org/officeDocument/2006/relationships/hyperlink" Target="https://www.elsevier.com/journals/tourism-management/0261-5177/guide-for-authors" TargetMode="External"/><Relationship Id="rId1131" Type="http://schemas.openxmlformats.org/officeDocument/2006/relationships/hyperlink" Target="https://www.elsevier.com/reviewers/role" TargetMode="External"/><Relationship Id="rId301" Type="http://schemas.openxmlformats.org/officeDocument/2006/relationships/hyperlink" Target="http://aacrjournals.org/site/Info/Reviewers.xhtml" TargetMode="External"/><Relationship Id="rId543" Type="http://schemas.openxmlformats.org/officeDocument/2006/relationships/hyperlink" Target="http://ascopubs.org/reviewers" TargetMode="External"/><Relationship Id="rId785" Type="http://schemas.openxmlformats.org/officeDocument/2006/relationships/hyperlink" Target="https://www.nature.com/nmeth/for-referees/policies-and-processes" TargetMode="External"/><Relationship Id="rId1132" Type="http://schemas.openxmlformats.org/officeDocument/2006/relationships/hyperlink" Target="https://www.elsevier.com/reviewers/what-is-peer-review" TargetMode="External"/><Relationship Id="rId300" Type="http://schemas.openxmlformats.org/officeDocument/2006/relationships/hyperlink" Target="http://aacrjournals.org/content/authors/editorial-process" TargetMode="External"/><Relationship Id="rId542" Type="http://schemas.openxmlformats.org/officeDocument/2006/relationships/hyperlink" Target="http://ascopubs.org/jco/site/ifc/my-article-was-submitted.xhtml" TargetMode="External"/><Relationship Id="rId784" Type="http://schemas.openxmlformats.org/officeDocument/2006/relationships/hyperlink" Target="https://www.nature.com/authors/author_resources/transfer_manuscripts.html" TargetMode="External"/><Relationship Id="rId1133" Type="http://schemas.openxmlformats.org/officeDocument/2006/relationships/hyperlink" Target="https://www.elsevier.com/reviewers/how-to-review" TargetMode="External"/><Relationship Id="rId541" Type="http://schemas.openxmlformats.org/officeDocument/2006/relationships/hyperlink" Target="http://ascopubs.org/jco/site/ifc/journal-policies.xhtml" TargetMode="External"/><Relationship Id="rId783" Type="http://schemas.openxmlformats.org/officeDocument/2006/relationships/hyperlink" Target="https://www.nature.com/authors/policies/peer_review.html" TargetMode="External"/><Relationship Id="rId1134" Type="http://schemas.openxmlformats.org/officeDocument/2006/relationships/hyperlink" Target="https://www.elsevier.com/about/policies/sharing" TargetMode="External"/><Relationship Id="rId540" Type="http://schemas.openxmlformats.org/officeDocument/2006/relationships/hyperlink" Target="http://ascopubs.org/reviewers" TargetMode="External"/><Relationship Id="rId782" Type="http://schemas.openxmlformats.org/officeDocument/2006/relationships/hyperlink" Target="https://www.nature.com/authors/policies/peer_review.html" TargetMode="External"/><Relationship Id="rId1135" Type="http://schemas.openxmlformats.org/officeDocument/2006/relationships/hyperlink" Target="https://www.elsevier.com/journals/world-development/0305-750x/guide-for-authors" TargetMode="External"/><Relationship Id="rId1125" Type="http://schemas.openxmlformats.org/officeDocument/2006/relationships/hyperlink" Target="https://www.elsevier.com/reviewers/role" TargetMode="External"/><Relationship Id="rId1126" Type="http://schemas.openxmlformats.org/officeDocument/2006/relationships/hyperlink" Target="https://www.elsevier.com/reviewers/what-is-peer-review" TargetMode="External"/><Relationship Id="rId1127" Type="http://schemas.openxmlformats.org/officeDocument/2006/relationships/hyperlink" Target="https://www.elsevier.com/reviewers/how-to-review" TargetMode="External"/><Relationship Id="rId1128" Type="http://schemas.openxmlformats.org/officeDocument/2006/relationships/hyperlink" Target="https://www.elsevier.com/about/policies/copyright" TargetMode="External"/><Relationship Id="rId1129" Type="http://schemas.openxmlformats.org/officeDocument/2006/relationships/hyperlink" Target="https://www.elsevier.com/about/policies/sharing" TargetMode="External"/><Relationship Id="rId536" Type="http://schemas.openxmlformats.org/officeDocument/2006/relationships/hyperlink" Target="https://www.elsevier.com/reviewers/what-is-peer-review" TargetMode="External"/><Relationship Id="rId778" Type="http://schemas.openxmlformats.org/officeDocument/2006/relationships/hyperlink" Target="https://www.nature.com/authors/policies/peer_review.html" TargetMode="External"/><Relationship Id="rId535" Type="http://schemas.openxmlformats.org/officeDocument/2006/relationships/hyperlink" Target="https://www.elsevier.com/reviewers/role" TargetMode="External"/><Relationship Id="rId777" Type="http://schemas.openxmlformats.org/officeDocument/2006/relationships/hyperlink" Target="https://www.nature.com/authors/policies/peer_review.html" TargetMode="External"/><Relationship Id="rId534" Type="http://schemas.openxmlformats.org/officeDocument/2006/relationships/hyperlink" Target="https://www.elsevier.com/journals/journal-of-cleaner-production/0959-6526/guide-for-authors" TargetMode="External"/><Relationship Id="rId776" Type="http://schemas.openxmlformats.org/officeDocument/2006/relationships/hyperlink" Target="https://www.nature.com/authors/policies/preprints.html" TargetMode="External"/><Relationship Id="rId533" Type="http://schemas.openxmlformats.org/officeDocument/2006/relationships/hyperlink" Target="https://www.elsevier.com/about/policies/sharing" TargetMode="External"/><Relationship Id="rId775" Type="http://schemas.openxmlformats.org/officeDocument/2006/relationships/hyperlink" Target="https://www.nature.com/nm/for-referees/policies-and-processes" TargetMode="External"/><Relationship Id="rId539" Type="http://schemas.openxmlformats.org/officeDocument/2006/relationships/hyperlink" Target="http://ascopubs.org/jco/site/ifc/my-article-was-submitted.xhtml" TargetMode="External"/><Relationship Id="rId538" Type="http://schemas.openxmlformats.org/officeDocument/2006/relationships/hyperlink" Target="https://www.elsevier.com/about/policies/sharing" TargetMode="External"/><Relationship Id="rId537" Type="http://schemas.openxmlformats.org/officeDocument/2006/relationships/hyperlink" Target="https://www.elsevier.com/reviewers/how-to-review" TargetMode="External"/><Relationship Id="rId779" Type="http://schemas.openxmlformats.org/officeDocument/2006/relationships/hyperlink" Target="https://www.nature.com/authors/author_resources/transfer_manuscripts.html" TargetMode="External"/><Relationship Id="rId770" Type="http://schemas.openxmlformats.org/officeDocument/2006/relationships/hyperlink" Target="https://www.nature.com/authors/policies/preprints.html" TargetMode="External"/><Relationship Id="rId1120" Type="http://schemas.openxmlformats.org/officeDocument/2006/relationships/hyperlink" Target="https://academic.oup.com/journals/pages/access_purchase/rights_and_permissions/self_archiving_policy_f" TargetMode="External"/><Relationship Id="rId532" Type="http://schemas.openxmlformats.org/officeDocument/2006/relationships/hyperlink" Target="https://www.elsevier.com/about/policies/copyright" TargetMode="External"/><Relationship Id="rId774" Type="http://schemas.openxmlformats.org/officeDocument/2006/relationships/hyperlink" Target="https://www.nature.com/authors/author_resources/transfer_manuscripts.html" TargetMode="External"/><Relationship Id="rId1121" Type="http://schemas.openxmlformats.org/officeDocument/2006/relationships/hyperlink" Target="https://academic.oup.com/journals/pages/access_purchase/rights_and_permissions/self_archiving_policy_f" TargetMode="External"/><Relationship Id="rId531" Type="http://schemas.openxmlformats.org/officeDocument/2006/relationships/hyperlink" Target="https://www.elsevier.com/reviewers/how-to-review" TargetMode="External"/><Relationship Id="rId773" Type="http://schemas.openxmlformats.org/officeDocument/2006/relationships/hyperlink" Target="https://www.nature.com/authors/policies/peer_review.html" TargetMode="External"/><Relationship Id="rId1122" Type="http://schemas.openxmlformats.org/officeDocument/2006/relationships/hyperlink" Target="https://academic.oup.com/journals/pages/access_purchase/rights_and_permissions/self_archiving_policy_f" TargetMode="External"/><Relationship Id="rId530" Type="http://schemas.openxmlformats.org/officeDocument/2006/relationships/hyperlink" Target="https://www.elsevier.com/reviewers/what-is-peer-review" TargetMode="External"/><Relationship Id="rId772" Type="http://schemas.openxmlformats.org/officeDocument/2006/relationships/hyperlink" Target="https://www.nature.com/authors/policies/peer_review.html" TargetMode="External"/><Relationship Id="rId1123" Type="http://schemas.openxmlformats.org/officeDocument/2006/relationships/hyperlink" Target="https://academic.oup.com/journals/pages/access_purchase/rights_and_permissions/self_archiving_policy_f" TargetMode="External"/><Relationship Id="rId771" Type="http://schemas.openxmlformats.org/officeDocument/2006/relationships/hyperlink" Target="https://www.nature.com/authors/peer_review/index.html" TargetMode="External"/><Relationship Id="rId1124" Type="http://schemas.openxmlformats.org/officeDocument/2006/relationships/hyperlink" Target="https://www.elsevier.com/journals/tourism-management/0261-5177/guide-for-authors" TargetMode="External"/><Relationship Id="rId327" Type="http://schemas.openxmlformats.org/officeDocument/2006/relationships/hyperlink" Target="http://www.diabetesjournals.org/for-reviewers" TargetMode="External"/><Relationship Id="rId569" Type="http://schemas.openxmlformats.org/officeDocument/2006/relationships/hyperlink" Target="https://publications.agu.org/reviewer-resources/" TargetMode="External"/><Relationship Id="rId326" Type="http://schemas.openxmlformats.org/officeDocument/2006/relationships/hyperlink" Target="http://www.diabetesjournals.org/for-reviewers" TargetMode="External"/><Relationship Id="rId568" Type="http://schemas.openxmlformats.org/officeDocument/2006/relationships/hyperlink" Target="https://www.elsevier.com/authors/journal-authors/submit-your-paper/submit-and-revise/article-transfer-service" TargetMode="External"/><Relationship Id="rId325" Type="http://schemas.openxmlformats.org/officeDocument/2006/relationships/hyperlink" Target="http://www.diabetesjournals.org/content/journal-policies" TargetMode="External"/><Relationship Id="rId567" Type="http://schemas.openxmlformats.org/officeDocument/2006/relationships/hyperlink" Target="https://www.elsevier.com/authors/journal-authors/submit-your-paper/submit-and-revise/article-transfer-service" TargetMode="External"/><Relationship Id="rId324" Type="http://schemas.openxmlformats.org/officeDocument/2006/relationships/hyperlink" Target="http://www.diabetesjournals.org/for-reviewers" TargetMode="External"/><Relationship Id="rId566" Type="http://schemas.openxmlformats.org/officeDocument/2006/relationships/hyperlink" Target="https://www.apa.org/pubs/journals/resources/open-science.aspx" TargetMode="External"/><Relationship Id="rId329" Type="http://schemas.openxmlformats.org/officeDocument/2006/relationships/hyperlink" Target="http://care.diabetesjournals.org/content/early/recent" TargetMode="External"/><Relationship Id="rId328" Type="http://schemas.openxmlformats.org/officeDocument/2006/relationships/hyperlink" Target="http://www.diabetesjournals.org/content/journal-policies" TargetMode="External"/><Relationship Id="rId561" Type="http://schemas.openxmlformats.org/officeDocument/2006/relationships/hyperlink" Target="https://www.aeaweb.org/journals/jep/submissions" TargetMode="External"/><Relationship Id="rId560" Type="http://schemas.openxmlformats.org/officeDocument/2006/relationships/hyperlink" Target="https://www.aeaweb.org/journals/jep/submissions" TargetMode="External"/><Relationship Id="rId323" Type="http://schemas.openxmlformats.org/officeDocument/2006/relationships/hyperlink" Target="http://care.diabetesjournals.org/content/early/recent" TargetMode="External"/><Relationship Id="rId565" Type="http://schemas.openxmlformats.org/officeDocument/2006/relationships/hyperlink" Target="https://www.apa.org/pubs/journals/reviewer-instructions.pdf" TargetMode="External"/><Relationship Id="rId322" Type="http://schemas.openxmlformats.org/officeDocument/2006/relationships/hyperlink" Target="http://www.diabetesjournals.org/content/journal-policies" TargetMode="External"/><Relationship Id="rId564" Type="http://schemas.openxmlformats.org/officeDocument/2006/relationships/hyperlink" Target="https://www.apa.org/pubs/journals/resources/open-science.aspx" TargetMode="External"/><Relationship Id="rId321" Type="http://schemas.openxmlformats.org/officeDocument/2006/relationships/hyperlink" Target="http://www.diabetesjournals.org/for-reviewers" TargetMode="External"/><Relationship Id="rId563" Type="http://schemas.openxmlformats.org/officeDocument/2006/relationships/hyperlink" Target="https://www.apa.org/pubs/journals/reviewer-instructions.pdf" TargetMode="External"/><Relationship Id="rId320" Type="http://schemas.openxmlformats.org/officeDocument/2006/relationships/hyperlink" Target="http://www.diabetesjournals.org/content/journal-policies" TargetMode="External"/><Relationship Id="rId562" Type="http://schemas.openxmlformats.org/officeDocument/2006/relationships/hyperlink" Target="https://www.elsevier.com/reviewers/role" TargetMode="External"/><Relationship Id="rId316" Type="http://schemas.openxmlformats.org/officeDocument/2006/relationships/hyperlink" Target="https://www.elsevier.com/authors/journal-authors/submit-your-paper" TargetMode="External"/><Relationship Id="rId558" Type="http://schemas.openxmlformats.org/officeDocument/2006/relationships/hyperlink" Target="https://publishingsupport.iopscience.iop.org/questions/ethics-for-reviewers/" TargetMode="External"/><Relationship Id="rId315" Type="http://schemas.openxmlformats.org/officeDocument/2006/relationships/hyperlink" Target="https://www.elsevier.com/reviewers/role" TargetMode="External"/><Relationship Id="rId557" Type="http://schemas.openxmlformats.org/officeDocument/2006/relationships/hyperlink" Target="https://publishingsupport.iopscience.iop.org/questions/article-transfer-service/" TargetMode="External"/><Relationship Id="rId799" Type="http://schemas.openxmlformats.org/officeDocument/2006/relationships/hyperlink" Target="https://www.nature.com/authors/author_resources/transfer_manuscripts.html" TargetMode="External"/><Relationship Id="rId314" Type="http://schemas.openxmlformats.org/officeDocument/2006/relationships/hyperlink" Target="https://www.elsevier.com/journals/computers-and-education/0360-1315?generatepdf=true" TargetMode="External"/><Relationship Id="rId556" Type="http://schemas.openxmlformats.org/officeDocument/2006/relationships/hyperlink" Target="https://publishingsupport.iopscience.iop.org/becoming-a-journal-reviewer/" TargetMode="External"/><Relationship Id="rId798" Type="http://schemas.openxmlformats.org/officeDocument/2006/relationships/hyperlink" Target="https://www.nature.com/authors/policies/peer_review.html" TargetMode="External"/><Relationship Id="rId313" Type="http://schemas.openxmlformats.org/officeDocument/2006/relationships/hyperlink" Target="https://www.elsevier.com/journals/computers-and-education/0360-1315?generatepdf=true" TargetMode="External"/><Relationship Id="rId555" Type="http://schemas.openxmlformats.org/officeDocument/2006/relationships/hyperlink" Target="https://publishingsupport.iopscience.iop.org/becoming-a-journal-reviewer/" TargetMode="External"/><Relationship Id="rId797" Type="http://schemas.openxmlformats.org/officeDocument/2006/relationships/hyperlink" Target="https://www.nature.com/authors/policies/peer_review.html" TargetMode="External"/><Relationship Id="rId319" Type="http://schemas.openxmlformats.org/officeDocument/2006/relationships/hyperlink" Target="https://www.elsevier.com/journals/computers-and-education/0360-1315/guide-for-authors" TargetMode="External"/><Relationship Id="rId318" Type="http://schemas.openxmlformats.org/officeDocument/2006/relationships/hyperlink" Target="https://www.elsevier.com/journals/computers-and-education/0360-1315?generatepdf=true" TargetMode="External"/><Relationship Id="rId317" Type="http://schemas.openxmlformats.org/officeDocument/2006/relationships/hyperlink" Target="https://www.elsevier.com/reviewers/what-is-peer-review" TargetMode="External"/><Relationship Id="rId559" Type="http://schemas.openxmlformats.org/officeDocument/2006/relationships/hyperlink" Target="https://jcap.sissa.it/jcap/help/helpLoader.jsp?pgType=flow" TargetMode="External"/><Relationship Id="rId550" Type="http://schemas.openxmlformats.org/officeDocument/2006/relationships/hyperlink" Target="https://academic.oup.com/journals/pages/access_purchase/rights_and_permissions/self_archiving_policy_f" TargetMode="External"/><Relationship Id="rId792" Type="http://schemas.openxmlformats.org/officeDocument/2006/relationships/hyperlink" Target="https://www.nature.com/authors/policies/peer_review.html" TargetMode="External"/><Relationship Id="rId791" Type="http://schemas.openxmlformats.org/officeDocument/2006/relationships/hyperlink" Target="https://www.nature.com/authors/peer_review/index.html" TargetMode="External"/><Relationship Id="rId1140" Type="http://schemas.openxmlformats.org/officeDocument/2006/relationships/hyperlink" Target="https://www.elsevier.com/journals/world-development/0305-750x/guide-for-authors" TargetMode="External"/><Relationship Id="rId790" Type="http://schemas.openxmlformats.org/officeDocument/2006/relationships/hyperlink" Target="https://www.nature.com/authors/policies/preprints.html" TargetMode="External"/><Relationship Id="rId1141" Type="http://schemas.openxmlformats.org/officeDocument/2006/relationships/hyperlink" Target="https://www.elsevier.com/reviewers/role" TargetMode="External"/><Relationship Id="rId1142" Type="http://schemas.openxmlformats.org/officeDocument/2006/relationships/hyperlink" Target="https://www.elsevier.com/reviewers/what-is-peer-review" TargetMode="External"/><Relationship Id="rId312" Type="http://schemas.openxmlformats.org/officeDocument/2006/relationships/hyperlink" Target="https://www.elsevier.com/journals/computers-and-education/0360-1315?generatepdf=true" TargetMode="External"/><Relationship Id="rId554" Type="http://schemas.openxmlformats.org/officeDocument/2006/relationships/hyperlink" Target="https://publishingsupport.iopscience.iop.org/becoming-a-journal-reviewer/" TargetMode="External"/><Relationship Id="rId796" Type="http://schemas.openxmlformats.org/officeDocument/2006/relationships/hyperlink" Target="https://www.nature.com/authors/policies/preprints.html" TargetMode="External"/><Relationship Id="rId1143" Type="http://schemas.openxmlformats.org/officeDocument/2006/relationships/hyperlink" Target="https://www.elsevier.com/reviewers/how-to-review" TargetMode="External"/><Relationship Id="rId311" Type="http://schemas.openxmlformats.org/officeDocument/2006/relationships/hyperlink" Target="https://www.elsevier.com/journals/computers-and-education/0360-1315/guide-for-authors" TargetMode="External"/><Relationship Id="rId553" Type="http://schemas.openxmlformats.org/officeDocument/2006/relationships/hyperlink" Target="https://jcap.sissa.it/jcap/help/helpLoader.jsp?pgType=flow" TargetMode="External"/><Relationship Id="rId795" Type="http://schemas.openxmlformats.org/officeDocument/2006/relationships/hyperlink" Target="https://www.nature.com/nnano/for-referees/policies-and-processes" TargetMode="External"/><Relationship Id="rId1144" Type="http://schemas.openxmlformats.org/officeDocument/2006/relationships/hyperlink" Target="https://www.elsevier.com/about/policies/sharing" TargetMode="External"/><Relationship Id="rId310" Type="http://schemas.openxmlformats.org/officeDocument/2006/relationships/hyperlink" Target="https://www.elsevier.com/about/policies/sharing" TargetMode="External"/><Relationship Id="rId552" Type="http://schemas.openxmlformats.org/officeDocument/2006/relationships/hyperlink" Target="https://publishingsupport.iopscience.iop.org/questions/article-transfer-service/" TargetMode="External"/><Relationship Id="rId794" Type="http://schemas.openxmlformats.org/officeDocument/2006/relationships/hyperlink" Target="https://www.nature.com/authors/author_resources/transfer_manuscripts.html" TargetMode="External"/><Relationship Id="rId1145" Type="http://schemas.openxmlformats.org/officeDocument/2006/relationships/drawing" Target="../drawings/drawing1.xml"/><Relationship Id="rId551" Type="http://schemas.openxmlformats.org/officeDocument/2006/relationships/hyperlink" Target="https://publishingsupport.iopscience.iop.org/becoming-a-journal-reviewer/" TargetMode="External"/><Relationship Id="rId793" Type="http://schemas.openxmlformats.org/officeDocument/2006/relationships/hyperlink" Target="https://www.nature.com/authors/policies/peer_review.html" TargetMode="External"/><Relationship Id="rId1146" Type="http://schemas.openxmlformats.org/officeDocument/2006/relationships/vmlDrawing" Target="../drawings/vmlDrawing1.vml"/><Relationship Id="rId297" Type="http://schemas.openxmlformats.org/officeDocument/2006/relationships/hyperlink" Target="http://aacrjournals.org/content/authors/editorial-policies" TargetMode="External"/><Relationship Id="rId296" Type="http://schemas.openxmlformats.org/officeDocument/2006/relationships/hyperlink" Target="http://aacrjournals.org/content/authors/manuscript-transfer" TargetMode="External"/><Relationship Id="rId295" Type="http://schemas.openxmlformats.org/officeDocument/2006/relationships/hyperlink" Target="http://aacrjournals.org/site/Info/Reviewers.xhtml" TargetMode="External"/><Relationship Id="rId294" Type="http://schemas.openxmlformats.org/officeDocument/2006/relationships/hyperlink" Target="http://aacrjournals.org/content/authors/editorial-process" TargetMode="External"/><Relationship Id="rId299" Type="http://schemas.openxmlformats.org/officeDocument/2006/relationships/hyperlink" Target="https://ccr.msubmit.net/cgi-bin/main.plex?form_type=display_rev_instructions" TargetMode="External"/><Relationship Id="rId298" Type="http://schemas.openxmlformats.org/officeDocument/2006/relationships/hyperlink" Target="https://ccr.msubmit.net/cgi-bin/main.plex?form_type=display_rev_instructions" TargetMode="External"/><Relationship Id="rId271" Type="http://schemas.openxmlformats.org/officeDocument/2006/relationships/hyperlink" Target="https://pubs.acs.org/paragonplus/submission/cmatex/cmatex_scope.pdf" TargetMode="External"/><Relationship Id="rId270" Type="http://schemas.openxmlformats.org/officeDocument/2006/relationships/hyperlink" Target="http://www.rsc.org/journals-books-databases/journal-authors-reviewers/processes-policies/" TargetMode="External"/><Relationship Id="rId269" Type="http://schemas.openxmlformats.org/officeDocument/2006/relationships/hyperlink" Target="https://www.rsc.org/journals-books-databases/journal-authors-reviewers/reviewer-responsibilities/" TargetMode="External"/><Relationship Id="rId264" Type="http://schemas.openxmlformats.org/officeDocument/2006/relationships/hyperlink" Target="http://www.rsc.org/journals-books-databases/about-journals/chemcomm/" TargetMode="External"/><Relationship Id="rId263" Type="http://schemas.openxmlformats.org/officeDocument/2006/relationships/hyperlink" Target="http://www.rsc.org/journals-books-databases/journal-authors-reviewers/processes-policies/" TargetMode="External"/><Relationship Id="rId262" Type="http://schemas.openxmlformats.org/officeDocument/2006/relationships/hyperlink" Target="http://www.rsc.org/journals-books-databases/journal-authors-reviewers/processes-policies/" TargetMode="External"/><Relationship Id="rId261" Type="http://schemas.openxmlformats.org/officeDocument/2006/relationships/hyperlink" Target="http://www.rsc.org/journals-books-databases/journal-authors-reviewers/reviewer-responsibilities/" TargetMode="External"/><Relationship Id="rId268" Type="http://schemas.openxmlformats.org/officeDocument/2006/relationships/hyperlink" Target="http://www.rsc.org/journals-books-databases/journal-authors-reviewers/processes-policies/" TargetMode="External"/><Relationship Id="rId267" Type="http://schemas.openxmlformats.org/officeDocument/2006/relationships/hyperlink" Target="http://www.rsc.org/journals-books-databases/journal-authors-reviewers/reviewer-responsibilities/" TargetMode="External"/><Relationship Id="rId266" Type="http://schemas.openxmlformats.org/officeDocument/2006/relationships/hyperlink" Target="http://www.rsc.org/journals-books-databases/journal-authors-reviewers/reviewer-responsibilities/" TargetMode="External"/><Relationship Id="rId265" Type="http://schemas.openxmlformats.org/officeDocument/2006/relationships/hyperlink" Target="https://www.rsc.org/journals-books-databases/journal-authors-reviewers/reviewer-responsibilities/" TargetMode="External"/><Relationship Id="rId260" Type="http://schemas.openxmlformats.org/officeDocument/2006/relationships/hyperlink" Target="http://www.rsc.org/journals-books-databases/journal-authors-reviewers/reviewer-responsibilities/" TargetMode="External"/><Relationship Id="rId259" Type="http://schemas.openxmlformats.org/officeDocument/2006/relationships/hyperlink" Target="https://pubs.acs.org/page/chreay/submission/prior.html" TargetMode="External"/><Relationship Id="rId258" Type="http://schemas.openxmlformats.org/officeDocument/2006/relationships/hyperlink" Target="https://pubs.acs.org/page/policy/manuscript_transfer/index.html" TargetMode="External"/><Relationship Id="rId253" Type="http://schemas.openxmlformats.org/officeDocument/2006/relationships/hyperlink" Target="https://pubs.acs.org/page/chreay/submission/reviewers.html" TargetMode="External"/><Relationship Id="rId495" Type="http://schemas.openxmlformats.org/officeDocument/2006/relationships/hyperlink" Target="https://www.jacionline.org/content/authorinfo" TargetMode="External"/><Relationship Id="rId252" Type="http://schemas.openxmlformats.org/officeDocument/2006/relationships/hyperlink" Target="http://www.rsc.org/journals-books-databases/journal-authors-reviewers/processes-policies/" TargetMode="External"/><Relationship Id="rId494" Type="http://schemas.openxmlformats.org/officeDocument/2006/relationships/hyperlink" Target="https://jamanetwork.com/journals/jama/pages/instructions-for-authors" TargetMode="External"/><Relationship Id="rId251" Type="http://schemas.openxmlformats.org/officeDocument/2006/relationships/hyperlink" Target="http://www.rsc.org/journals-books-databases/journal-authors-reviewers/processes-policies/" TargetMode="External"/><Relationship Id="rId493" Type="http://schemas.openxmlformats.org/officeDocument/2006/relationships/hyperlink" Target="https://jamanetwork.com/journals/jama/pages/instructions-for-authors" TargetMode="External"/><Relationship Id="rId250" Type="http://schemas.openxmlformats.org/officeDocument/2006/relationships/hyperlink" Target="http://www.rsc.org/journals-books-databases/journal-authors-reviewers/reviewer-responsibilities/" TargetMode="External"/><Relationship Id="rId492" Type="http://schemas.openxmlformats.org/officeDocument/2006/relationships/hyperlink" Target="https://jamanetwork.com/journals/jama/pages/instructions-for-authors" TargetMode="External"/><Relationship Id="rId257" Type="http://schemas.openxmlformats.org/officeDocument/2006/relationships/hyperlink" Target="https://pubs.acs.org/page/chreay/submission/reviewers.html" TargetMode="External"/><Relationship Id="rId499" Type="http://schemas.openxmlformats.org/officeDocument/2006/relationships/hyperlink" Target="https://www.jacionline.org/content/authorinfo" TargetMode="External"/><Relationship Id="rId256" Type="http://schemas.openxmlformats.org/officeDocument/2006/relationships/hyperlink" Target="https://pubs.acs.org/paragonplus/submission/chreay/chreay_authguide.pdf" TargetMode="External"/><Relationship Id="rId498" Type="http://schemas.openxmlformats.org/officeDocument/2006/relationships/hyperlink" Target="https://www.jacionline.org/article/S0091-6749(05)02623-0/fulltext" TargetMode="External"/><Relationship Id="rId255" Type="http://schemas.openxmlformats.org/officeDocument/2006/relationships/hyperlink" Target="https://pubs.acs.org/page/chreay/submission/prior.html" TargetMode="External"/><Relationship Id="rId497" Type="http://schemas.openxmlformats.org/officeDocument/2006/relationships/hyperlink" Target="https://www.elsevier.com/about/policies/sharing" TargetMode="External"/><Relationship Id="rId254" Type="http://schemas.openxmlformats.org/officeDocument/2006/relationships/hyperlink" Target="https://pubs.acs.org/page/policy/manuscript_transfer/index.html" TargetMode="External"/><Relationship Id="rId496" Type="http://schemas.openxmlformats.org/officeDocument/2006/relationships/hyperlink" Target="https://www.elsevier.com/authors/journal-authors/submit-your-paper/submit-and-revise/article-transfer-service" TargetMode="External"/><Relationship Id="rId293" Type="http://schemas.openxmlformats.org/officeDocument/2006/relationships/hyperlink" Target="https://www.ahajournals.org/pb-assets/Ethical%20ConductPolicyApril2017finalWeb.pdf" TargetMode="External"/><Relationship Id="rId292" Type="http://schemas.openxmlformats.org/officeDocument/2006/relationships/hyperlink" Target="https://www.ahajournals.org/prior-publication-policy" TargetMode="External"/><Relationship Id="rId291" Type="http://schemas.openxmlformats.org/officeDocument/2006/relationships/hyperlink" Target="https://www.ahajournals.org/pb-assets/Ethical%20ConductPolicyApril2017finalWeb.pdf" TargetMode="External"/><Relationship Id="rId290" Type="http://schemas.openxmlformats.org/officeDocument/2006/relationships/hyperlink" Target="https://www.ahajournals.org/pb-assets/Ethical%20ConductPolicyApril2017finalWeb.pdf" TargetMode="External"/><Relationship Id="rId286" Type="http://schemas.openxmlformats.org/officeDocument/2006/relationships/hyperlink" Target="https://www.ahajournals.org/pb-assets/Ethical%20ConductPolicyApril2017finalWeb.pdf" TargetMode="External"/><Relationship Id="rId285" Type="http://schemas.openxmlformats.org/officeDocument/2006/relationships/hyperlink" Target="https://www.ahajournals.org/pb-assets/Ethical%20ConductPolicyApril2017finalWeb.pdf" TargetMode="External"/><Relationship Id="rId284" Type="http://schemas.openxmlformats.org/officeDocument/2006/relationships/hyperlink" Target="https://www.ahajournals.org/prior-publication-policy" TargetMode="External"/><Relationship Id="rId283" Type="http://schemas.openxmlformats.org/officeDocument/2006/relationships/hyperlink" Target="https://www.ahajournals.org/pb-assets/Ethical%20ConductPolicyApril2017finalWeb.pdf" TargetMode="External"/><Relationship Id="rId289" Type="http://schemas.openxmlformats.org/officeDocument/2006/relationships/hyperlink" Target="https://www.ahajournals.org/pb-assets/Ethical%20ConductPolicyApril2017finalWeb.pdf" TargetMode="External"/><Relationship Id="rId288" Type="http://schemas.openxmlformats.org/officeDocument/2006/relationships/hyperlink" Target="https://www.ahajournals.org/pb-assets/Ethical%20ConductPolicyApril2017finalWeb.pdf" TargetMode="External"/><Relationship Id="rId287" Type="http://schemas.openxmlformats.org/officeDocument/2006/relationships/hyperlink" Target="https://www.ahajournals.org/prior-publication-policy" TargetMode="External"/><Relationship Id="rId282" Type="http://schemas.openxmlformats.org/officeDocument/2006/relationships/hyperlink" Target="https://www.ahajournals.org/pb-assets/Ethical%20ConductPolicyApril2017finalWeb.pdf" TargetMode="External"/><Relationship Id="rId281" Type="http://schemas.openxmlformats.org/officeDocument/2006/relationships/hyperlink" Target="https://www.ahajournals.org/pb-assets/Ethical%20ConductPolicyApril2017finalWeb.pdf" TargetMode="External"/><Relationship Id="rId280" Type="http://schemas.openxmlformats.org/officeDocument/2006/relationships/hyperlink" Target="https://www.ahajournals.org/prior-publication-policy" TargetMode="External"/><Relationship Id="rId275" Type="http://schemas.openxmlformats.org/officeDocument/2006/relationships/hyperlink" Target="https://pubs.acs.org/paragonplus/submission/cmatex/cmatex_scope.pdf" TargetMode="External"/><Relationship Id="rId274" Type="http://schemas.openxmlformats.org/officeDocument/2006/relationships/hyperlink" Target="https://pubs.acs.org/paragonplus/submission/cmatex/cmatex_authguide.pdf" TargetMode="External"/><Relationship Id="rId273" Type="http://schemas.openxmlformats.org/officeDocument/2006/relationships/hyperlink" Target="https://pubs.acs.org/page/cmatex/submission/prior.html" TargetMode="External"/><Relationship Id="rId272" Type="http://schemas.openxmlformats.org/officeDocument/2006/relationships/hyperlink" Target="https://pubs.acs.org/page/policy/manuscript_transfer/index.html" TargetMode="External"/><Relationship Id="rId279" Type="http://schemas.openxmlformats.org/officeDocument/2006/relationships/hyperlink" Target="https://www.ahajournals.org/pb-assets/Ethical%20ConductPolicyApril2017finalWeb.pdf" TargetMode="External"/><Relationship Id="rId278" Type="http://schemas.openxmlformats.org/officeDocument/2006/relationships/hyperlink" Target="https://pubs.acs.org/paragonplus/submission/cmatex/cmatex_authguide.pdf" TargetMode="External"/><Relationship Id="rId277" Type="http://schemas.openxmlformats.org/officeDocument/2006/relationships/hyperlink" Target="https://pubs.acs.org/page/cmatex/submission/prior.html" TargetMode="External"/><Relationship Id="rId276" Type="http://schemas.openxmlformats.org/officeDocument/2006/relationships/hyperlink" Target="https://pubs.acs.org/page/policy/manuscript_transfer/index.html" TargetMode="External"/><Relationship Id="rId907" Type="http://schemas.openxmlformats.org/officeDocument/2006/relationships/hyperlink" Target="http://arxiv.org/" TargetMode="External"/><Relationship Id="rId906" Type="http://schemas.openxmlformats.org/officeDocument/2006/relationships/hyperlink" Target="https://academic.oup.com/nar/pages/Policies" TargetMode="External"/><Relationship Id="rId905" Type="http://schemas.openxmlformats.org/officeDocument/2006/relationships/hyperlink" Target="https://authorservices.wiley.com/author-resources/Journal-Authors/open-access/preprints-policy.html" TargetMode="External"/><Relationship Id="rId904" Type="http://schemas.openxmlformats.org/officeDocument/2006/relationships/hyperlink" Target="https://authorservices.wiley.com/Reviewers/journal-reviewers/how-to-perform-a-peer-review/general-and-ethical-guidelines.html" TargetMode="External"/><Relationship Id="rId909" Type="http://schemas.openxmlformats.org/officeDocument/2006/relationships/hyperlink" Target="https://academic.oup.com/nar/pages/Policies" TargetMode="External"/><Relationship Id="rId908" Type="http://schemas.openxmlformats.org/officeDocument/2006/relationships/hyperlink" Target="https://academic.oup.com/nar/article/47/1/1/5281443" TargetMode="External"/><Relationship Id="rId903" Type="http://schemas.openxmlformats.org/officeDocument/2006/relationships/hyperlink" Target="https://authorservices.wiley.com/Reviewers/journal-reviewers/recognition-for-reviewers/index.html" TargetMode="External"/><Relationship Id="rId902" Type="http://schemas.openxmlformats.org/officeDocument/2006/relationships/hyperlink" Target="https://onlinelibrary.wiley.com/page/journal/14680068/homepage/forauthors.html" TargetMode="External"/><Relationship Id="rId901" Type="http://schemas.openxmlformats.org/officeDocument/2006/relationships/hyperlink" Target="https://authorservices.wiley.com/author-resources/Journal-Authors/open-access/preprints-policy.html" TargetMode="External"/><Relationship Id="rId900" Type="http://schemas.openxmlformats.org/officeDocument/2006/relationships/hyperlink" Target="https://onlinelibrary.wiley.com/page/journal/14680068/homepage/forauthors.html" TargetMode="External"/><Relationship Id="rId929" Type="http://schemas.openxmlformats.org/officeDocument/2006/relationships/hyperlink" Target="https://journals.aps.org/prb/referees/guidelines-for-referees" TargetMode="External"/><Relationship Id="rId928" Type="http://schemas.openxmlformats.org/officeDocument/2006/relationships/hyperlink" Target="https://journals.aps.org/prb/authors/editorial-policies-practices" TargetMode="External"/><Relationship Id="rId927" Type="http://schemas.openxmlformats.org/officeDocument/2006/relationships/hyperlink" Target="https://journals.aps.org/prb/authors/editorial-policies-practices" TargetMode="External"/><Relationship Id="rId926" Type="http://schemas.openxmlformats.org/officeDocument/2006/relationships/hyperlink" Target="https://journals.aps.org/prb/authors/editorial-policies-practices" TargetMode="External"/><Relationship Id="rId921" Type="http://schemas.openxmlformats.org/officeDocument/2006/relationships/hyperlink" Target="http://www.aappublications.org/content/pediatrics-author-guidelines" TargetMode="External"/><Relationship Id="rId920" Type="http://schemas.openxmlformats.org/officeDocument/2006/relationships/hyperlink" Target="http://www.aappublications.org/content/pediatrics-reviewer-guidelines" TargetMode="External"/><Relationship Id="rId925" Type="http://schemas.openxmlformats.org/officeDocument/2006/relationships/hyperlink" Target="https://www.springer.com/philosophy/journal/11098" TargetMode="External"/><Relationship Id="rId924" Type="http://schemas.openxmlformats.org/officeDocument/2006/relationships/hyperlink" Target="https://www.springer.com/philosophy/journal/11098" TargetMode="External"/><Relationship Id="rId923" Type="http://schemas.openxmlformats.org/officeDocument/2006/relationships/hyperlink" Target="https://www.springer.com/philosophy/journal/11098" TargetMode="External"/><Relationship Id="rId922" Type="http://schemas.openxmlformats.org/officeDocument/2006/relationships/hyperlink" Target="http://www.aappublications.org/content/pediatrics-reviewer-guidelines" TargetMode="External"/><Relationship Id="rId918" Type="http://schemas.openxmlformats.org/officeDocument/2006/relationships/hyperlink" Target="http://www.aappublications.org/content/pediatrics-author-guidelines" TargetMode="External"/><Relationship Id="rId917" Type="http://schemas.openxmlformats.org/officeDocument/2006/relationships/hyperlink" Target="http://www.aappublications.org/content/pediatrics-reviewer-guidelines" TargetMode="External"/><Relationship Id="rId916" Type="http://schemas.openxmlformats.org/officeDocument/2006/relationships/hyperlink" Target="https://www.osapublishing.org/submit/review/peer_review.cfm" TargetMode="External"/><Relationship Id="rId915" Type="http://schemas.openxmlformats.org/officeDocument/2006/relationships/hyperlink" Target="https://www.osapublishing.org/oe/submit/review/outstandingreviewers.cfm" TargetMode="External"/><Relationship Id="rId919" Type="http://schemas.openxmlformats.org/officeDocument/2006/relationships/hyperlink" Target="http://www.aappublications.org/content/pediatrics-reviewer-guidelines" TargetMode="External"/><Relationship Id="rId910" Type="http://schemas.openxmlformats.org/officeDocument/2006/relationships/hyperlink" Target="http://arxiv.org/" TargetMode="External"/><Relationship Id="rId914" Type="http://schemas.openxmlformats.org/officeDocument/2006/relationships/hyperlink" Target="https://www.osapublishing.org/submit/review/peer_review.cfm" TargetMode="External"/><Relationship Id="rId913" Type="http://schemas.openxmlformats.org/officeDocument/2006/relationships/hyperlink" Target="https://www.osapublishing.org/oe/submit/review/outstandingreviewers.cfm" TargetMode="External"/><Relationship Id="rId912" Type="http://schemas.openxmlformats.org/officeDocument/2006/relationships/hyperlink" Target="https://www.osapublishing.org/submit/review/peer_review.cfm" TargetMode="External"/><Relationship Id="rId911" Type="http://schemas.openxmlformats.org/officeDocument/2006/relationships/hyperlink" Target="https://www.osapublishing.org/submit/review/peer_review.cfm" TargetMode="External"/><Relationship Id="rId629" Type="http://schemas.openxmlformats.org/officeDocument/2006/relationships/hyperlink" Target="https://www.tandfonline.com/action/authorSubmission?journalCode=rjos20&amp;page=instructions" TargetMode="External"/><Relationship Id="rId624" Type="http://schemas.openxmlformats.org/officeDocument/2006/relationships/hyperlink" Target="https://us.sagepub.com/en-us/nam/reviewer-rewards" TargetMode="External"/><Relationship Id="rId866" Type="http://schemas.openxmlformats.org/officeDocument/2006/relationships/hyperlink" Target="https://www.nature.com/authors/policies/preprints.html" TargetMode="External"/><Relationship Id="rId623" Type="http://schemas.openxmlformats.org/officeDocument/2006/relationships/hyperlink" Target="https://us.sagepub.com/en-us/nam/journal/journalism" TargetMode="External"/><Relationship Id="rId865" Type="http://schemas.openxmlformats.org/officeDocument/2006/relationships/hyperlink" Target="https://www.nature.com/authors/policies/peer_review.html" TargetMode="External"/><Relationship Id="rId622" Type="http://schemas.openxmlformats.org/officeDocument/2006/relationships/hyperlink" Target="https://us.sagepub.com/en-us/nam/prior-publication" TargetMode="External"/><Relationship Id="rId864" Type="http://schemas.openxmlformats.org/officeDocument/2006/relationships/hyperlink" Target="https://www.nature.com/authors/author_resources/transfer_manuscripts.html" TargetMode="External"/><Relationship Id="rId621" Type="http://schemas.openxmlformats.org/officeDocument/2006/relationships/hyperlink" Target="https://us.sagepub.com/en-us/nam/how-to-review-articles" TargetMode="External"/><Relationship Id="rId863" Type="http://schemas.openxmlformats.org/officeDocument/2006/relationships/hyperlink" Target="https://www.nature.com/authors/policies/peer_review.html" TargetMode="External"/><Relationship Id="rId628" Type="http://schemas.openxmlformats.org/officeDocument/2006/relationships/hyperlink" Target="https://www.tandfonline.com/action/authorSubmission?journalCode=rjop20&amp;page=instructions" TargetMode="External"/><Relationship Id="rId627" Type="http://schemas.openxmlformats.org/officeDocument/2006/relationships/hyperlink" Target="https://www.tandfonline.com/action/authorSubmission?journalCode=rjop20&amp;page=instructions" TargetMode="External"/><Relationship Id="rId869" Type="http://schemas.openxmlformats.org/officeDocument/2006/relationships/hyperlink" Target="https://nips.cc/Conferences/2019/CallForPapers" TargetMode="External"/><Relationship Id="rId626" Type="http://schemas.openxmlformats.org/officeDocument/2006/relationships/hyperlink" Target="https://us.sagepub.com/en-us/nam/prior-publication" TargetMode="External"/><Relationship Id="rId868" Type="http://schemas.openxmlformats.org/officeDocument/2006/relationships/hyperlink" Target="https://www.nature.com/nrg/for-referees" TargetMode="External"/><Relationship Id="rId625" Type="http://schemas.openxmlformats.org/officeDocument/2006/relationships/hyperlink" Target="https://us.sagepub.com/en-us/nam/how-to-review-articles" TargetMode="External"/><Relationship Id="rId867" Type="http://schemas.openxmlformats.org/officeDocument/2006/relationships/hyperlink" Target="https://www.nature.com/nrg/for-referees" TargetMode="External"/><Relationship Id="rId620" Type="http://schemas.openxmlformats.org/officeDocument/2006/relationships/hyperlink" Target="https://us.sagepub.com/en-us/nam/reviewer-rewards" TargetMode="External"/><Relationship Id="rId862" Type="http://schemas.openxmlformats.org/officeDocument/2006/relationships/hyperlink" Target="https://www.nature.com/nrg/for-referees" TargetMode="External"/><Relationship Id="rId861" Type="http://schemas.openxmlformats.org/officeDocument/2006/relationships/hyperlink" Target="https://www.nature.com/nrg/for-referees" TargetMode="External"/><Relationship Id="rId860" Type="http://schemas.openxmlformats.org/officeDocument/2006/relationships/hyperlink" Target="https://www.nature.com/authors/policies/preprints.html" TargetMode="External"/><Relationship Id="rId619" Type="http://schemas.openxmlformats.org/officeDocument/2006/relationships/hyperlink" Target="https://us.sagepub.com/en-us/nam/journal/journalism" TargetMode="External"/><Relationship Id="rId618" Type="http://schemas.openxmlformats.org/officeDocument/2006/relationships/hyperlink" Target="https://www.springer.com/psychology/child+%26+school+psychology/journal/10964?detailsPage=pltci_1692324" TargetMode="External"/><Relationship Id="rId613" Type="http://schemas.openxmlformats.org/officeDocument/2006/relationships/hyperlink" Target="http://www.onlinejacc.org/content/73/2/A28" TargetMode="External"/><Relationship Id="rId855" Type="http://schemas.openxmlformats.org/officeDocument/2006/relationships/hyperlink" Target="https://www.nature.com/nrg/for-referees" TargetMode="External"/><Relationship Id="rId612" Type="http://schemas.openxmlformats.org/officeDocument/2006/relationships/hyperlink" Target="http://pubs.acs.org/paragonplus/submission/jacsat/jacsat_authguide.pdf" TargetMode="External"/><Relationship Id="rId854" Type="http://schemas.openxmlformats.org/officeDocument/2006/relationships/hyperlink" Target="https://www.nature.com/authors/policies/preprints.html" TargetMode="External"/><Relationship Id="rId611" Type="http://schemas.openxmlformats.org/officeDocument/2006/relationships/hyperlink" Target="https://pubs.acs.org/page/policy/manuscript_transfer/index.html" TargetMode="External"/><Relationship Id="rId853" Type="http://schemas.openxmlformats.org/officeDocument/2006/relationships/hyperlink" Target="https://www.nature.com/authors/policies/peer_review.html" TargetMode="External"/><Relationship Id="rId610" Type="http://schemas.openxmlformats.org/officeDocument/2006/relationships/hyperlink" Target="http://pubs.acs.org/paragonplus/submission/jacsat/jacsat_authguide.pdf" TargetMode="External"/><Relationship Id="rId852" Type="http://schemas.openxmlformats.org/officeDocument/2006/relationships/hyperlink" Target="https://www.nature.com/authors/author_resources/transfer_manuscripts.html" TargetMode="External"/><Relationship Id="rId617" Type="http://schemas.openxmlformats.org/officeDocument/2006/relationships/hyperlink" Target="https://www.springer.com/psychology/child+%26+school+psychology/journal/10964?detailsPage=pltci_1692324" TargetMode="External"/><Relationship Id="rId859" Type="http://schemas.openxmlformats.org/officeDocument/2006/relationships/hyperlink" Target="https://www.nature.com/authors/policies/peer_review.html" TargetMode="External"/><Relationship Id="rId616" Type="http://schemas.openxmlformats.org/officeDocument/2006/relationships/hyperlink" Target="http://www.onlinejacc.org/content/73/2/A28" TargetMode="External"/><Relationship Id="rId858" Type="http://schemas.openxmlformats.org/officeDocument/2006/relationships/hyperlink" Target="https://www.nature.com/authors/author_resources/transfer_manuscripts.html" TargetMode="External"/><Relationship Id="rId615" Type="http://schemas.openxmlformats.org/officeDocument/2006/relationships/hyperlink" Target="http://www.onlinejacc.org/content/73/2/A28" TargetMode="External"/><Relationship Id="rId857" Type="http://schemas.openxmlformats.org/officeDocument/2006/relationships/hyperlink" Target="https://www.nature.com/authors/policies/peer_review.html" TargetMode="External"/><Relationship Id="rId614" Type="http://schemas.openxmlformats.org/officeDocument/2006/relationships/hyperlink" Target="http://www.onlinejacc.org/content/73/2/A28" TargetMode="External"/><Relationship Id="rId856" Type="http://schemas.openxmlformats.org/officeDocument/2006/relationships/hyperlink" Target="https://www.nature.com/nrg/for-referees" TargetMode="External"/><Relationship Id="rId851" Type="http://schemas.openxmlformats.org/officeDocument/2006/relationships/hyperlink" Target="https://www.nature.com/authors/policies/peer_review.html" TargetMode="External"/><Relationship Id="rId850" Type="http://schemas.openxmlformats.org/officeDocument/2006/relationships/hyperlink" Target="https://www.nature.com/nrc/for-referees" TargetMode="External"/><Relationship Id="rId409" Type="http://schemas.openxmlformats.org/officeDocument/2006/relationships/hyperlink" Target="https://gut.bmj.com/pages/authors/" TargetMode="External"/><Relationship Id="rId404" Type="http://schemas.openxmlformats.org/officeDocument/2006/relationships/hyperlink" Target="https://www.elsevier.com/about/policies/sharing" TargetMode="External"/><Relationship Id="rId646" Type="http://schemas.openxmlformats.org/officeDocument/2006/relationships/hyperlink" Target="https://www.elsevier.com/about/policies/sharing" TargetMode="External"/><Relationship Id="rId888" Type="http://schemas.openxmlformats.org/officeDocument/2006/relationships/hyperlink" Target="https://www.cell.com/neuron/authors?code=cell-site" TargetMode="External"/><Relationship Id="rId403" Type="http://schemas.openxmlformats.org/officeDocument/2006/relationships/hyperlink" Target="https://www.elsevier.com/reviewers/how-to-review" TargetMode="External"/><Relationship Id="rId645" Type="http://schemas.openxmlformats.org/officeDocument/2006/relationships/hyperlink" Target="https://www.elsevier.com/about/policies/copyright" TargetMode="External"/><Relationship Id="rId887" Type="http://schemas.openxmlformats.org/officeDocument/2006/relationships/hyperlink" Target="https://www.cell.com/neuron/authors" TargetMode="External"/><Relationship Id="rId402" Type="http://schemas.openxmlformats.org/officeDocument/2006/relationships/hyperlink" Target="https://www.journals.elsevier.com/government-information-quarterly/announcements" TargetMode="External"/><Relationship Id="rId644" Type="http://schemas.openxmlformats.org/officeDocument/2006/relationships/hyperlink" Target="https://www.elsevier.com/reviewers/how-to-review" TargetMode="External"/><Relationship Id="rId886" Type="http://schemas.openxmlformats.org/officeDocument/2006/relationships/hyperlink" Target="https://www.cell.com/reviewers" TargetMode="External"/><Relationship Id="rId401" Type="http://schemas.openxmlformats.org/officeDocument/2006/relationships/hyperlink" Target="https://www.elsevier.com/journals/government-information-quarterly/0740-624X?generatepdf=true" TargetMode="External"/><Relationship Id="rId643" Type="http://schemas.openxmlformats.org/officeDocument/2006/relationships/hyperlink" Target="https://www.elsevier.com/reviewers/what-is-peer-review" TargetMode="External"/><Relationship Id="rId885" Type="http://schemas.openxmlformats.org/officeDocument/2006/relationships/hyperlink" Target="https://www.cell.com/neuron/authors" TargetMode="External"/><Relationship Id="rId408" Type="http://schemas.openxmlformats.org/officeDocument/2006/relationships/hyperlink" Target="https://authors.bmj.com/policies/peer-review-terms-and-conditions/" TargetMode="External"/><Relationship Id="rId407" Type="http://schemas.openxmlformats.org/officeDocument/2006/relationships/hyperlink" Target="https://authors.bmj.com/policies/preprints/" TargetMode="External"/><Relationship Id="rId649" Type="http://schemas.openxmlformats.org/officeDocument/2006/relationships/hyperlink" Target="https://www.elsevier.com/reviewers/what-is-peer-review" TargetMode="External"/><Relationship Id="rId406" Type="http://schemas.openxmlformats.org/officeDocument/2006/relationships/hyperlink" Target="https://gut.bmj.com/pages/authors/" TargetMode="External"/><Relationship Id="rId648" Type="http://schemas.openxmlformats.org/officeDocument/2006/relationships/hyperlink" Target="https://www.elsevier.com/reviewers/role" TargetMode="External"/><Relationship Id="rId405" Type="http://schemas.openxmlformats.org/officeDocument/2006/relationships/hyperlink" Target="https://authors.bmj.com/policies/peer-review-terms-and-conditions/" TargetMode="External"/><Relationship Id="rId647" Type="http://schemas.openxmlformats.org/officeDocument/2006/relationships/hyperlink" Target="https://www.elsevier.com/journals/lingua/0024-3841/guide-for-authors" TargetMode="External"/><Relationship Id="rId889" Type="http://schemas.openxmlformats.org/officeDocument/2006/relationships/hyperlink" Target="https://www.cell.com/reviewers" TargetMode="External"/><Relationship Id="rId880" Type="http://schemas.openxmlformats.org/officeDocument/2006/relationships/hyperlink" Target="https://www.elsevier.com/reviewers/role" TargetMode="External"/><Relationship Id="rId400" Type="http://schemas.openxmlformats.org/officeDocument/2006/relationships/hyperlink" Target="https://www.elsevier.com/about/policies/sharing" TargetMode="External"/><Relationship Id="rId642" Type="http://schemas.openxmlformats.org/officeDocument/2006/relationships/hyperlink" Target="https://www.elsevier.com/reviewers/role" TargetMode="External"/><Relationship Id="rId884" Type="http://schemas.openxmlformats.org/officeDocument/2006/relationships/hyperlink" Target="https://www.cell.com/reviewers" TargetMode="External"/><Relationship Id="rId641" Type="http://schemas.openxmlformats.org/officeDocument/2006/relationships/hyperlink" Target="https://www.elsevier.com/journals/lingua/0024-3841/guide-for-authors" TargetMode="External"/><Relationship Id="rId883" Type="http://schemas.openxmlformats.org/officeDocument/2006/relationships/hyperlink" Target="https://www.elsevier.com/about/policies/sharing" TargetMode="External"/><Relationship Id="rId640" Type="http://schemas.openxmlformats.org/officeDocument/2006/relationships/hyperlink" Target="https://onlinelibrary.wiley.com/page/journal/14679922/homepage/forauthors.html" TargetMode="External"/><Relationship Id="rId882" Type="http://schemas.openxmlformats.org/officeDocument/2006/relationships/hyperlink" Target="https://www.elsevier.com/reviewers/how-to-review" TargetMode="External"/><Relationship Id="rId881" Type="http://schemas.openxmlformats.org/officeDocument/2006/relationships/hyperlink" Target="https://www.elsevier.com/reviewers/what-is-peer-review" TargetMode="External"/><Relationship Id="rId635" Type="http://schemas.openxmlformats.org/officeDocument/2006/relationships/hyperlink" Target="https://www.elsevier.com/journals/land-use-policy/0264-8377?generatepdf=true" TargetMode="External"/><Relationship Id="rId877" Type="http://schemas.openxmlformats.org/officeDocument/2006/relationships/hyperlink" Target="https://www.elsevier.com/about/policies/copyright" TargetMode="External"/><Relationship Id="rId634" Type="http://schemas.openxmlformats.org/officeDocument/2006/relationships/hyperlink" Target="https://www.elsevier.com/about/policies/copyright/permissions" TargetMode="External"/><Relationship Id="rId876" Type="http://schemas.openxmlformats.org/officeDocument/2006/relationships/hyperlink" Target="https://www.elsevier.com/reviewers/how-to-review" TargetMode="External"/><Relationship Id="rId633" Type="http://schemas.openxmlformats.org/officeDocument/2006/relationships/hyperlink" Target="https://www.elsevier.com/authors/journal-authors/submit-your-paper/submit-and-revise/article-transfer-service" TargetMode="External"/><Relationship Id="rId875" Type="http://schemas.openxmlformats.org/officeDocument/2006/relationships/hyperlink" Target="https://www.elsevier.com/reviewers/what-is-peer-review" TargetMode="External"/><Relationship Id="rId632" Type="http://schemas.openxmlformats.org/officeDocument/2006/relationships/hyperlink" Target="https://www.elsevier.com/reviewers/role" TargetMode="External"/><Relationship Id="rId874" Type="http://schemas.openxmlformats.org/officeDocument/2006/relationships/hyperlink" Target="https://www.elsevier.com/reviewers/role" TargetMode="External"/><Relationship Id="rId639" Type="http://schemas.openxmlformats.org/officeDocument/2006/relationships/hyperlink" Target="https://onlinelibrary.wiley.com/page/journal/14679922/homepage/forauthors.html" TargetMode="External"/><Relationship Id="rId638" Type="http://schemas.openxmlformats.org/officeDocument/2006/relationships/hyperlink" Target="https://www.elsevier.com/about/policies/copyright/permissions" TargetMode="External"/><Relationship Id="rId637" Type="http://schemas.openxmlformats.org/officeDocument/2006/relationships/hyperlink" Target="https://www.elsevier.com/authors/journal-authors/submit-your-paper/submit-and-revise/article-transfer-service" TargetMode="External"/><Relationship Id="rId879" Type="http://schemas.openxmlformats.org/officeDocument/2006/relationships/hyperlink" Target="https://www.elsevier.com/journals/neuroimage/1053-8119/guide-for-authors" TargetMode="External"/><Relationship Id="rId636" Type="http://schemas.openxmlformats.org/officeDocument/2006/relationships/hyperlink" Target="https://www.elsevier.com/reviewers/role" TargetMode="External"/><Relationship Id="rId878" Type="http://schemas.openxmlformats.org/officeDocument/2006/relationships/hyperlink" Target="https://www.elsevier.com/about/policies/sharing" TargetMode="External"/><Relationship Id="rId631" Type="http://schemas.openxmlformats.org/officeDocument/2006/relationships/hyperlink" Target="https://www.elsevier.com/journals/land-use-policy/0264-8377?generatepdf=true" TargetMode="External"/><Relationship Id="rId873" Type="http://schemas.openxmlformats.org/officeDocument/2006/relationships/hyperlink" Target="https://www.elsevier.com/journals/neuroimage/1053-8119/guide-for-authors" TargetMode="External"/><Relationship Id="rId630" Type="http://schemas.openxmlformats.org/officeDocument/2006/relationships/hyperlink" Target="https://www.tandfonline.com/action/authorSubmission?journalCode=rjos20&amp;page=instructions" TargetMode="External"/><Relationship Id="rId872" Type="http://schemas.openxmlformats.org/officeDocument/2006/relationships/hyperlink" Target="https://nips.cc/Conferences/2019/CallForPapers" TargetMode="External"/><Relationship Id="rId871" Type="http://schemas.openxmlformats.org/officeDocument/2006/relationships/hyperlink" Target="https://nips.cc/Conferences/2019/CallForPapers" TargetMode="External"/><Relationship Id="rId870" Type="http://schemas.openxmlformats.org/officeDocument/2006/relationships/hyperlink" Target="https://nips.cc/Conferences/2019/CallForPapers" TargetMode="External"/><Relationship Id="rId829" Type="http://schemas.openxmlformats.org/officeDocument/2006/relationships/hyperlink" Target="https://www.nature.com/authors/policies/peer_review.html" TargetMode="External"/><Relationship Id="rId828" Type="http://schemas.openxmlformats.org/officeDocument/2006/relationships/hyperlink" Target="https://www.nature.com/authors/policies/preprints.html" TargetMode="External"/><Relationship Id="rId827" Type="http://schemas.openxmlformats.org/officeDocument/2006/relationships/hyperlink" Target="https://www.nature.com/nphys/for-referees/policies-and-processes" TargetMode="External"/><Relationship Id="rId822" Type="http://schemas.openxmlformats.org/officeDocument/2006/relationships/hyperlink" Target="https://www.nature.com/authors/policies/preprints.html" TargetMode="External"/><Relationship Id="rId821" Type="http://schemas.openxmlformats.org/officeDocument/2006/relationships/hyperlink" Target="https://www.nature.com/authors/policies/peer_review.html" TargetMode="External"/><Relationship Id="rId820" Type="http://schemas.openxmlformats.org/officeDocument/2006/relationships/hyperlink" Target="https://www.nature.com/authors/author_resources/transfer_manuscripts.html" TargetMode="External"/><Relationship Id="rId826" Type="http://schemas.openxmlformats.org/officeDocument/2006/relationships/hyperlink" Target="https://www.nature.com/authors/author_resources/transfer_manuscripts.html" TargetMode="External"/><Relationship Id="rId825" Type="http://schemas.openxmlformats.org/officeDocument/2006/relationships/hyperlink" Target="https://www.nature.com/authors/policies/peer_review.html" TargetMode="External"/><Relationship Id="rId824" Type="http://schemas.openxmlformats.org/officeDocument/2006/relationships/hyperlink" Target="https://www.nature.com/authors/policies/peer_review.html" TargetMode="External"/><Relationship Id="rId823" Type="http://schemas.openxmlformats.org/officeDocument/2006/relationships/hyperlink" Target="https://www.nature.com/nphys/for-referees/policies-and-processes" TargetMode="External"/><Relationship Id="rId819" Type="http://schemas.openxmlformats.org/officeDocument/2006/relationships/hyperlink" Target="https://www.nature.com/authors/peer_review/index.html" TargetMode="External"/><Relationship Id="rId818" Type="http://schemas.openxmlformats.org/officeDocument/2006/relationships/hyperlink" Target="https://www.nature.com/authors/policies/peer_review.html" TargetMode="External"/><Relationship Id="rId817" Type="http://schemas.openxmlformats.org/officeDocument/2006/relationships/hyperlink" Target="https://www.nature.com/authors/policies/preprints.html" TargetMode="External"/><Relationship Id="rId816" Type="http://schemas.openxmlformats.org/officeDocument/2006/relationships/hyperlink" Target="https://www.nature.com/nphoton/for-referees/policies-and-processes" TargetMode="External"/><Relationship Id="rId811" Type="http://schemas.openxmlformats.org/officeDocument/2006/relationships/hyperlink" Target="https://www.nature.com/authors/peer_review/index.html" TargetMode="External"/><Relationship Id="rId810" Type="http://schemas.openxmlformats.org/officeDocument/2006/relationships/hyperlink" Target="https://www.nature.com/authors/policies/preprints.html" TargetMode="External"/><Relationship Id="rId815" Type="http://schemas.openxmlformats.org/officeDocument/2006/relationships/hyperlink" Target="https://www.nature.com/authors/author_resources/transfer_manuscripts.html" TargetMode="External"/><Relationship Id="rId814" Type="http://schemas.openxmlformats.org/officeDocument/2006/relationships/hyperlink" Target="https://www.nature.com/authors/policies/peer_review.html" TargetMode="External"/><Relationship Id="rId813" Type="http://schemas.openxmlformats.org/officeDocument/2006/relationships/hyperlink" Target="https://www.nature.com/authors/policies/peer_review.html" TargetMode="External"/><Relationship Id="rId812" Type="http://schemas.openxmlformats.org/officeDocument/2006/relationships/hyperlink" Target="https://www.nature.com/nphoton/for-referees/policies-and-processes" TargetMode="External"/><Relationship Id="rId609" Type="http://schemas.openxmlformats.org/officeDocument/2006/relationships/hyperlink" Target="https://pubs.acs.org/page/jacsat/submission/prior.html" TargetMode="External"/><Relationship Id="rId608" Type="http://schemas.openxmlformats.org/officeDocument/2006/relationships/hyperlink" Target="http://pubs.acs.org/paragonplus/submission/jacsat/jacsat_authguide.pdf" TargetMode="External"/><Relationship Id="rId607" Type="http://schemas.openxmlformats.org/officeDocument/2006/relationships/hyperlink" Target="https://pubs.acs.org/page/policy/manuscript_transfer/index.html" TargetMode="External"/><Relationship Id="rId849" Type="http://schemas.openxmlformats.org/officeDocument/2006/relationships/hyperlink" Target="https://www.nature.com/nrc/for-referees" TargetMode="External"/><Relationship Id="rId602" Type="http://schemas.openxmlformats.org/officeDocument/2006/relationships/hyperlink" Target="https://www.journals.elsevier.com/journal-of-pragmatics/policies/peer-review-policy-for-the-journal-of-pragmatics" TargetMode="External"/><Relationship Id="rId844" Type="http://schemas.openxmlformats.org/officeDocument/2006/relationships/hyperlink" Target="https://www.nature.com/nrg/for-referees" TargetMode="External"/><Relationship Id="rId601" Type="http://schemas.openxmlformats.org/officeDocument/2006/relationships/hyperlink" Target="http://www.rsc.org/journals-books-databases/journal-authors-reviewers/processes-policies/" TargetMode="External"/><Relationship Id="rId843" Type="http://schemas.openxmlformats.org/officeDocument/2006/relationships/hyperlink" Target="https://www.nature.com/nrg/for-referees" TargetMode="External"/><Relationship Id="rId600" Type="http://schemas.openxmlformats.org/officeDocument/2006/relationships/hyperlink" Target="http://www.rsc.org/journals-books-databases/journal-authors-reviewers/reviewer-responsibilities/" TargetMode="External"/><Relationship Id="rId842" Type="http://schemas.openxmlformats.org/officeDocument/2006/relationships/hyperlink" Target="https://www.nature.com/nrg/for-referees" TargetMode="External"/><Relationship Id="rId841" Type="http://schemas.openxmlformats.org/officeDocument/2006/relationships/hyperlink" Target="https://www.nature.com/nrg/for-referees" TargetMode="External"/><Relationship Id="rId606" Type="http://schemas.openxmlformats.org/officeDocument/2006/relationships/hyperlink" Target="http://pubs.acs.org/paragonplus/submission/jacsat/jacsat_authguide.pdf" TargetMode="External"/><Relationship Id="rId848" Type="http://schemas.openxmlformats.org/officeDocument/2006/relationships/hyperlink" Target="https://www.nature.com/authors/policies/preprints.html" TargetMode="External"/><Relationship Id="rId605" Type="http://schemas.openxmlformats.org/officeDocument/2006/relationships/hyperlink" Target="https://www.elsevier.com/authors/journal-authors/submit-your-paper/submit-and-revise/article-transfer-service" TargetMode="External"/><Relationship Id="rId847" Type="http://schemas.openxmlformats.org/officeDocument/2006/relationships/hyperlink" Target="https://www.nature.com/authors/policies/peer_review.html" TargetMode="External"/><Relationship Id="rId604" Type="http://schemas.openxmlformats.org/officeDocument/2006/relationships/hyperlink" Target="https://www.journals.elsevier.com/journal-of-pragmatics/policies/peer-review-policy-for-the-journal-of-pragmatics" TargetMode="External"/><Relationship Id="rId846" Type="http://schemas.openxmlformats.org/officeDocument/2006/relationships/hyperlink" Target="https://www.nature.com/authors/author_resources/transfer_manuscripts.html" TargetMode="External"/><Relationship Id="rId603" Type="http://schemas.openxmlformats.org/officeDocument/2006/relationships/hyperlink" Target="https://www.elsevier.com/authors/journal-authors/submit-your-paper/submit-and-revise/article-transfer-service" TargetMode="External"/><Relationship Id="rId845" Type="http://schemas.openxmlformats.org/officeDocument/2006/relationships/hyperlink" Target="https://www.nature.com/authors/policies/peer_review.html" TargetMode="External"/><Relationship Id="rId840" Type="http://schemas.openxmlformats.org/officeDocument/2006/relationships/hyperlink" Target="https://www.nature.com/authors/policies/preprints.html" TargetMode="External"/><Relationship Id="rId839" Type="http://schemas.openxmlformats.org/officeDocument/2006/relationships/hyperlink" Target="https://www.nature.com/authors/policies/peer_review.html" TargetMode="External"/><Relationship Id="rId838" Type="http://schemas.openxmlformats.org/officeDocument/2006/relationships/hyperlink" Target="https://www.nature.com/authors/author_resources/transfer_manuscripts.html" TargetMode="External"/><Relationship Id="rId833" Type="http://schemas.openxmlformats.org/officeDocument/2006/relationships/hyperlink" Target="https://www.nature.com/nrc/for-referees" TargetMode="External"/><Relationship Id="rId832" Type="http://schemas.openxmlformats.org/officeDocument/2006/relationships/hyperlink" Target="https://www.nature.com/authors/policies/preprints.html" TargetMode="External"/><Relationship Id="rId831" Type="http://schemas.openxmlformats.org/officeDocument/2006/relationships/hyperlink" Target="https://www.nature.com/authors/policies/peer_review.html" TargetMode="External"/><Relationship Id="rId830" Type="http://schemas.openxmlformats.org/officeDocument/2006/relationships/hyperlink" Target="https://www.nature.com/authors/author_resources/transfer_manuscripts.html" TargetMode="External"/><Relationship Id="rId837" Type="http://schemas.openxmlformats.org/officeDocument/2006/relationships/hyperlink" Target="https://www.nature.com/authors/policies/peer_review.html" TargetMode="External"/><Relationship Id="rId836" Type="http://schemas.openxmlformats.org/officeDocument/2006/relationships/hyperlink" Target="https://www.nature.com/nrc/for-referees" TargetMode="External"/><Relationship Id="rId835" Type="http://schemas.openxmlformats.org/officeDocument/2006/relationships/hyperlink" Target="https://www.nature.com/nrc/for-referees" TargetMode="External"/><Relationship Id="rId834" Type="http://schemas.openxmlformats.org/officeDocument/2006/relationships/hyperlink" Target="https://www.nature.com/nrc/for-referees" TargetMode="External"/><Relationship Id="rId1059" Type="http://schemas.openxmlformats.org/officeDocument/2006/relationships/hyperlink" Target="https://www.tesol.org/read-and-publish/journals/tesol-journal" TargetMode="External"/><Relationship Id="rId228" Type="http://schemas.openxmlformats.org/officeDocument/2006/relationships/hyperlink" Target="https://www.cell.com/reviewers" TargetMode="External"/><Relationship Id="rId227" Type="http://schemas.openxmlformats.org/officeDocument/2006/relationships/hyperlink" Target="https://www.cell.com/cell-metabolism/articletransfer" TargetMode="External"/><Relationship Id="rId469" Type="http://schemas.openxmlformats.org/officeDocument/2006/relationships/hyperlink" Target="https://ieeeauthorcenter.ieee.org/publishing-ethics/guidelines-and-policies/policy-posting-your-article/" TargetMode="External"/><Relationship Id="rId226" Type="http://schemas.openxmlformats.org/officeDocument/2006/relationships/hyperlink" Target="https://www.cell.com/reviewers" TargetMode="External"/><Relationship Id="rId468" Type="http://schemas.openxmlformats.org/officeDocument/2006/relationships/hyperlink" Target="https://signalprocessingsociety.org/publications-resources/publications-faq" TargetMode="External"/><Relationship Id="rId225" Type="http://schemas.openxmlformats.org/officeDocument/2006/relationships/hyperlink" Target="https://www.cell.com/pb-assets/shared/guidelines/cell_press_navigator.pdf" TargetMode="External"/><Relationship Id="rId467" Type="http://schemas.openxmlformats.org/officeDocument/2006/relationships/hyperlink" Target="https://ieeeauthorcenter.ieee.org/peer-review-at-ieee/ethics-in-peer-review/" TargetMode="External"/><Relationship Id="rId229" Type="http://schemas.openxmlformats.org/officeDocument/2006/relationships/hyperlink" Target="https://www.cell.com/cell-metabolism/authors" TargetMode="External"/><Relationship Id="rId1050" Type="http://schemas.openxmlformats.org/officeDocument/2006/relationships/hyperlink" Target="https://www.springer.com/philosophy/epistemology+and+philosophy+of+science/journal/11229" TargetMode="External"/><Relationship Id="rId220" Type="http://schemas.openxmlformats.org/officeDocument/2006/relationships/hyperlink" Target="https://publons.com/journal/628/cell-metabolism" TargetMode="External"/><Relationship Id="rId462" Type="http://schemas.openxmlformats.org/officeDocument/2006/relationships/hyperlink" Target="https://ieeeauthorcenter.ieee.org/publishing-ethics/guidelines-and-policies/policy-posting-your-article/" TargetMode="External"/><Relationship Id="rId1051" Type="http://schemas.openxmlformats.org/officeDocument/2006/relationships/hyperlink" Target="https://www.springer.com/philosophy/epistemology+and+philosophy+of+science/journal/11229" TargetMode="External"/><Relationship Id="rId461" Type="http://schemas.openxmlformats.org/officeDocument/2006/relationships/hyperlink" Target="https://ieeeauthorcenter.ieee.org/peer-review-at-ieee/ethics-in-peer-review/" TargetMode="External"/><Relationship Id="rId1052" Type="http://schemas.openxmlformats.org/officeDocument/2006/relationships/hyperlink" Target="https://www.springer.com/philosophy/epistemology+and+philosophy+of+science/journal/11229" TargetMode="External"/><Relationship Id="rId460" Type="http://schemas.openxmlformats.org/officeDocument/2006/relationships/hyperlink" Target="https://ieeeauthorcenter.ieee.org/peer-review-at-ieee/ethics-in-peer-review/" TargetMode="External"/><Relationship Id="rId1053" Type="http://schemas.openxmlformats.org/officeDocument/2006/relationships/hyperlink" Target="https://www.journals.elsevier.com/system" TargetMode="External"/><Relationship Id="rId1054" Type="http://schemas.openxmlformats.org/officeDocument/2006/relationships/hyperlink" Target="https://www.elsevier.com/reviewers/role" TargetMode="External"/><Relationship Id="rId224" Type="http://schemas.openxmlformats.org/officeDocument/2006/relationships/hyperlink" Target="https://www.cell.com/cancer-cell/authors" TargetMode="External"/><Relationship Id="rId466" Type="http://schemas.openxmlformats.org/officeDocument/2006/relationships/hyperlink" Target="https://signalprocessingsociety.org/publications-resources/publications-faq" TargetMode="External"/><Relationship Id="rId1055" Type="http://schemas.openxmlformats.org/officeDocument/2006/relationships/hyperlink" Target="https://www.elsevier.com/journals/teaching-and-teacher-education/0742-051x/guide-for-authors" TargetMode="External"/><Relationship Id="rId223" Type="http://schemas.openxmlformats.org/officeDocument/2006/relationships/hyperlink" Target="https://arxiv.org/" TargetMode="External"/><Relationship Id="rId465" Type="http://schemas.openxmlformats.org/officeDocument/2006/relationships/hyperlink" Target="https://ieeeauthorcenter.ieee.org/peer-review-at-ieee/ethics-in-peer-review/" TargetMode="External"/><Relationship Id="rId1056" Type="http://schemas.openxmlformats.org/officeDocument/2006/relationships/hyperlink" Target="https://www.elsevier.com/journals/teaching-and-teacher-education/0742-051x/guide-for-authors" TargetMode="External"/><Relationship Id="rId222" Type="http://schemas.openxmlformats.org/officeDocument/2006/relationships/hyperlink" Target="https://www.cell.com/cell-metabolism/authors" TargetMode="External"/><Relationship Id="rId464" Type="http://schemas.openxmlformats.org/officeDocument/2006/relationships/hyperlink" Target="https://ieeeauthorcenter.ieee.org/publishing-ethics/guidelines-and-policies/policy-posting-your-article/" TargetMode="External"/><Relationship Id="rId1057" Type="http://schemas.openxmlformats.org/officeDocument/2006/relationships/hyperlink" Target="https://www.elsevier.com/journals/teaching-and-teacher-education/0742-051x/guide-for-authors" TargetMode="External"/><Relationship Id="rId221" Type="http://schemas.openxmlformats.org/officeDocument/2006/relationships/hyperlink" Target="https://www.cell.com/reviewers" TargetMode="External"/><Relationship Id="rId463" Type="http://schemas.openxmlformats.org/officeDocument/2006/relationships/hyperlink" Target="https://ieeeauthorcenter.ieee.org/peer-review-at-ieee/" TargetMode="External"/><Relationship Id="rId1058" Type="http://schemas.openxmlformats.org/officeDocument/2006/relationships/hyperlink" Target="https://www.elsevier.com/journals/teaching-and-teacher-education/0742-051x/guide-for-authors" TargetMode="External"/><Relationship Id="rId1048" Type="http://schemas.openxmlformats.org/officeDocument/2006/relationships/hyperlink" Target="https://authorservices.wiley.com/Reviewers/journal-reviewers/how-to-perform-a-peer-review/general-and-ethical-guidelines.html" TargetMode="External"/><Relationship Id="rId1049" Type="http://schemas.openxmlformats.org/officeDocument/2006/relationships/hyperlink" Target="https://www.springer.com/philosophy/epistemology+and+philosophy+of+science/journal/11229" TargetMode="External"/><Relationship Id="rId217" Type="http://schemas.openxmlformats.org/officeDocument/2006/relationships/hyperlink" Target="https://arxiv.org/" TargetMode="External"/><Relationship Id="rId459" Type="http://schemas.openxmlformats.org/officeDocument/2006/relationships/hyperlink" Target="https://ieeeauthorcenter.ieee.org/publishing-ethics/guidelines-and-policies/policy-posting-your-article/" TargetMode="External"/><Relationship Id="rId216" Type="http://schemas.openxmlformats.org/officeDocument/2006/relationships/hyperlink" Target="https://www.cell.com/cell/authors" TargetMode="External"/><Relationship Id="rId458" Type="http://schemas.openxmlformats.org/officeDocument/2006/relationships/hyperlink" Target="https://ieeeauthorcenter.ieee.org/peer-review-at-ieee/" TargetMode="External"/><Relationship Id="rId215" Type="http://schemas.openxmlformats.org/officeDocument/2006/relationships/hyperlink" Target="https://www.cell.com/reviewers" TargetMode="External"/><Relationship Id="rId457" Type="http://schemas.openxmlformats.org/officeDocument/2006/relationships/hyperlink" Target="https://ieeeauthorcenter.ieee.org/publishing-ethics/guidelines-and-policies/policy-posting-your-article/" TargetMode="External"/><Relationship Id="rId699" Type="http://schemas.openxmlformats.org/officeDocument/2006/relationships/hyperlink" Target="https://www.nature.com/authors/author_resources/transfer_manuscripts.html" TargetMode="External"/><Relationship Id="rId214" Type="http://schemas.openxmlformats.org/officeDocument/2006/relationships/hyperlink" Target="https://www.cell.com/cell/articletransfer" TargetMode="External"/><Relationship Id="rId456" Type="http://schemas.openxmlformats.org/officeDocument/2006/relationships/hyperlink" Target="https://ieeeauthorcenter.ieee.org/peer-review-at-ieee/" TargetMode="External"/><Relationship Id="rId698" Type="http://schemas.openxmlformats.org/officeDocument/2006/relationships/hyperlink" Target="https://www.nature.com/authors/policies/peer_review.html" TargetMode="External"/><Relationship Id="rId219" Type="http://schemas.openxmlformats.org/officeDocument/2006/relationships/hyperlink" Target="https://www.cell.com/cell-metabolism/articletransfer" TargetMode="External"/><Relationship Id="rId218" Type="http://schemas.openxmlformats.org/officeDocument/2006/relationships/hyperlink" Target="https://www.cell.com/reviewers" TargetMode="External"/><Relationship Id="rId451" Type="http://schemas.openxmlformats.org/officeDocument/2006/relationships/hyperlink" Target="https://ieeeauthorcenter.ieee.org/publishing-ethics/guidelines-and-policies/policy-posting-your-article/" TargetMode="External"/><Relationship Id="rId693" Type="http://schemas.openxmlformats.org/officeDocument/2006/relationships/hyperlink" Target="https://www.nature.com/authors/policies/peer_review.html" TargetMode="External"/><Relationship Id="rId1040" Type="http://schemas.openxmlformats.org/officeDocument/2006/relationships/hyperlink" Target="https://www.nature.com/srep/journal-policies/peer-review" TargetMode="External"/><Relationship Id="rId450" Type="http://schemas.openxmlformats.org/officeDocument/2006/relationships/hyperlink" Target="https://ieeeauthorcenter.ieee.org/peer-review-at-ieee/" TargetMode="External"/><Relationship Id="rId692" Type="http://schemas.openxmlformats.org/officeDocument/2006/relationships/hyperlink" Target="https://www.nature.com/authors/policies/preprints.html" TargetMode="External"/><Relationship Id="rId1041" Type="http://schemas.openxmlformats.org/officeDocument/2006/relationships/hyperlink" Target="https://www.nature.com/authors/author_resources/transfer_manuscripts.html" TargetMode="External"/><Relationship Id="rId691" Type="http://schemas.openxmlformats.org/officeDocument/2006/relationships/hyperlink" Target="https://www.nature.com/nature/for-referees/policies-and-processes" TargetMode="External"/><Relationship Id="rId1042" Type="http://schemas.openxmlformats.org/officeDocument/2006/relationships/hyperlink" Target="https://www.nature.com/srep/journal-policies/referees" TargetMode="External"/><Relationship Id="rId690" Type="http://schemas.openxmlformats.org/officeDocument/2006/relationships/hyperlink" Target="https://www.nature.com/authors/author_resources/transfer_manuscripts.html" TargetMode="External"/><Relationship Id="rId1043" Type="http://schemas.openxmlformats.org/officeDocument/2006/relationships/hyperlink" Target="https://www.nature.com/srep/journal-policies/editorial-policies?draft=journal&amp;target=content" TargetMode="External"/><Relationship Id="rId213" Type="http://schemas.openxmlformats.org/officeDocument/2006/relationships/hyperlink" Target="https://www.cell.com/reviewers" TargetMode="External"/><Relationship Id="rId455" Type="http://schemas.openxmlformats.org/officeDocument/2006/relationships/hyperlink" Target="https://ieeeauthorcenter.ieee.org/publishing-ethics/guidelines-and-policies/policy-posting-your-article/" TargetMode="External"/><Relationship Id="rId697" Type="http://schemas.openxmlformats.org/officeDocument/2006/relationships/hyperlink" Target="https://www.nature.com/authors/policies/peer_review.html" TargetMode="External"/><Relationship Id="rId1044" Type="http://schemas.openxmlformats.org/officeDocument/2006/relationships/hyperlink" Target="https://www.elsevier.com/journals/social-science-and-medicine/0277-9536/guide-for-authors" TargetMode="External"/><Relationship Id="rId212" Type="http://schemas.openxmlformats.org/officeDocument/2006/relationships/hyperlink" Target="https://www.cell.com/pb-assets/shared/guidelines/cell_press_navigator.pdf" TargetMode="External"/><Relationship Id="rId454" Type="http://schemas.openxmlformats.org/officeDocument/2006/relationships/hyperlink" Target="https://ieeeauthorcenter.ieee.org/peer-review-at-ieee/" TargetMode="External"/><Relationship Id="rId696" Type="http://schemas.openxmlformats.org/officeDocument/2006/relationships/hyperlink" Target="https://www.nature.com/authors/policies/preprints.html" TargetMode="External"/><Relationship Id="rId1045" Type="http://schemas.openxmlformats.org/officeDocument/2006/relationships/hyperlink" Target="https://www.elsevier.com/journals/social-science-and-medicine/0277-9536/guide-for-authors" TargetMode="External"/><Relationship Id="rId211" Type="http://schemas.openxmlformats.org/officeDocument/2006/relationships/hyperlink" Target="https://www.cell.com/cell/authors" TargetMode="External"/><Relationship Id="rId453" Type="http://schemas.openxmlformats.org/officeDocument/2006/relationships/hyperlink" Target="https://ieeeauthorcenter.ieee.org/publishing-ethics/guidelines-and-policies/policy-posting-your-article/" TargetMode="External"/><Relationship Id="rId695" Type="http://schemas.openxmlformats.org/officeDocument/2006/relationships/hyperlink" Target="https://www.nature.com/authors/author_resources/transfer_manuscripts.html" TargetMode="External"/><Relationship Id="rId1046" Type="http://schemas.openxmlformats.org/officeDocument/2006/relationships/hyperlink" Target="https://www.elsevier.com/journals/social-science-and-medicine/0277-9536/guide-for-authors" TargetMode="External"/><Relationship Id="rId210" Type="http://schemas.openxmlformats.org/officeDocument/2006/relationships/hyperlink" Target="https://arxiv.org/" TargetMode="External"/><Relationship Id="rId452" Type="http://schemas.openxmlformats.org/officeDocument/2006/relationships/hyperlink" Target="https://ieeeauthorcenter.ieee.org/peer-review-at-ieee/" TargetMode="External"/><Relationship Id="rId694" Type="http://schemas.openxmlformats.org/officeDocument/2006/relationships/hyperlink" Target="https://www.nature.com/authors/policies/peer_review.html" TargetMode="External"/><Relationship Id="rId1047" Type="http://schemas.openxmlformats.org/officeDocument/2006/relationships/hyperlink" Target="https://www.elsevier.com/journals/social-science-and-medicine/0277-9536/guide-for-authors" TargetMode="External"/><Relationship Id="rId491" Type="http://schemas.openxmlformats.org/officeDocument/2006/relationships/hyperlink" Target="https://jamanetwork.com/journals/jama/pages/instructions-for-authors" TargetMode="External"/><Relationship Id="rId490" Type="http://schemas.openxmlformats.org/officeDocument/2006/relationships/hyperlink" Target="https://jamanetwork.com/journals/jama/pages/instructions-for-authors" TargetMode="External"/><Relationship Id="rId249" Type="http://schemas.openxmlformats.org/officeDocument/2006/relationships/hyperlink" Target="http://www.rsc.org/journals-books-databases/journal-authors-reviewers/reviewer-responsibilities/" TargetMode="External"/><Relationship Id="rId248" Type="http://schemas.openxmlformats.org/officeDocument/2006/relationships/hyperlink" Target="http://www.rsc.org/journals-books-databases/about-journals/chemcomm/" TargetMode="External"/><Relationship Id="rId247" Type="http://schemas.openxmlformats.org/officeDocument/2006/relationships/hyperlink" Target="http://www.rsc.org/journals-books-databases/journal-authors-reviewers/processes-policies/" TargetMode="External"/><Relationship Id="rId489" Type="http://schemas.openxmlformats.org/officeDocument/2006/relationships/hyperlink" Target="https://jamanetwork.com/journals/jama/pages/instructions-for-authors" TargetMode="External"/><Relationship Id="rId1070" Type="http://schemas.openxmlformats.org/officeDocument/2006/relationships/hyperlink" Target="https://epjc.epj.org/epjc-faq" TargetMode="External"/><Relationship Id="rId1071" Type="http://schemas.openxmlformats.org/officeDocument/2006/relationships/hyperlink" Target="https://www.springer.com/physics/particle+and+nuclear+physics/journal/10052" TargetMode="External"/><Relationship Id="rId1072" Type="http://schemas.openxmlformats.org/officeDocument/2006/relationships/hyperlink" Target="https://epjc.epj.org/epjc-faq" TargetMode="External"/><Relationship Id="rId242" Type="http://schemas.openxmlformats.org/officeDocument/2006/relationships/hyperlink" Target="https://www.cell.com/cell-stem-cell/authors" TargetMode="External"/><Relationship Id="rId484" Type="http://schemas.openxmlformats.org/officeDocument/2006/relationships/hyperlink" Target="https://www.elsevier.com/journals/international-journal-of-production-economics/0925-5273?generatepdf=true" TargetMode="External"/><Relationship Id="rId1073" Type="http://schemas.openxmlformats.org/officeDocument/2006/relationships/hyperlink" Target="https://www.jci.org/kiosks/authors" TargetMode="External"/><Relationship Id="rId241" Type="http://schemas.openxmlformats.org/officeDocument/2006/relationships/hyperlink" Target="https://www.cell.com/reviewers" TargetMode="External"/><Relationship Id="rId483" Type="http://schemas.openxmlformats.org/officeDocument/2006/relationships/hyperlink" Target="https://www.elsevier.com/journals/international-journal-of-production-economics/0925-5273/guide-for-authors" TargetMode="External"/><Relationship Id="rId1074" Type="http://schemas.openxmlformats.org/officeDocument/2006/relationships/hyperlink" Target="https://www.jci.org/kiosks/authors" TargetMode="External"/><Relationship Id="rId240" Type="http://schemas.openxmlformats.org/officeDocument/2006/relationships/hyperlink" Target="https://www.cell.com/cell-stem-cell/articletransfer" TargetMode="External"/><Relationship Id="rId482" Type="http://schemas.openxmlformats.org/officeDocument/2006/relationships/hyperlink" Target="https://www.elsevier.com/about/policies/copyright" TargetMode="External"/><Relationship Id="rId1075" Type="http://schemas.openxmlformats.org/officeDocument/2006/relationships/hyperlink" Target="https://www.jci.org/kiosks/authors" TargetMode="External"/><Relationship Id="rId481" Type="http://schemas.openxmlformats.org/officeDocument/2006/relationships/hyperlink" Target="https://www.elsevier.com/reviewers/how-to-review" TargetMode="External"/><Relationship Id="rId1076" Type="http://schemas.openxmlformats.org/officeDocument/2006/relationships/hyperlink" Target="https://www.jci.org/kiosks/authors" TargetMode="External"/><Relationship Id="rId246" Type="http://schemas.openxmlformats.org/officeDocument/2006/relationships/hyperlink" Target="http://www.rsc.org/journals-books-databases/journal-authors-reviewers/processes-policies/" TargetMode="External"/><Relationship Id="rId488" Type="http://schemas.openxmlformats.org/officeDocument/2006/relationships/hyperlink" Target="https://www.elsevier.com/journals/international-journal-of-production-economics/0925-5273/guide-for-authors" TargetMode="External"/><Relationship Id="rId1077" Type="http://schemas.openxmlformats.org/officeDocument/2006/relationships/hyperlink" Target="https://www.jci.org/kiosks/authors" TargetMode="External"/><Relationship Id="rId245" Type="http://schemas.openxmlformats.org/officeDocument/2006/relationships/hyperlink" Target="http://www.rsc.org/journals-books-databases/journal-authors-reviewers/reviewer-responsibilities/" TargetMode="External"/><Relationship Id="rId487" Type="http://schemas.openxmlformats.org/officeDocument/2006/relationships/hyperlink" Target="https://www.elsevier.com/reviewers/how-to-review" TargetMode="External"/><Relationship Id="rId1078" Type="http://schemas.openxmlformats.org/officeDocument/2006/relationships/hyperlink" Target="https://www.jci.org/kiosks/authors" TargetMode="External"/><Relationship Id="rId244" Type="http://schemas.openxmlformats.org/officeDocument/2006/relationships/hyperlink" Target="http://www.rsc.org/journals-books-databases/journal-authors-reviewers/reviewer-responsibilities/" TargetMode="External"/><Relationship Id="rId486" Type="http://schemas.openxmlformats.org/officeDocument/2006/relationships/hyperlink" Target="https://www.elsevier.com/reviewers/what-is-peer-review" TargetMode="External"/><Relationship Id="rId1079" Type="http://schemas.openxmlformats.org/officeDocument/2006/relationships/hyperlink" Target="https://cdn.ymaws.com/www.afajof.org/resource/resmgr/files/Submission_docs/JF_Submission_Guidelines-Feb.pdf" TargetMode="External"/><Relationship Id="rId243" Type="http://schemas.openxmlformats.org/officeDocument/2006/relationships/hyperlink" Target="https://arxiv.org/" TargetMode="External"/><Relationship Id="rId485" Type="http://schemas.openxmlformats.org/officeDocument/2006/relationships/hyperlink" Target="https://www.elsevier.com/reviewers/role" TargetMode="External"/><Relationship Id="rId480" Type="http://schemas.openxmlformats.org/officeDocument/2006/relationships/hyperlink" Target="https://www.elsevier.com/reviewers/what-is-peer-review" TargetMode="External"/><Relationship Id="rId239" Type="http://schemas.openxmlformats.org/officeDocument/2006/relationships/hyperlink" Target="https://www.cell.com/reviewers" TargetMode="External"/><Relationship Id="rId238" Type="http://schemas.openxmlformats.org/officeDocument/2006/relationships/hyperlink" Target="https://www.cell.com/pb-assets/shared/guidelines/cell_press_navigator.pdf" TargetMode="External"/><Relationship Id="rId237" Type="http://schemas.openxmlformats.org/officeDocument/2006/relationships/hyperlink" Target="https://www.cell.com/cancer-cell/authors" TargetMode="External"/><Relationship Id="rId479" Type="http://schemas.openxmlformats.org/officeDocument/2006/relationships/hyperlink" Target="https://www.elsevier.com/reviewers/role" TargetMode="External"/><Relationship Id="rId236" Type="http://schemas.openxmlformats.org/officeDocument/2006/relationships/hyperlink" Target="https://arxiv.org/" TargetMode="External"/><Relationship Id="rId478" Type="http://schemas.openxmlformats.org/officeDocument/2006/relationships/hyperlink" Target="https://www.elsevier.com/journals/international-journal-of-production-economics/0925-5273?generatepdf=true" TargetMode="External"/><Relationship Id="rId1060" Type="http://schemas.openxmlformats.org/officeDocument/2006/relationships/hyperlink" Target="https://onlinelibrary.wiley.com/page/journal/15457249/homepage/forauthors.html" TargetMode="External"/><Relationship Id="rId1061" Type="http://schemas.openxmlformats.org/officeDocument/2006/relationships/hyperlink" Target="https://authorservices.wiley.com/Reviewers/journal-reviewers/recognition-for-reviewers/index.html" TargetMode="External"/><Relationship Id="rId231" Type="http://schemas.openxmlformats.org/officeDocument/2006/relationships/hyperlink" Target="https://www.cell.com/reviewers" TargetMode="External"/><Relationship Id="rId473" Type="http://schemas.openxmlformats.org/officeDocument/2006/relationships/hyperlink" Target="https://www.cell.com/immunity/authors" TargetMode="External"/><Relationship Id="rId1062" Type="http://schemas.openxmlformats.org/officeDocument/2006/relationships/hyperlink" Target="https://www.tesol.org/read-and-publish/journals/tesol-journal" TargetMode="External"/><Relationship Id="rId230" Type="http://schemas.openxmlformats.org/officeDocument/2006/relationships/hyperlink" Target="https://arxiv.org/" TargetMode="External"/><Relationship Id="rId472" Type="http://schemas.openxmlformats.org/officeDocument/2006/relationships/hyperlink" Target="https://www.cell.com/immunity/authors" TargetMode="External"/><Relationship Id="rId1063" Type="http://schemas.openxmlformats.org/officeDocument/2006/relationships/hyperlink" Target="https://authorservices.wiley.com/Reviewers/journal-reviewers/recognition-for-reviewers/index.html" TargetMode="External"/><Relationship Id="rId471" Type="http://schemas.openxmlformats.org/officeDocument/2006/relationships/hyperlink" Target="http://www.cell.com/immunity/articletransfer" TargetMode="External"/><Relationship Id="rId1064" Type="http://schemas.openxmlformats.org/officeDocument/2006/relationships/hyperlink" Target="https://onlinelibrary.wiley.com/page/journal/15457249/homepage/forauthors.html" TargetMode="External"/><Relationship Id="rId470" Type="http://schemas.openxmlformats.org/officeDocument/2006/relationships/hyperlink" Target="https://www.cell.com/immunity/authors" TargetMode="External"/><Relationship Id="rId1065" Type="http://schemas.openxmlformats.org/officeDocument/2006/relationships/hyperlink" Target="https://community.cochrane.org/editorial-and-publishing-policy-resource/cochrane-review-management/cochrane-peer-review-policy" TargetMode="External"/><Relationship Id="rId235" Type="http://schemas.openxmlformats.org/officeDocument/2006/relationships/hyperlink" Target="https://www.cell.com/cell-stem-cell/authors" TargetMode="External"/><Relationship Id="rId477" Type="http://schemas.openxmlformats.org/officeDocument/2006/relationships/hyperlink" Target="https://www.cell.com/immunity/authors" TargetMode="External"/><Relationship Id="rId1066" Type="http://schemas.openxmlformats.org/officeDocument/2006/relationships/hyperlink" Target="http://ideas.cochrane.org/forums/326856-cochrane-style-manual/suggestions/18762079-referencing-preprints" TargetMode="External"/><Relationship Id="rId234" Type="http://schemas.openxmlformats.org/officeDocument/2006/relationships/hyperlink" Target="https://www.cell.com/reviewers" TargetMode="External"/><Relationship Id="rId476" Type="http://schemas.openxmlformats.org/officeDocument/2006/relationships/hyperlink" Target="http://www.cell.com/immunity/articletransfer" TargetMode="External"/><Relationship Id="rId1067" Type="http://schemas.openxmlformats.org/officeDocument/2006/relationships/hyperlink" Target="https://community.cochrane.org/editorial-and-publishing-policy-resource/cochrane-review-management/cochrane-peer-review-policy" TargetMode="External"/><Relationship Id="rId233" Type="http://schemas.openxmlformats.org/officeDocument/2006/relationships/hyperlink" Target="https://publons.com/journal/586/cell-stem-cell" TargetMode="External"/><Relationship Id="rId475" Type="http://schemas.openxmlformats.org/officeDocument/2006/relationships/hyperlink" Target="https://www.cell.com/reviewers" TargetMode="External"/><Relationship Id="rId1068" Type="http://schemas.openxmlformats.org/officeDocument/2006/relationships/hyperlink" Target="http://ideas.cochrane.org/forums/326856-cochrane-style-manual/suggestions/18762079-referencing-preprints" TargetMode="External"/><Relationship Id="rId232" Type="http://schemas.openxmlformats.org/officeDocument/2006/relationships/hyperlink" Target="https://www.cell.com/cell-stem-cell/articletransfer" TargetMode="External"/><Relationship Id="rId474" Type="http://schemas.openxmlformats.org/officeDocument/2006/relationships/hyperlink" Target="https://www.cell.com/reviewers" TargetMode="External"/><Relationship Id="rId1069" Type="http://schemas.openxmlformats.org/officeDocument/2006/relationships/hyperlink" Target="https://www.springer.com/physics/particle+and+nuclear+physics/journal/10052" TargetMode="External"/><Relationship Id="rId1015" Type="http://schemas.openxmlformats.org/officeDocument/2006/relationships/hyperlink" Target="http://www.sciencemag.org/authors/science-journals-editorial-policies" TargetMode="External"/><Relationship Id="rId1016" Type="http://schemas.openxmlformats.org/officeDocument/2006/relationships/hyperlink" Target="https://www.sciencemag.org/authors/science-information-authors" TargetMode="External"/><Relationship Id="rId1017" Type="http://schemas.openxmlformats.org/officeDocument/2006/relationships/hyperlink" Target="https://www.sciencemag.org/authors/peer-review-science-publications" TargetMode="External"/><Relationship Id="rId1018" Type="http://schemas.openxmlformats.org/officeDocument/2006/relationships/hyperlink" Target="http://www.sciencemag.org/authors/science-information-authors" TargetMode="External"/><Relationship Id="rId1019" Type="http://schemas.openxmlformats.org/officeDocument/2006/relationships/hyperlink" Target="https://www.sciencemag.org/authors/science-information-authors" TargetMode="External"/><Relationship Id="rId426" Type="http://schemas.openxmlformats.org/officeDocument/2006/relationships/hyperlink" Target="https://www.comsoc.org/publications/magazines/ieee-communications-magazine/author-guidelines/manuscript-publishing" TargetMode="External"/><Relationship Id="rId668" Type="http://schemas.openxmlformats.org/officeDocument/2006/relationships/hyperlink" Target="https://academic.oup.com/journals/pages/access_purchase/rights_and_permissions/author_self_archiving_policy" TargetMode="External"/><Relationship Id="rId425" Type="http://schemas.openxmlformats.org/officeDocument/2006/relationships/hyperlink" Target="https://www.comsoc.org/publications/magazines/ieee-communications-magazine/magazine-reviewer" TargetMode="External"/><Relationship Id="rId667" Type="http://schemas.openxmlformats.org/officeDocument/2006/relationships/hyperlink" Target="https://academic.oup.com/mnras/pages/General_Instructions" TargetMode="External"/><Relationship Id="rId424" Type="http://schemas.openxmlformats.org/officeDocument/2006/relationships/hyperlink" Target="https://aasldpubs.onlinelibrary.wiley.com/hub/journal/15273350/about/author-guidelines" TargetMode="External"/><Relationship Id="rId666" Type="http://schemas.openxmlformats.org/officeDocument/2006/relationships/hyperlink" Target="https://academic.oup.com/mnras/pages/General_Instructions" TargetMode="External"/><Relationship Id="rId423" Type="http://schemas.openxmlformats.org/officeDocument/2006/relationships/hyperlink" Target="https://aasldpubs.onlinelibrary.wiley.com/hub/journal/15273350/about/author-guidelines" TargetMode="External"/><Relationship Id="rId665" Type="http://schemas.openxmlformats.org/officeDocument/2006/relationships/hyperlink" Target="https://www.cell.com/molecular-cell/authors" TargetMode="External"/><Relationship Id="rId429" Type="http://schemas.openxmlformats.org/officeDocument/2006/relationships/hyperlink" Target="https://pspb.ieee.org/images/files/files/opsmanual.pdf" TargetMode="External"/><Relationship Id="rId428" Type="http://schemas.openxmlformats.org/officeDocument/2006/relationships/hyperlink" Target="https://www.comsoc.org/publications/magazines/ieee-communications-magazine/magazine-reviewer" TargetMode="External"/><Relationship Id="rId427" Type="http://schemas.openxmlformats.org/officeDocument/2006/relationships/hyperlink" Target="https://pspb.ieee.org/images/files/files/opsmanual.pdf" TargetMode="External"/><Relationship Id="rId669" Type="http://schemas.openxmlformats.org/officeDocument/2006/relationships/hyperlink" Target="https://academic.oup.com/mnras/pages/General_Instructions" TargetMode="External"/><Relationship Id="rId660" Type="http://schemas.openxmlformats.org/officeDocument/2006/relationships/hyperlink" Target="https://www.cell.com/molecular-cell/authors" TargetMode="External"/><Relationship Id="rId1010" Type="http://schemas.openxmlformats.org/officeDocument/2006/relationships/hyperlink" Target="https://journals.aps.org/rmp/info/procedures.html" TargetMode="External"/><Relationship Id="rId422" Type="http://schemas.openxmlformats.org/officeDocument/2006/relationships/hyperlink" Target="https://aasldpubs.onlinelibrary.wiley.com/hub/journal/15273350/about/author-guidelines" TargetMode="External"/><Relationship Id="rId664" Type="http://schemas.openxmlformats.org/officeDocument/2006/relationships/hyperlink" Target="https://www.cell.com/molecular-cell/authors" TargetMode="External"/><Relationship Id="rId1011" Type="http://schemas.openxmlformats.org/officeDocument/2006/relationships/hyperlink" Target="https://journals.aps.org/rmp/info/procedures.html" TargetMode="External"/><Relationship Id="rId421" Type="http://schemas.openxmlformats.org/officeDocument/2006/relationships/hyperlink" Target="https://aasldpubs.onlinelibrary.wiley.com/hub/journal/15273350/about/author-guidelines" TargetMode="External"/><Relationship Id="rId663" Type="http://schemas.openxmlformats.org/officeDocument/2006/relationships/hyperlink" Target="https://www.cell.com/molecular-cell/authors" TargetMode="External"/><Relationship Id="rId1012" Type="http://schemas.openxmlformats.org/officeDocument/2006/relationships/hyperlink" Target="http://www.sciencemag.org/authors/science-information-authors" TargetMode="External"/><Relationship Id="rId420" Type="http://schemas.openxmlformats.org/officeDocument/2006/relationships/hyperlink" Target="https://www.healthaffairs.org/help-for-authors" TargetMode="External"/><Relationship Id="rId662" Type="http://schemas.openxmlformats.org/officeDocument/2006/relationships/hyperlink" Target="https://www.cell.com/molecular-cell/authors" TargetMode="External"/><Relationship Id="rId1013" Type="http://schemas.openxmlformats.org/officeDocument/2006/relationships/hyperlink" Target="http://www.sciencemag.org/authors/science-information-authors" TargetMode="External"/><Relationship Id="rId661" Type="http://schemas.openxmlformats.org/officeDocument/2006/relationships/hyperlink" Target="https://www.cell.com/molecular-cell/authors" TargetMode="External"/><Relationship Id="rId1014" Type="http://schemas.openxmlformats.org/officeDocument/2006/relationships/hyperlink" Target="http://www.sciencemag.org/authors/science-information-authors" TargetMode="External"/><Relationship Id="rId1004" Type="http://schemas.openxmlformats.org/officeDocument/2006/relationships/hyperlink" Target="https://www.mitpressjournals.org/for_authors" TargetMode="External"/><Relationship Id="rId1005" Type="http://schemas.openxmlformats.org/officeDocument/2006/relationships/hyperlink" Target="https://www.mitpressjournals.org/for_authors" TargetMode="External"/><Relationship Id="rId1006" Type="http://schemas.openxmlformats.org/officeDocument/2006/relationships/hyperlink" Target="https://journals.aps.org/rmp/info/procedures.html" TargetMode="External"/><Relationship Id="rId1007" Type="http://schemas.openxmlformats.org/officeDocument/2006/relationships/hyperlink" Target="https://journals.aps.org/rmp/info/procedures.html" TargetMode="External"/><Relationship Id="rId1008" Type="http://schemas.openxmlformats.org/officeDocument/2006/relationships/hyperlink" Target="https://journals.aps.org/rmp/info/procedures.html" TargetMode="External"/><Relationship Id="rId1009" Type="http://schemas.openxmlformats.org/officeDocument/2006/relationships/hyperlink" Target="https://journals.aps.org/rmp/referees/guidelines-for-referees" TargetMode="External"/><Relationship Id="rId415" Type="http://schemas.openxmlformats.org/officeDocument/2006/relationships/hyperlink" Target="https://www.healthaffairs.org/help-for-reviewers" TargetMode="External"/><Relationship Id="rId657" Type="http://schemas.openxmlformats.org/officeDocument/2006/relationships/hyperlink" Target="https://uk.sagepub.com/en-gb/eur/journal-author-archiving-policies-and-re-use" TargetMode="External"/><Relationship Id="rId899" Type="http://schemas.openxmlformats.org/officeDocument/2006/relationships/hyperlink" Target="https://authorservices.wiley.com/Reviewers/journal-reviewers/how-to-perform-a-peer-review/general-and-ethical-guidelines.html" TargetMode="External"/><Relationship Id="rId414" Type="http://schemas.openxmlformats.org/officeDocument/2006/relationships/hyperlink" Target="https://www.healthaffairs.org/help-for-reviewers" TargetMode="External"/><Relationship Id="rId656" Type="http://schemas.openxmlformats.org/officeDocument/2006/relationships/hyperlink" Target="https://uk.sagepub.com/en-gb/eur/journal/media-culture-society" TargetMode="External"/><Relationship Id="rId898" Type="http://schemas.openxmlformats.org/officeDocument/2006/relationships/hyperlink" Target="https://authorservices.wiley.com/Reviewers/journal-reviewers/recognition-for-reviewers/index.html" TargetMode="External"/><Relationship Id="rId413" Type="http://schemas.openxmlformats.org/officeDocument/2006/relationships/hyperlink" Target="https://www.healthaffairs.org/help-for-reviewers" TargetMode="External"/><Relationship Id="rId655" Type="http://schemas.openxmlformats.org/officeDocument/2006/relationships/hyperlink" Target="https://pubsonline.informs.org/page/mnsc/submission-guidelines" TargetMode="External"/><Relationship Id="rId897" Type="http://schemas.openxmlformats.org/officeDocument/2006/relationships/hyperlink" Target="https://authorservices.wiley.com/Reviewers/journal-reviewers/index.html" TargetMode="External"/><Relationship Id="rId412" Type="http://schemas.openxmlformats.org/officeDocument/2006/relationships/hyperlink" Target="https://www.healthaffairs.org/help-for-authors" TargetMode="External"/><Relationship Id="rId654" Type="http://schemas.openxmlformats.org/officeDocument/2006/relationships/hyperlink" Target="https://pubsonline.informs.org/page/mnsc/submission-guidelines" TargetMode="External"/><Relationship Id="rId896" Type="http://schemas.openxmlformats.org/officeDocument/2006/relationships/hyperlink" Target="https://us.sagepub.com/en-us/nam/journal/new-media-society" TargetMode="External"/><Relationship Id="rId419" Type="http://schemas.openxmlformats.org/officeDocument/2006/relationships/hyperlink" Target="https://www.healthaffairs.org/help-for-reviewers" TargetMode="External"/><Relationship Id="rId418" Type="http://schemas.openxmlformats.org/officeDocument/2006/relationships/hyperlink" Target="https://www.healthaffairs.org/help-for-reviewers" TargetMode="External"/><Relationship Id="rId417" Type="http://schemas.openxmlformats.org/officeDocument/2006/relationships/hyperlink" Target="https://www.healthaffairs.org/help-for-authors" TargetMode="External"/><Relationship Id="rId659" Type="http://schemas.openxmlformats.org/officeDocument/2006/relationships/hyperlink" Target="https://uk.sagepub.com/en-gb/eur/journal-author-archiving-policies-and-re-use" TargetMode="External"/><Relationship Id="rId416" Type="http://schemas.openxmlformats.org/officeDocument/2006/relationships/hyperlink" Target="https://www.healthaffairs.org/help-for-authors" TargetMode="External"/><Relationship Id="rId658" Type="http://schemas.openxmlformats.org/officeDocument/2006/relationships/hyperlink" Target="https://uk.sagepub.com/en-gb/eur/journal/media-culture-society" TargetMode="External"/><Relationship Id="rId891" Type="http://schemas.openxmlformats.org/officeDocument/2006/relationships/hyperlink" Target="https://www.cell.com/reviewers" TargetMode="External"/><Relationship Id="rId890" Type="http://schemas.openxmlformats.org/officeDocument/2006/relationships/hyperlink" Target="https://www.cell.com/neuron/authors" TargetMode="External"/><Relationship Id="rId411" Type="http://schemas.openxmlformats.org/officeDocument/2006/relationships/hyperlink" Target="https://authors.bmj.com/policies/preprints/" TargetMode="External"/><Relationship Id="rId653" Type="http://schemas.openxmlformats.org/officeDocument/2006/relationships/hyperlink" Target="https://pubsonline.informs.org/page/mnsc/submission-guidelines" TargetMode="External"/><Relationship Id="rId895" Type="http://schemas.openxmlformats.org/officeDocument/2006/relationships/hyperlink" Target="https://us.sagepub.com/en-us/nam/sage-publishing-article-transfer-hub" TargetMode="External"/><Relationship Id="rId1000" Type="http://schemas.openxmlformats.org/officeDocument/2006/relationships/hyperlink" Target="https://www.elsevier.com/journals/research-policy/0048-7333/guide-for-authors" TargetMode="External"/><Relationship Id="rId410" Type="http://schemas.openxmlformats.org/officeDocument/2006/relationships/hyperlink" Target="https://authors.bmj.com/policies/peer-review-terms-and-conditions/" TargetMode="External"/><Relationship Id="rId652" Type="http://schemas.openxmlformats.org/officeDocument/2006/relationships/hyperlink" Target="https://www.misq.org/skin/frontend/default/misq/pdf/ReviewerRole.pdf" TargetMode="External"/><Relationship Id="rId894" Type="http://schemas.openxmlformats.org/officeDocument/2006/relationships/hyperlink" Target="https://us.sagepub.com/en-us/nam/journal/new-media-society" TargetMode="External"/><Relationship Id="rId1001" Type="http://schemas.openxmlformats.org/officeDocument/2006/relationships/hyperlink" Target="https://www.elsevier.com/reviewers/role" TargetMode="External"/><Relationship Id="rId651" Type="http://schemas.openxmlformats.org/officeDocument/2006/relationships/hyperlink" Target="https://www.misq.org/skin/frontend/default/misq/pdf/ReviewerRole.pdf" TargetMode="External"/><Relationship Id="rId893" Type="http://schemas.openxmlformats.org/officeDocument/2006/relationships/hyperlink" Target="https://www.cell.com/neuron/authors?code=cell-site" TargetMode="External"/><Relationship Id="rId1002" Type="http://schemas.openxmlformats.org/officeDocument/2006/relationships/hyperlink" Target="https://www.elsevier.com/reviewers/what-is-peer-review" TargetMode="External"/><Relationship Id="rId650" Type="http://schemas.openxmlformats.org/officeDocument/2006/relationships/hyperlink" Target="https://www.elsevier.com/reviewers/how-to-review" TargetMode="External"/><Relationship Id="rId892" Type="http://schemas.openxmlformats.org/officeDocument/2006/relationships/hyperlink" Target="https://www.cell.com/neuron/authors" TargetMode="External"/><Relationship Id="rId1003" Type="http://schemas.openxmlformats.org/officeDocument/2006/relationships/hyperlink" Target="https://www.elsevier.com/reviewers/how-to-review" TargetMode="External"/><Relationship Id="rId1037" Type="http://schemas.openxmlformats.org/officeDocument/2006/relationships/hyperlink" Target="https://www.nature.com/srep/journal-policies/peer-review" TargetMode="External"/><Relationship Id="rId1038" Type="http://schemas.openxmlformats.org/officeDocument/2006/relationships/hyperlink" Target="https://www.nature.com/srep/journal-policies/referees" TargetMode="External"/><Relationship Id="rId1039" Type="http://schemas.openxmlformats.org/officeDocument/2006/relationships/hyperlink" Target="https://www.nature.com/srep/journal-policies/editorial-policies?draft=journal&amp;target=content" TargetMode="External"/><Relationship Id="rId206" Type="http://schemas.openxmlformats.org/officeDocument/2006/relationships/hyperlink" Target="https://www.cell.com/cell/articletransfer" TargetMode="External"/><Relationship Id="rId448" Type="http://schemas.openxmlformats.org/officeDocument/2006/relationships/hyperlink" Target="https://ieeeauthorcenter.ieee.org/peer-review-at-ieee/" TargetMode="External"/><Relationship Id="rId205" Type="http://schemas.openxmlformats.org/officeDocument/2006/relationships/hyperlink" Target="https://www.cell.com/reviewers" TargetMode="External"/><Relationship Id="rId447" Type="http://schemas.openxmlformats.org/officeDocument/2006/relationships/hyperlink" Target="https://ieeeauthorcenter.ieee.org/publishing-ethics/guidelines-and-policies/policy-posting-your-article/" TargetMode="External"/><Relationship Id="rId689" Type="http://schemas.openxmlformats.org/officeDocument/2006/relationships/hyperlink" Target="https://www.nature.com/authors/policies/peer_review.html" TargetMode="External"/><Relationship Id="rId204" Type="http://schemas.openxmlformats.org/officeDocument/2006/relationships/hyperlink" Target="http://aacrjournals.org/content/authors/editorial-policies" TargetMode="External"/><Relationship Id="rId446" Type="http://schemas.openxmlformats.org/officeDocument/2006/relationships/hyperlink" Target="https://ieeeauthorcenter.ieee.org/peer-review-at-ieee/" TargetMode="External"/><Relationship Id="rId688" Type="http://schemas.openxmlformats.org/officeDocument/2006/relationships/hyperlink" Target="https://www.nature.com/authors/policies/preprints.html" TargetMode="External"/><Relationship Id="rId203" Type="http://schemas.openxmlformats.org/officeDocument/2006/relationships/hyperlink" Target="http://aacrjournals.org/content/authors/manuscript-transfer" TargetMode="External"/><Relationship Id="rId445" Type="http://schemas.openxmlformats.org/officeDocument/2006/relationships/hyperlink" Target="http://iccv2019.thecvf.com/submission/main_conference/author_guidelines" TargetMode="External"/><Relationship Id="rId687" Type="http://schemas.openxmlformats.org/officeDocument/2006/relationships/hyperlink" Target="https://www.nature.com/authors/author_resources/transfer_manuscripts.html" TargetMode="External"/><Relationship Id="rId209" Type="http://schemas.openxmlformats.org/officeDocument/2006/relationships/hyperlink" Target="https://www.cell.com/cell/authors" TargetMode="External"/><Relationship Id="rId208" Type="http://schemas.openxmlformats.org/officeDocument/2006/relationships/hyperlink" Target="https://www.cell.com/reviewers" TargetMode="External"/><Relationship Id="rId207" Type="http://schemas.openxmlformats.org/officeDocument/2006/relationships/hyperlink" Target="https://publons.com/journal/270/cell" TargetMode="External"/><Relationship Id="rId449" Type="http://schemas.openxmlformats.org/officeDocument/2006/relationships/hyperlink" Target="https://ieeeauthorcenter.ieee.org/publishing-ethics/guidelines-and-policies/policy-posting-your-article/" TargetMode="External"/><Relationship Id="rId440" Type="http://schemas.openxmlformats.org/officeDocument/2006/relationships/hyperlink" Target="http://iccv2019.thecvf.com/submission/timeline" TargetMode="External"/><Relationship Id="rId682" Type="http://schemas.openxmlformats.org/officeDocument/2006/relationships/hyperlink" Target="http://www.rsc.org/journals-books-databases/journal-authors-reviewers/reviewer-responsibilities/" TargetMode="External"/><Relationship Id="rId681" Type="http://schemas.openxmlformats.org/officeDocument/2006/relationships/hyperlink" Target="https://www.rsc.org/journals-books-databases/journal-authors-reviewers/reviewer-responsibilities/" TargetMode="External"/><Relationship Id="rId1030" Type="http://schemas.openxmlformats.org/officeDocument/2006/relationships/hyperlink" Target="https://stm.sciencemag.org/content/science-translational-medicine-general-policies" TargetMode="External"/><Relationship Id="rId680" Type="http://schemas.openxmlformats.org/officeDocument/2006/relationships/hyperlink" Target="http://www.rsc.org/journals-books-databases/journal-authors-reviewers/processes-policies/" TargetMode="External"/><Relationship Id="rId1031" Type="http://schemas.openxmlformats.org/officeDocument/2006/relationships/hyperlink" Target="https://stm.sciencemag.org/content/information-reviewers" TargetMode="External"/><Relationship Id="rId1032" Type="http://schemas.openxmlformats.org/officeDocument/2006/relationships/hyperlink" Target="https://stm.sciencemag.org/content/science-translational-medicine-general-policies" TargetMode="External"/><Relationship Id="rId202" Type="http://schemas.openxmlformats.org/officeDocument/2006/relationships/hyperlink" Target="http://aacrjournals.org/site/Info/Reviewers.xhtml" TargetMode="External"/><Relationship Id="rId444" Type="http://schemas.openxmlformats.org/officeDocument/2006/relationships/hyperlink" Target="http://iccv2019.thecvf.com/submission/main_conference/reviewer_guidelines" TargetMode="External"/><Relationship Id="rId686" Type="http://schemas.openxmlformats.org/officeDocument/2006/relationships/hyperlink" Target="https://www.nature.com/authors/policies/peer_review.html" TargetMode="External"/><Relationship Id="rId1033" Type="http://schemas.openxmlformats.org/officeDocument/2006/relationships/hyperlink" Target="https://www.nature.com/authors/policies/peer_review.html" TargetMode="External"/><Relationship Id="rId201" Type="http://schemas.openxmlformats.org/officeDocument/2006/relationships/hyperlink" Target="http://aacrjournals.org/content/authors/editorial-process" TargetMode="External"/><Relationship Id="rId443" Type="http://schemas.openxmlformats.org/officeDocument/2006/relationships/hyperlink" Target="http://iccv2019.thecvf.com/submission/timeline" TargetMode="External"/><Relationship Id="rId685" Type="http://schemas.openxmlformats.org/officeDocument/2006/relationships/hyperlink" Target="https://www.nature.com/authors/policies/peer_review.html" TargetMode="External"/><Relationship Id="rId1034" Type="http://schemas.openxmlformats.org/officeDocument/2006/relationships/hyperlink" Target="https://www.nature.com/authors/author_resources/transfer_manuscripts.html" TargetMode="External"/><Relationship Id="rId200" Type="http://schemas.openxmlformats.org/officeDocument/2006/relationships/hyperlink" Target="https://can.msubmit.net/cgi-bin/main.plex?form_type=display_rev_instructions" TargetMode="External"/><Relationship Id="rId442" Type="http://schemas.openxmlformats.org/officeDocument/2006/relationships/hyperlink" Target="http://iccv2019.thecvf.com/submission/main_conference/author_guidelines" TargetMode="External"/><Relationship Id="rId684" Type="http://schemas.openxmlformats.org/officeDocument/2006/relationships/hyperlink" Target="http://www.rsc.org/journals-books-databases/journal-authors-reviewers/processes-policies/" TargetMode="External"/><Relationship Id="rId1035" Type="http://schemas.openxmlformats.org/officeDocument/2006/relationships/hyperlink" Target="https://www.nature.com/authors/policies/peer_review.html" TargetMode="External"/><Relationship Id="rId441" Type="http://schemas.openxmlformats.org/officeDocument/2006/relationships/hyperlink" Target="http://iccv2019.thecvf.com/submission/main_conference/reviewer_guidelines" TargetMode="External"/><Relationship Id="rId683" Type="http://schemas.openxmlformats.org/officeDocument/2006/relationships/hyperlink" Target="https://www.rsc.org/journals-books-databases/journal-authors-reviewers/reviewer-responsibilities/" TargetMode="External"/><Relationship Id="rId1036" Type="http://schemas.openxmlformats.org/officeDocument/2006/relationships/hyperlink" Target="https://www.nature.com/authors/policies/preprints.html" TargetMode="External"/><Relationship Id="rId1026" Type="http://schemas.openxmlformats.org/officeDocument/2006/relationships/hyperlink" Target="https://stm.sciencemag.org/content/science-translational-medicine-general-policies" TargetMode="External"/><Relationship Id="rId1027" Type="http://schemas.openxmlformats.org/officeDocument/2006/relationships/hyperlink" Target="https://stm.sciencemag.org/content/information-reviewers" TargetMode="External"/><Relationship Id="rId1028" Type="http://schemas.openxmlformats.org/officeDocument/2006/relationships/hyperlink" Target="https://stm.sciencemag.org/content/information-reviewers" TargetMode="External"/><Relationship Id="rId1029" Type="http://schemas.openxmlformats.org/officeDocument/2006/relationships/hyperlink" Target="https://stm.sciencemag.org/content/science-translational-medicine-general-policies" TargetMode="External"/><Relationship Id="rId437" Type="http://schemas.openxmlformats.org/officeDocument/2006/relationships/hyperlink" Target="http://cvpr2019.thecvf.com/" TargetMode="External"/><Relationship Id="rId679" Type="http://schemas.openxmlformats.org/officeDocument/2006/relationships/hyperlink" Target="http://www.rsc.org/journals-books-databases/journal-authors-reviewers/reviewer-responsibilities/" TargetMode="External"/><Relationship Id="rId436" Type="http://schemas.openxmlformats.org/officeDocument/2006/relationships/hyperlink" Target="http://cvpr2019.thecvf.com/submission/main_conference/author_guidelines" TargetMode="External"/><Relationship Id="rId678" Type="http://schemas.openxmlformats.org/officeDocument/2006/relationships/hyperlink" Target="http://www.rsc.org/journals-books-databases/journal-authors-reviewers/reviewer-responsibilities/" TargetMode="External"/><Relationship Id="rId435" Type="http://schemas.openxmlformats.org/officeDocument/2006/relationships/hyperlink" Target="http://cvpr2019.thecvf.com/" TargetMode="External"/><Relationship Id="rId677" Type="http://schemas.openxmlformats.org/officeDocument/2006/relationships/hyperlink" Target="https://pubs.acs.org/page/nalefd/submission/prior.html" TargetMode="External"/><Relationship Id="rId434" Type="http://schemas.openxmlformats.org/officeDocument/2006/relationships/hyperlink" Target="https://pspb.ieee.org/images/files/files/opsmanual.pdf" TargetMode="External"/><Relationship Id="rId676" Type="http://schemas.openxmlformats.org/officeDocument/2006/relationships/hyperlink" Target="https://pubs.acs.org/userimages/ContentEditor/1218054468605/ethics.pdf" TargetMode="External"/><Relationship Id="rId439" Type="http://schemas.openxmlformats.org/officeDocument/2006/relationships/hyperlink" Target="http://cvpr2019.thecvf.com/submission/main_conference/author_guidelines" TargetMode="External"/><Relationship Id="rId438" Type="http://schemas.openxmlformats.org/officeDocument/2006/relationships/hyperlink" Target="http://cvpr2019.thecvf.com/submission/main_conference/reviewer_guidelines" TargetMode="External"/><Relationship Id="rId671" Type="http://schemas.openxmlformats.org/officeDocument/2006/relationships/hyperlink" Target="https://pubs.acs.org/paragonplus/submission/nalefd/nalefd_authguide.pdf" TargetMode="External"/><Relationship Id="rId670" Type="http://schemas.openxmlformats.org/officeDocument/2006/relationships/hyperlink" Target="https://academic.oup.com/mnras/pages/General_Instructions" TargetMode="External"/><Relationship Id="rId1020" Type="http://schemas.openxmlformats.org/officeDocument/2006/relationships/hyperlink" Target="https://www.sciencemag.org/authors/peer-review-science-publications" TargetMode="External"/><Relationship Id="rId1021" Type="http://schemas.openxmlformats.org/officeDocument/2006/relationships/hyperlink" Target="http://www.sciencemag.org/authors/science-journals-editorial-policies" TargetMode="External"/><Relationship Id="rId433" Type="http://schemas.openxmlformats.org/officeDocument/2006/relationships/hyperlink" Target="https://www.comsoc.org/publications/journals/ieee-comst/guidelines-reviewers" TargetMode="External"/><Relationship Id="rId675" Type="http://schemas.openxmlformats.org/officeDocument/2006/relationships/hyperlink" Target="https://pubs.acs.org/page/policy/manuscript_transfer/index.html" TargetMode="External"/><Relationship Id="rId1022" Type="http://schemas.openxmlformats.org/officeDocument/2006/relationships/hyperlink" Target="http://www.sciencemag.org/authors/science-information-authors" TargetMode="External"/><Relationship Id="rId432" Type="http://schemas.openxmlformats.org/officeDocument/2006/relationships/hyperlink" Target="https://pspb.ieee.org/images/files/files/opsmanual.pdf" TargetMode="External"/><Relationship Id="rId674" Type="http://schemas.openxmlformats.org/officeDocument/2006/relationships/hyperlink" Target="https://pubs.acs.org/paragonplus/submission/nalefd/nalefd_authguide.pdf" TargetMode="External"/><Relationship Id="rId1023" Type="http://schemas.openxmlformats.org/officeDocument/2006/relationships/hyperlink" Target="http://www.sciencemag.org/authors/science-information-authors" TargetMode="External"/><Relationship Id="rId431" Type="http://schemas.openxmlformats.org/officeDocument/2006/relationships/hyperlink" Target="https://www.comsoc.org/publications/magazines/ieee-communications-magazine/author-guidelines/manuscript-publishing" TargetMode="External"/><Relationship Id="rId673" Type="http://schemas.openxmlformats.org/officeDocument/2006/relationships/hyperlink" Target="https://pubs.acs.org/page/nalefd/submission/prior.html" TargetMode="External"/><Relationship Id="rId1024" Type="http://schemas.openxmlformats.org/officeDocument/2006/relationships/hyperlink" Target="http://www.sciencemag.org/authors/science-information-authors" TargetMode="External"/><Relationship Id="rId430" Type="http://schemas.openxmlformats.org/officeDocument/2006/relationships/hyperlink" Target="https://www.comsoc.org/publications/journals/ieee-comst/guidelines-reviewers" TargetMode="External"/><Relationship Id="rId672" Type="http://schemas.openxmlformats.org/officeDocument/2006/relationships/hyperlink" Target="https://pubs.acs.org/page/policy/manuscript_transfer/index.html" TargetMode="External"/><Relationship Id="rId1025" Type="http://schemas.openxmlformats.org/officeDocument/2006/relationships/hyperlink" Target="http://www.sciencemag.org/authors/science-translational-medicine-information-authors"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cvpr2019.thecvf.com/" TargetMode="External"/><Relationship Id="rId194" Type="http://schemas.openxmlformats.org/officeDocument/2006/relationships/hyperlink" Target="http://iccv2019.thecvf.com/submission/main_conference/reviewer_guidelines" TargetMode="External"/><Relationship Id="rId193" Type="http://schemas.openxmlformats.org/officeDocument/2006/relationships/hyperlink" Target="http://iccv2019.thecvf.com/submission/timeline" TargetMode="External"/><Relationship Id="rId192" Type="http://schemas.openxmlformats.org/officeDocument/2006/relationships/hyperlink" Target="http://cvpr2019.thecvf.com/submission/main_conference/author_guidelines" TargetMode="External"/><Relationship Id="rId191" Type="http://schemas.openxmlformats.org/officeDocument/2006/relationships/hyperlink" Target="http://cvpr2019.thecvf.com/submission/main_conference/reviewer_guidelines" TargetMode="External"/><Relationship Id="rId187" Type="http://schemas.openxmlformats.org/officeDocument/2006/relationships/hyperlink" Target="https://pspb.ieee.org/images/files/files/opsmanual.pdf" TargetMode="External"/><Relationship Id="rId186" Type="http://schemas.openxmlformats.org/officeDocument/2006/relationships/hyperlink" Target="https://www.comsoc.org/publications/magazines/ieee-communications-magazine/magazine-reviewer" TargetMode="External"/><Relationship Id="rId185" Type="http://schemas.openxmlformats.org/officeDocument/2006/relationships/hyperlink" Target="https://aasldpubs.onlinelibrary.wiley.com/hub/journal/15273350/about/author-guidelines" TargetMode="External"/><Relationship Id="rId184" Type="http://schemas.openxmlformats.org/officeDocument/2006/relationships/hyperlink" Target="https://aasldpubs.onlinelibrary.wiley.com/hub/journal/15273350/about/author-guidelines" TargetMode="External"/><Relationship Id="rId189" Type="http://schemas.openxmlformats.org/officeDocument/2006/relationships/hyperlink" Target="https://pspb.ieee.org/images/files/files/opsmanual.pdf" TargetMode="External"/><Relationship Id="rId188" Type="http://schemas.openxmlformats.org/officeDocument/2006/relationships/hyperlink" Target="https://www.comsoc.org/publications/journals/ieee-comst/guidelines-reviewers" TargetMode="External"/><Relationship Id="rId183" Type="http://schemas.openxmlformats.org/officeDocument/2006/relationships/hyperlink" Target="https://www.healthaffairs.org/help-for-authors" TargetMode="External"/><Relationship Id="rId182" Type="http://schemas.openxmlformats.org/officeDocument/2006/relationships/hyperlink" Target="https://www.healthaffairs.org/help-for-reviewers" TargetMode="External"/><Relationship Id="rId181" Type="http://schemas.openxmlformats.org/officeDocument/2006/relationships/hyperlink" Target="https://www.healthaffairs.org/help-for-reviewers" TargetMode="External"/><Relationship Id="rId180" Type="http://schemas.openxmlformats.org/officeDocument/2006/relationships/hyperlink" Target="https://www.healthaffairs.org/help-for-authors" TargetMode="External"/><Relationship Id="rId176" Type="http://schemas.openxmlformats.org/officeDocument/2006/relationships/hyperlink" Target="https://authors.bmj.com/policies/peer-review-terms-and-conditions/" TargetMode="External"/><Relationship Id="rId175" Type="http://schemas.openxmlformats.org/officeDocument/2006/relationships/hyperlink" Target="https://www.elsevier.com/about/policies/sharing" TargetMode="External"/><Relationship Id="rId174" Type="http://schemas.openxmlformats.org/officeDocument/2006/relationships/hyperlink" Target="https://www.elsevier.com/reviewers/how-to-review" TargetMode="External"/><Relationship Id="rId173" Type="http://schemas.openxmlformats.org/officeDocument/2006/relationships/hyperlink" Target="https://www.journals.elsevier.com/government-information-quarterly/announcements" TargetMode="External"/><Relationship Id="rId179" Type="http://schemas.openxmlformats.org/officeDocument/2006/relationships/hyperlink" Target="https://authors.bmj.com/policies/preprints/" TargetMode="External"/><Relationship Id="rId178" Type="http://schemas.openxmlformats.org/officeDocument/2006/relationships/hyperlink" Target="https://authors.bmj.com/policies/peer-review-terms-and-conditions/" TargetMode="External"/><Relationship Id="rId177" Type="http://schemas.openxmlformats.org/officeDocument/2006/relationships/hyperlink" Target="https://gut.bmj.com/pages/authors/" TargetMode="External"/><Relationship Id="rId198" Type="http://schemas.openxmlformats.org/officeDocument/2006/relationships/hyperlink" Target="https://ieeeauthorcenter.ieee.org/peer-review-at-ieee/" TargetMode="External"/><Relationship Id="rId197" Type="http://schemas.openxmlformats.org/officeDocument/2006/relationships/hyperlink" Target="https://ieeeauthorcenter.ieee.org/publishing-ethics/guidelines-and-policies/policy-posting-your-article/" TargetMode="External"/><Relationship Id="rId196" Type="http://schemas.openxmlformats.org/officeDocument/2006/relationships/hyperlink" Target="https://ieeeauthorcenter.ieee.org/peer-review-at-ieee/" TargetMode="External"/><Relationship Id="rId195" Type="http://schemas.openxmlformats.org/officeDocument/2006/relationships/hyperlink" Target="http://iccv2019.thecvf.com/submission/main_conference/author_guidelines" TargetMode="External"/><Relationship Id="rId199" Type="http://schemas.openxmlformats.org/officeDocument/2006/relationships/hyperlink" Target="https://ieeeauthorcenter.ieee.org/publishing-ethics/guidelines-and-policies/policy-posting-your-article/" TargetMode="External"/><Relationship Id="rId150" Type="http://schemas.openxmlformats.org/officeDocument/2006/relationships/hyperlink" Target="https://academic.oup.com/eurheartj/pages/Manuscript_Sharing" TargetMode="External"/><Relationship Id="rId392" Type="http://schemas.openxmlformats.org/officeDocument/2006/relationships/hyperlink" Target="https://www.nature.com/nrg/for-referees" TargetMode="External"/><Relationship Id="rId391" Type="http://schemas.openxmlformats.org/officeDocument/2006/relationships/hyperlink" Target="https://www.nature.com/nrc/for-referees" TargetMode="External"/><Relationship Id="rId390" Type="http://schemas.openxmlformats.org/officeDocument/2006/relationships/hyperlink" Target="https://www.nature.com/nrc/for-referees" TargetMode="External"/><Relationship Id="rId1" Type="http://schemas.openxmlformats.org/officeDocument/2006/relationships/hyperlink" Target="https://pubs.acs.org/paragonplus/submission/aamick/aamick_authguide.pdf" TargetMode="External"/><Relationship Id="rId2" Type="http://schemas.openxmlformats.org/officeDocument/2006/relationships/hyperlink" Target="https://pubs.acs.org/paragonplus/submission/achre4/achre4_authguide.pdf" TargetMode="External"/><Relationship Id="rId3" Type="http://schemas.openxmlformats.org/officeDocument/2006/relationships/hyperlink" Target="https://pubs.acs.org/paragonplus/submission/achre4/achre4_authguide.pdf" TargetMode="External"/><Relationship Id="rId149" Type="http://schemas.openxmlformats.org/officeDocument/2006/relationships/hyperlink" Target="https://academic.oup.com/eurheartj/pages/General_Instructions" TargetMode="External"/><Relationship Id="rId4" Type="http://schemas.openxmlformats.org/officeDocument/2006/relationships/hyperlink" Target="https://pubs.acs.org/page/policy/manuscript_transfer/index.html" TargetMode="External"/><Relationship Id="rId148" Type="http://schemas.openxmlformats.org/officeDocument/2006/relationships/hyperlink" Target="https://pubs.acs.org/page/esthag/submission/prior.html" TargetMode="External"/><Relationship Id="rId9" Type="http://schemas.openxmlformats.org/officeDocument/2006/relationships/hyperlink" Target="https://pubs.acs.org/userimages/ContentEditor/1218054468605/ethics.pdf" TargetMode="External"/><Relationship Id="rId143" Type="http://schemas.openxmlformats.org/officeDocument/2006/relationships/hyperlink" Target="http://www.rsc.org/journals-books-databases/journal-authors-reviewers/reviewer-responsibilities/" TargetMode="External"/><Relationship Id="rId385" Type="http://schemas.openxmlformats.org/officeDocument/2006/relationships/hyperlink" Target="https://www.nature.com/authors/policies/preprints.html" TargetMode="External"/><Relationship Id="rId142" Type="http://schemas.openxmlformats.org/officeDocument/2006/relationships/hyperlink" Target="https://www.econometricsociety.org/publications/econometrica/information-authors/editorial-procedures-and-policies" TargetMode="External"/><Relationship Id="rId384" Type="http://schemas.openxmlformats.org/officeDocument/2006/relationships/hyperlink" Target="https://www.nature.com/nphys/for-referees/policies-and-processes" TargetMode="External"/><Relationship Id="rId141" Type="http://schemas.openxmlformats.org/officeDocument/2006/relationships/hyperlink" Target="https://www.econometricsociety.org/publications/econometrica/information-authors/editorial-procedures-and-policies" TargetMode="External"/><Relationship Id="rId383" Type="http://schemas.openxmlformats.org/officeDocument/2006/relationships/hyperlink" Target="https://www.nature.com/authors/author_resources/transfer_manuscripts.html" TargetMode="External"/><Relationship Id="rId140" Type="http://schemas.openxmlformats.org/officeDocument/2006/relationships/hyperlink" Target="https://www.econometricsociety.org/publications/econometrica/information-authors/editorial-procedures-and-policies" TargetMode="External"/><Relationship Id="rId382" Type="http://schemas.openxmlformats.org/officeDocument/2006/relationships/hyperlink" Target="https://www.nature.com/authors/policies/peer_review.html" TargetMode="External"/><Relationship Id="rId5" Type="http://schemas.openxmlformats.org/officeDocument/2006/relationships/hyperlink" Target="https://pubs.acs.org/page/accacs/submission/prior.htmlhttps:/pubs.acs.org/page/policy/authorchoice/index.html" TargetMode="External"/><Relationship Id="rId147" Type="http://schemas.openxmlformats.org/officeDocument/2006/relationships/hyperlink" Target="https://pubs.acs.org/paragonplus/submission/esthag/esthag_authguide.pdf" TargetMode="External"/><Relationship Id="rId389" Type="http://schemas.openxmlformats.org/officeDocument/2006/relationships/hyperlink" Target="https://www.nature.com/nrg/for-referees" TargetMode="External"/><Relationship Id="rId6" Type="http://schemas.openxmlformats.org/officeDocument/2006/relationships/hyperlink" Target="http://aom.org/uploadedFiles/Publications/AMJ/07_Colquitt_IrelandApr09FTE.pdf" TargetMode="External"/><Relationship Id="rId146" Type="http://schemas.openxmlformats.org/officeDocument/2006/relationships/hyperlink" Target="https://pubs.acs.org/paragonplus/submission/esthag/esthag_authguide.pdf" TargetMode="External"/><Relationship Id="rId388" Type="http://schemas.openxmlformats.org/officeDocument/2006/relationships/hyperlink" Target="https://www.nature.com/nrg/for-referees" TargetMode="External"/><Relationship Id="rId7" Type="http://schemas.openxmlformats.org/officeDocument/2006/relationships/hyperlink" Target="https://aom.org/Publications/AMR/Frequently-Asked-Questions.aspx" TargetMode="External"/><Relationship Id="rId145" Type="http://schemas.openxmlformats.org/officeDocument/2006/relationships/hyperlink" Target="https://www.rsc.org/journals-books-databases/journal-authors-reviewers/processes-policies/" TargetMode="External"/><Relationship Id="rId387" Type="http://schemas.openxmlformats.org/officeDocument/2006/relationships/hyperlink" Target="https://www.nature.com/nrc/for-referees" TargetMode="External"/><Relationship Id="rId8" Type="http://schemas.openxmlformats.org/officeDocument/2006/relationships/hyperlink" Target="http://aom.org/Publications/AMJ/Information-for-Contributors.aspx" TargetMode="External"/><Relationship Id="rId144" Type="http://schemas.openxmlformats.org/officeDocument/2006/relationships/hyperlink" Target="https://www.rsc.org/journals-books-databases/journal-authors-reviewers/processes-policies/" TargetMode="External"/><Relationship Id="rId386" Type="http://schemas.openxmlformats.org/officeDocument/2006/relationships/hyperlink" Target="https://www.nature.com/nrc/for-referees" TargetMode="External"/><Relationship Id="rId381" Type="http://schemas.openxmlformats.org/officeDocument/2006/relationships/hyperlink" Target="https://www.nature.com/authors/policies/peer_review.html" TargetMode="External"/><Relationship Id="rId380" Type="http://schemas.openxmlformats.org/officeDocument/2006/relationships/hyperlink" Target="https://www.nature.com/authors/policies/preprints.html" TargetMode="External"/><Relationship Id="rId139" Type="http://schemas.openxmlformats.org/officeDocument/2006/relationships/hyperlink" Target="https://www.tandfonline.com/action/authorSubmission?show=instructions&amp;journalCode=rdij20" TargetMode="External"/><Relationship Id="rId138" Type="http://schemas.openxmlformats.org/officeDocument/2006/relationships/hyperlink" Target="https://www.tandfonline.com/action/authorSubmission?journalCode=rdij20&amp;page=instructions" TargetMode="External"/><Relationship Id="rId137" Type="http://schemas.openxmlformats.org/officeDocument/2006/relationships/hyperlink" Target="http://care.diabetesjournals.org/content/early/recent" TargetMode="External"/><Relationship Id="rId379" Type="http://schemas.openxmlformats.org/officeDocument/2006/relationships/hyperlink" Target="https://www.nature.com/nphoton/for-referees/policies-and-processes" TargetMode="External"/><Relationship Id="rId132" Type="http://schemas.openxmlformats.org/officeDocument/2006/relationships/hyperlink" Target="https://www.elsevier.com/journals/computers-and-education/0360-1315/guide-for-authors" TargetMode="External"/><Relationship Id="rId374" Type="http://schemas.openxmlformats.org/officeDocument/2006/relationships/hyperlink" Target="https://www.nature.com/neuro/for-referees/policies-and-processes" TargetMode="External"/><Relationship Id="rId131" Type="http://schemas.openxmlformats.org/officeDocument/2006/relationships/hyperlink" Target="https://www.elsevier.com/journals/computers-and-education/0360-1315?generatepdf=true" TargetMode="External"/><Relationship Id="rId373" Type="http://schemas.openxmlformats.org/officeDocument/2006/relationships/hyperlink" Target="https://www.nature.com/authors/author_resources/transfer_manuscripts.html" TargetMode="External"/><Relationship Id="rId130" Type="http://schemas.openxmlformats.org/officeDocument/2006/relationships/hyperlink" Target="https://www.elsevier.com/reviewers/what-is-peer-review" TargetMode="External"/><Relationship Id="rId372" Type="http://schemas.openxmlformats.org/officeDocument/2006/relationships/hyperlink" Target="https://www.nature.com/authors/policies/peer_review.html" TargetMode="External"/><Relationship Id="rId371" Type="http://schemas.openxmlformats.org/officeDocument/2006/relationships/hyperlink" Target="https://www.nature.com/authors/policies/peer_review.html" TargetMode="External"/><Relationship Id="rId136" Type="http://schemas.openxmlformats.org/officeDocument/2006/relationships/hyperlink" Target="http://www.diabetesjournals.org/content/journal-policies" TargetMode="External"/><Relationship Id="rId378" Type="http://schemas.openxmlformats.org/officeDocument/2006/relationships/hyperlink" Target="https://www.nature.com/authors/author_resources/transfer_manuscripts.html" TargetMode="External"/><Relationship Id="rId135" Type="http://schemas.openxmlformats.org/officeDocument/2006/relationships/hyperlink" Target="http://www.diabetesjournals.org/for-reviewers" TargetMode="External"/><Relationship Id="rId377" Type="http://schemas.openxmlformats.org/officeDocument/2006/relationships/hyperlink" Target="https://www.nature.com/authors/policies/peer_review.html" TargetMode="External"/><Relationship Id="rId134" Type="http://schemas.openxmlformats.org/officeDocument/2006/relationships/hyperlink" Target="http://www.diabetesjournals.org/for-reviewers" TargetMode="External"/><Relationship Id="rId376" Type="http://schemas.openxmlformats.org/officeDocument/2006/relationships/hyperlink" Target="https://www.nature.com/authors/policies/peer_review.html" TargetMode="External"/><Relationship Id="rId133" Type="http://schemas.openxmlformats.org/officeDocument/2006/relationships/hyperlink" Target="http://www.diabetesjournals.org/content/journal-policies" TargetMode="External"/><Relationship Id="rId375" Type="http://schemas.openxmlformats.org/officeDocument/2006/relationships/hyperlink" Target="https://www.nature.com/authors/policies/preprints.html" TargetMode="External"/><Relationship Id="rId172" Type="http://schemas.openxmlformats.org/officeDocument/2006/relationships/hyperlink" Target="https://www.elsevier.com/journals/government-information-quarterly/0740-624X?generatepdf=true" TargetMode="External"/><Relationship Id="rId171" Type="http://schemas.openxmlformats.org/officeDocument/2006/relationships/hyperlink" Target="https://www.elsevier.com/about/policies/sharing" TargetMode="External"/><Relationship Id="rId170" Type="http://schemas.openxmlformats.org/officeDocument/2006/relationships/hyperlink" Target="https://www.elsevier.com/reviewers/how-to-review" TargetMode="External"/><Relationship Id="rId165" Type="http://schemas.openxmlformats.org/officeDocument/2006/relationships/hyperlink" Target="https://publications.agu.org/reviewer-resources/" TargetMode="External"/><Relationship Id="rId164" Type="http://schemas.openxmlformats.org/officeDocument/2006/relationships/hyperlink" Target="https://publications.agu.org/reviewer-resources/" TargetMode="External"/><Relationship Id="rId163" Type="http://schemas.openxmlformats.org/officeDocument/2006/relationships/hyperlink" Target="https://publications.agu.org/author-resource-center/steps-to-publication/" TargetMode="External"/><Relationship Id="rId162" Type="http://schemas.openxmlformats.org/officeDocument/2006/relationships/hyperlink" Target="https://uk.sagepub.com/en-gb/eur/prior-publication" TargetMode="External"/><Relationship Id="rId169" Type="http://schemas.openxmlformats.org/officeDocument/2006/relationships/hyperlink" Target="https://www.elsevier.com/reviewers/what-is-peer-review" TargetMode="External"/><Relationship Id="rId168" Type="http://schemas.openxmlformats.org/officeDocument/2006/relationships/hyperlink" Target="https://www.elsevier.com/reviewers/role" TargetMode="External"/><Relationship Id="rId167" Type="http://schemas.openxmlformats.org/officeDocument/2006/relationships/hyperlink" Target="https://www.elsevier.com/journals/global-environmental-change/0959-3780/guide-for-authors" TargetMode="External"/><Relationship Id="rId166" Type="http://schemas.openxmlformats.org/officeDocument/2006/relationships/hyperlink" Target="https://publications.agu.org/author-resource-center/publication-policies/dual-publication-policy/" TargetMode="External"/><Relationship Id="rId161" Type="http://schemas.openxmlformats.org/officeDocument/2006/relationships/hyperlink" Target="https://uk.sagepub.com/en-gb/eur/online-submission-peer-review-system" TargetMode="External"/><Relationship Id="rId160" Type="http://schemas.openxmlformats.org/officeDocument/2006/relationships/hyperlink" Target="https://uk.sagepub.com/en-gb/eur/gender-society/journal200793" TargetMode="External"/><Relationship Id="rId159" Type="http://schemas.openxmlformats.org/officeDocument/2006/relationships/hyperlink" Target="https://www.gastrojournal.org/content/authorinfo" TargetMode="External"/><Relationship Id="rId154" Type="http://schemas.openxmlformats.org/officeDocument/2006/relationships/hyperlink" Target="https://www.elsevier.com/reviewers/what-is-peer-review" TargetMode="External"/><Relationship Id="rId396" Type="http://schemas.openxmlformats.org/officeDocument/2006/relationships/hyperlink" Target="https://www.nature.com/nrg/for-referees" TargetMode="External"/><Relationship Id="rId153" Type="http://schemas.openxmlformats.org/officeDocument/2006/relationships/hyperlink" Target="https://www.elsevier.com/reviewers/role" TargetMode="External"/><Relationship Id="rId395" Type="http://schemas.openxmlformats.org/officeDocument/2006/relationships/hyperlink" Target="https://www.nature.com/nrg/for-referees" TargetMode="External"/><Relationship Id="rId152" Type="http://schemas.openxmlformats.org/officeDocument/2006/relationships/hyperlink" Target="https://www.europeanurology.com/content/resources-for-authors" TargetMode="External"/><Relationship Id="rId394" Type="http://schemas.openxmlformats.org/officeDocument/2006/relationships/hyperlink" Target="https://www.nature.com/nrg/for-referees" TargetMode="External"/><Relationship Id="rId151" Type="http://schemas.openxmlformats.org/officeDocument/2006/relationships/hyperlink" Target="https://academic.oup.com/journals/pages/access_purchase/rights_and_permissions/self_archiving_policy_b" TargetMode="External"/><Relationship Id="rId393" Type="http://schemas.openxmlformats.org/officeDocument/2006/relationships/hyperlink" Target="https://www.nature.com/nrg/for-referees" TargetMode="External"/><Relationship Id="rId158" Type="http://schemas.openxmlformats.org/officeDocument/2006/relationships/hyperlink" Target="https://www.gastrojournal.org/content/authorinfo" TargetMode="External"/><Relationship Id="rId157" Type="http://schemas.openxmlformats.org/officeDocument/2006/relationships/hyperlink" Target="https://www.elsevier.com/reviewers/what-is-peer-review" TargetMode="External"/><Relationship Id="rId399" Type="http://schemas.openxmlformats.org/officeDocument/2006/relationships/hyperlink" Target="https://nips.cc/Conferences/2019/CallForPapers" TargetMode="External"/><Relationship Id="rId156" Type="http://schemas.openxmlformats.org/officeDocument/2006/relationships/hyperlink" Target="https://www.gastrojournal.org/content/authorinfo" TargetMode="External"/><Relationship Id="rId398" Type="http://schemas.openxmlformats.org/officeDocument/2006/relationships/hyperlink" Target="https://nips.cc/Conferences/2019/CallForPapers" TargetMode="External"/><Relationship Id="rId155" Type="http://schemas.openxmlformats.org/officeDocument/2006/relationships/hyperlink" Target="https://www.gastrojournal.org/content/authorinfo" TargetMode="External"/><Relationship Id="rId397" Type="http://schemas.openxmlformats.org/officeDocument/2006/relationships/hyperlink" Target="https://www.nature.com/nrg/for-referees" TargetMode="External"/><Relationship Id="rId40" Type="http://schemas.openxmlformats.org/officeDocument/2006/relationships/hyperlink" Target="https://authors.bmj.com/policies/peer-review-terms-and-conditions/" TargetMode="External"/><Relationship Id="rId42" Type="http://schemas.openxmlformats.org/officeDocument/2006/relationships/hyperlink" Target="https://authors.bmj.com/policies/preprints/" TargetMode="External"/><Relationship Id="rId41" Type="http://schemas.openxmlformats.org/officeDocument/2006/relationships/hyperlink" Target="https://authors.bmj.com/policies/peer-review-terms-and-conditions/" TargetMode="External"/><Relationship Id="rId44" Type="http://schemas.openxmlformats.org/officeDocument/2006/relationships/hyperlink" Target="https://www.elsevier.com/reviewers/role" TargetMode="External"/><Relationship Id="rId43" Type="http://schemas.openxmlformats.org/officeDocument/2006/relationships/hyperlink" Target="https://www.elsevier.com/journals/annals-of-tourism-research/0160-7383?generatepdf=true" TargetMode="External"/><Relationship Id="rId46" Type="http://schemas.openxmlformats.org/officeDocument/2006/relationships/hyperlink" Target="https://www.elsevier.com/about/policies/sharing" TargetMode="External"/><Relationship Id="rId45" Type="http://schemas.openxmlformats.org/officeDocument/2006/relationships/hyperlink" Target="https://www.elsevier.com/reviewers/what-is-peer-review" TargetMode="External"/><Relationship Id="rId509" Type="http://schemas.openxmlformats.org/officeDocument/2006/relationships/hyperlink" Target="https://www.nejm.org/about-nejm/editorial-policies" TargetMode="External"/><Relationship Id="rId508" Type="http://schemas.openxmlformats.org/officeDocument/2006/relationships/hyperlink" Target="https://authorservices.wiley.com/Reviewers/journal-reviewers/recognition-for-reviewers/index.html" TargetMode="External"/><Relationship Id="rId503" Type="http://schemas.openxmlformats.org/officeDocument/2006/relationships/hyperlink" Target="https://els-jbs-prod-cdn.literatumonline.com/pb/assets/raw/Lancet/authors/tln-info-for-authors-1541596047120.pdf" TargetMode="External"/><Relationship Id="rId502" Type="http://schemas.openxmlformats.org/officeDocument/2006/relationships/hyperlink" Target="https://els-jbs-prod-cdn.literatumonline.com/pb/assets/raw/Lancet/authors/tln-info-for-authors-1541596047120.pdf" TargetMode="External"/><Relationship Id="rId501" Type="http://schemas.openxmlformats.org/officeDocument/2006/relationships/hyperlink" Target="https://www.thelancet.com/pb/assets/raw/Lancet/authors/lancet-information-for-authors.pdf" TargetMode="External"/><Relationship Id="rId500" Type="http://schemas.openxmlformats.org/officeDocument/2006/relationships/hyperlink" Target="https://www.thelancet.com/pb/assets/raw/Lancet/authors/lancet-information-for-authors.pdf" TargetMode="External"/><Relationship Id="rId507" Type="http://schemas.openxmlformats.org/officeDocument/2006/relationships/hyperlink" Target="https://onlinelibrary.wiley.com/page/journal/15404781/homepage/forauthors.html" TargetMode="External"/><Relationship Id="rId506" Type="http://schemas.openxmlformats.org/officeDocument/2006/relationships/hyperlink" Target="https://els-jbs-prod-cdn.literatumonline.com/pb/assets/raw/Lancet/authors/tlo-info-for-authors-1541596062097.pdf" TargetMode="External"/><Relationship Id="rId505" Type="http://schemas.openxmlformats.org/officeDocument/2006/relationships/hyperlink" Target="https://els-jbs-prod-cdn.literatumonline.com/pb/assets/raw/Lancet/authors/tlo-info-for-authors-1541596062097.pdf" TargetMode="External"/><Relationship Id="rId504" Type="http://schemas.openxmlformats.org/officeDocument/2006/relationships/hyperlink" Target="https://els-jbs-prod-cdn.literatumonline.com/pb/assets/raw/Lancet/authors/tln-info-for-authors-1541596047120.pdf" TargetMode="External"/><Relationship Id="rId48" Type="http://schemas.openxmlformats.org/officeDocument/2006/relationships/hyperlink" Target="https://www.elsevier.com/reviewers/role" TargetMode="External"/><Relationship Id="rId47" Type="http://schemas.openxmlformats.org/officeDocument/2006/relationships/hyperlink" Target="https://www.elsevier.com/journals/applied-energy/0306-2619/guide-for-authors" TargetMode="External"/><Relationship Id="rId49" Type="http://schemas.openxmlformats.org/officeDocument/2006/relationships/hyperlink" Target="https://www.elsevier.com/reviewers/what-is-peer-review" TargetMode="External"/><Relationship Id="rId31" Type="http://schemas.openxmlformats.org/officeDocument/2006/relationships/hyperlink" Target="https://onlinelibrary.wiley.com/page/journal/15213773/homepage/notice-to-authors" TargetMode="External"/><Relationship Id="rId30" Type="http://schemas.openxmlformats.org/officeDocument/2006/relationships/hyperlink" Target="https://us.sagepub.com/en-us/nam/prior-publication" TargetMode="External"/><Relationship Id="rId33" Type="http://schemas.openxmlformats.org/officeDocument/2006/relationships/hyperlink" Target="http://annals.org/aim/pages/authors" TargetMode="External"/><Relationship Id="rId32" Type="http://schemas.openxmlformats.org/officeDocument/2006/relationships/hyperlink" Target="http://annals.org/aim/pages/authors" TargetMode="External"/><Relationship Id="rId35" Type="http://schemas.openxmlformats.org/officeDocument/2006/relationships/hyperlink" Target="http://annals.org/aim/pages/authors" TargetMode="External"/><Relationship Id="rId34" Type="http://schemas.openxmlformats.org/officeDocument/2006/relationships/hyperlink" Target="http://annals.org/aim/pages/authors" TargetMode="External"/><Relationship Id="rId37" Type="http://schemas.openxmlformats.org/officeDocument/2006/relationships/hyperlink" Target="https://academic.oup.com/journals/pages/access_purchase/rights_and_permissions/author_self_archiving_policy" TargetMode="External"/><Relationship Id="rId36" Type="http://schemas.openxmlformats.org/officeDocument/2006/relationships/hyperlink" Target="https://academic.oup.com/annonc/pages/General_Instructions" TargetMode="External"/><Relationship Id="rId39" Type="http://schemas.openxmlformats.org/officeDocument/2006/relationships/hyperlink" Target="https://authors.bmj.com/policies/peer-review-terms-and-conditions/" TargetMode="External"/><Relationship Id="rId38" Type="http://schemas.openxmlformats.org/officeDocument/2006/relationships/hyperlink" Target="https://ard.bmj.com/pages/about/" TargetMode="External"/><Relationship Id="rId20" Type="http://schemas.openxmlformats.org/officeDocument/2006/relationships/hyperlink" Target="https://www.aeaweb.org/journals/policies/copyright" TargetMode="External"/><Relationship Id="rId22" Type="http://schemas.openxmlformats.org/officeDocument/2006/relationships/hyperlink" Target="https://ajps.org/ajps-reviewer-instructions/" TargetMode="External"/><Relationship Id="rId21" Type="http://schemas.openxmlformats.org/officeDocument/2006/relationships/hyperlink" Target="https://ajps.org/guidelines-for-manuscripts/" TargetMode="External"/><Relationship Id="rId24" Type="http://schemas.openxmlformats.org/officeDocument/2006/relationships/hyperlink" Target="https://ajph.aphapublications.org/page/authors.html" TargetMode="External"/><Relationship Id="rId23" Type="http://schemas.openxmlformats.org/officeDocument/2006/relationships/hyperlink" Target="https://ajpsblogging.files.wordpress.com/2015/09/ajps-author-resources-ver-1-0.pdf" TargetMode="External"/><Relationship Id="rId523" Type="http://schemas.openxmlformats.org/officeDocument/2006/relationships/drawing" Target="../drawings/drawing2.xml"/><Relationship Id="rId522" Type="http://schemas.openxmlformats.org/officeDocument/2006/relationships/hyperlink" Target="https://www.elsevier.com/about/policies/sharing" TargetMode="External"/><Relationship Id="rId26" Type="http://schemas.openxmlformats.org/officeDocument/2006/relationships/hyperlink" Target="https://www.apsanet.org/APSR-Submission-Guidelines" TargetMode="External"/><Relationship Id="rId25" Type="http://schemas.openxmlformats.org/officeDocument/2006/relationships/hyperlink" Target="https://ajph.aphapublications.org/page/authors.html" TargetMode="External"/><Relationship Id="rId28" Type="http://schemas.openxmlformats.org/officeDocument/2006/relationships/hyperlink" Target="https://us.sagepub.com/en-us/nam/reviewer-rewards" TargetMode="External"/><Relationship Id="rId27" Type="http://schemas.openxmlformats.org/officeDocument/2006/relationships/hyperlink" Target="https://us.sagepub.com/en-us/nam/journal/american-sociological-review" TargetMode="External"/><Relationship Id="rId521" Type="http://schemas.openxmlformats.org/officeDocument/2006/relationships/hyperlink" Target="https://www.elsevier.com/reviewers/how-to-review" TargetMode="External"/><Relationship Id="rId29" Type="http://schemas.openxmlformats.org/officeDocument/2006/relationships/hyperlink" Target="https://uk.sagepub.com/en-gb/eur/how-to-review-articles" TargetMode="External"/><Relationship Id="rId520" Type="http://schemas.openxmlformats.org/officeDocument/2006/relationships/hyperlink" Target="https://www.elsevier.com/reviewers/what-is-peer-review" TargetMode="External"/><Relationship Id="rId11" Type="http://schemas.openxmlformats.org/officeDocument/2006/relationships/hyperlink" Target="https://pubs.acs.org/page/policy/manuscript_transfer/index.html" TargetMode="External"/><Relationship Id="rId10" Type="http://schemas.openxmlformats.org/officeDocument/2006/relationships/hyperlink" Target="https://pubs.acs.org/pb-assets/acspubs/Migrated/ancac3_revguide.pdf" TargetMode="External"/><Relationship Id="rId13" Type="http://schemas.openxmlformats.org/officeDocument/2006/relationships/hyperlink" Target="https://application.wiley-vch.de/util/cta/euchems_ethicalguidelines.pdf" TargetMode="External"/><Relationship Id="rId12" Type="http://schemas.openxmlformats.org/officeDocument/2006/relationships/hyperlink" Target="https://pubs.acs.org/page/ancac3/submission/prior.html" TargetMode="External"/><Relationship Id="rId519" Type="http://schemas.openxmlformats.org/officeDocument/2006/relationships/hyperlink" Target="https://www.elsevier.com/reviewers/role" TargetMode="External"/><Relationship Id="rId514" Type="http://schemas.openxmlformats.org/officeDocument/2006/relationships/hyperlink" Target="https://www.elsevier.com/reviewers/role" TargetMode="External"/><Relationship Id="rId513" Type="http://schemas.openxmlformats.org/officeDocument/2006/relationships/hyperlink" Target="https://www.elsevier.com/journals/tourism-management/0261-5177/guide-for-authors" TargetMode="External"/><Relationship Id="rId512" Type="http://schemas.openxmlformats.org/officeDocument/2006/relationships/hyperlink" Target="https://academic.oup.com/journals/pages/access_purchase/rights_and_permissions/self_archiving_policy_f" TargetMode="External"/><Relationship Id="rId511" Type="http://schemas.openxmlformats.org/officeDocument/2006/relationships/hyperlink" Target="https://academic.oup.com/journals/pages/access_purchase/rights_and_permissions/self_archiving_policy_f" TargetMode="External"/><Relationship Id="rId518" Type="http://schemas.openxmlformats.org/officeDocument/2006/relationships/hyperlink" Target="https://www.elsevier.com/journals/world-development/0305-750x/guide-for-authors" TargetMode="External"/><Relationship Id="rId517" Type="http://schemas.openxmlformats.org/officeDocument/2006/relationships/hyperlink" Target="https://www.elsevier.com/about/policies/sharing" TargetMode="External"/><Relationship Id="rId516" Type="http://schemas.openxmlformats.org/officeDocument/2006/relationships/hyperlink" Target="https://www.elsevier.com/reviewers/how-to-review" TargetMode="External"/><Relationship Id="rId515" Type="http://schemas.openxmlformats.org/officeDocument/2006/relationships/hyperlink" Target="https://www.elsevier.com/reviewers/what-is-peer-review" TargetMode="External"/><Relationship Id="rId15" Type="http://schemas.openxmlformats.org/officeDocument/2006/relationships/hyperlink" Target="https://wol-prod-cdn.literatumonline.com/pb-assets/assets/16163028/AFM-guide-for-authors-may-2018-1526994585463.pdf" TargetMode="External"/><Relationship Id="rId14" Type="http://schemas.openxmlformats.org/officeDocument/2006/relationships/hyperlink" Target="https://application.wiley-vch.de/util/cta/euchems_ethicalguidelines.pdf" TargetMode="External"/><Relationship Id="rId17" Type="http://schemas.openxmlformats.org/officeDocument/2006/relationships/hyperlink" Target="https://onlinelibrary.wiley.com/pb-assets/assets/15214095/2089_guidelines.pdf" TargetMode="External"/><Relationship Id="rId16" Type="http://schemas.openxmlformats.org/officeDocument/2006/relationships/hyperlink" Target="https://wol-prod-cdn.literatumonline.com/pb-assets/assets/15214095/2089_guidelines-1510017322000.pdf" TargetMode="External"/><Relationship Id="rId19" Type="http://schemas.openxmlformats.org/officeDocument/2006/relationships/hyperlink" Target="https://www.aeaweb.org/content/file?id=222" TargetMode="External"/><Relationship Id="rId510" Type="http://schemas.openxmlformats.org/officeDocument/2006/relationships/hyperlink" Target="https://academic.oup.com/qje/pages/Policies" TargetMode="External"/><Relationship Id="rId18" Type="http://schemas.openxmlformats.org/officeDocument/2006/relationships/hyperlink" Target="https://www.aeaweb.org/journals/aer/reviewers" TargetMode="External"/><Relationship Id="rId84" Type="http://schemas.openxmlformats.org/officeDocument/2006/relationships/hyperlink" Target="https://www.cell.com/cell/articletransfer" TargetMode="External"/><Relationship Id="rId83" Type="http://schemas.openxmlformats.org/officeDocument/2006/relationships/hyperlink" Target="https://www.cell.com/reviewers" TargetMode="External"/><Relationship Id="rId86" Type="http://schemas.openxmlformats.org/officeDocument/2006/relationships/hyperlink" Target="https://www.cell.com/cell/authors" TargetMode="External"/><Relationship Id="rId85" Type="http://schemas.openxmlformats.org/officeDocument/2006/relationships/hyperlink" Target="https://www.cell.com/reviewers" TargetMode="External"/><Relationship Id="rId88" Type="http://schemas.openxmlformats.org/officeDocument/2006/relationships/hyperlink" Target="https://www.cell.com/reviewers" TargetMode="External"/><Relationship Id="rId87" Type="http://schemas.openxmlformats.org/officeDocument/2006/relationships/hyperlink" Target="https://arxiv.org/" TargetMode="External"/><Relationship Id="rId89" Type="http://schemas.openxmlformats.org/officeDocument/2006/relationships/hyperlink" Target="https://www.cell.com/cell-metabolism/articletransfer" TargetMode="External"/><Relationship Id="rId80" Type="http://schemas.openxmlformats.org/officeDocument/2006/relationships/hyperlink" Target="http://aacrjournals.org/site/Info/Reviewers.xhtml" TargetMode="External"/><Relationship Id="rId82" Type="http://schemas.openxmlformats.org/officeDocument/2006/relationships/hyperlink" Target="http://aacrjournals.org/content/authors/editorial-policies" TargetMode="External"/><Relationship Id="rId81" Type="http://schemas.openxmlformats.org/officeDocument/2006/relationships/hyperlink" Target="http://aacrjournals.org/content/authors/manuscript-transfer" TargetMode="External"/><Relationship Id="rId73" Type="http://schemas.openxmlformats.org/officeDocument/2006/relationships/hyperlink" Target="https://www.cell.com/cancer-cell/articletransfer" TargetMode="External"/><Relationship Id="rId72" Type="http://schemas.openxmlformats.org/officeDocument/2006/relationships/hyperlink" Target="https://www.cell.com/reviewers" TargetMode="External"/><Relationship Id="rId75" Type="http://schemas.openxmlformats.org/officeDocument/2006/relationships/hyperlink" Target="https://www.cell.com/reviewers" TargetMode="External"/><Relationship Id="rId74" Type="http://schemas.openxmlformats.org/officeDocument/2006/relationships/hyperlink" Target="https://publons.com/journal/573/cancer-cell" TargetMode="External"/><Relationship Id="rId77" Type="http://schemas.openxmlformats.org/officeDocument/2006/relationships/hyperlink" Target="https://arxiv.org/" TargetMode="External"/><Relationship Id="rId76" Type="http://schemas.openxmlformats.org/officeDocument/2006/relationships/hyperlink" Target="https://www.cell.com/cancer-cell/authors" TargetMode="External"/><Relationship Id="rId79" Type="http://schemas.openxmlformats.org/officeDocument/2006/relationships/hyperlink" Target="http://aacrjournals.org/content/authors/editorial-process" TargetMode="External"/><Relationship Id="rId78" Type="http://schemas.openxmlformats.org/officeDocument/2006/relationships/hyperlink" Target="https://www.cell.com/cancer-cell/authors" TargetMode="External"/><Relationship Id="rId71" Type="http://schemas.openxmlformats.org/officeDocument/2006/relationships/hyperlink" Target="https://authors.bmj.com/policies/preprints/" TargetMode="External"/><Relationship Id="rId70" Type="http://schemas.openxmlformats.org/officeDocument/2006/relationships/hyperlink" Target="https://www.bmj.com/about-bmj/resources-reviewers" TargetMode="External"/><Relationship Id="rId62" Type="http://schemas.openxmlformats.org/officeDocument/2006/relationships/hyperlink" Target="http://www.bloodjournal.org/page/authors/author-guide/peer-review" TargetMode="External"/><Relationship Id="rId61" Type="http://schemas.openxmlformats.org/officeDocument/2006/relationships/hyperlink" Target="http://www.bloodjournal.org/page/authors/author-guide/peer-review" TargetMode="External"/><Relationship Id="rId64" Type="http://schemas.openxmlformats.org/officeDocument/2006/relationships/hyperlink" Target="http://www.bloodjournal.org/page/authors/author-guide/Editorial-policies-for-authors" TargetMode="External"/><Relationship Id="rId63" Type="http://schemas.openxmlformats.org/officeDocument/2006/relationships/hyperlink" Target="http://www.bloodjournal.org/page/authors/author-guide/peer-review" TargetMode="External"/><Relationship Id="rId66" Type="http://schemas.openxmlformats.org/officeDocument/2006/relationships/hyperlink" Target="https://authors.bmj.com/for-reviewers/reviewer-recognition/" TargetMode="External"/><Relationship Id="rId65" Type="http://schemas.openxmlformats.org/officeDocument/2006/relationships/hyperlink" Target="https://www.bmj.com/about-bmj/resources-reviewers" TargetMode="External"/><Relationship Id="rId68" Type="http://schemas.openxmlformats.org/officeDocument/2006/relationships/hyperlink" Target="https://authors.bmj.com/policies/peer-review-terms-and-conditions/" TargetMode="External"/><Relationship Id="rId67" Type="http://schemas.openxmlformats.org/officeDocument/2006/relationships/hyperlink" Target="https://authors.bmj.com/policies/peer-review-terms-and-conditions/" TargetMode="External"/><Relationship Id="rId60" Type="http://schemas.openxmlformats.org/officeDocument/2006/relationships/hyperlink" Target="https://www.elsevier.com/reviewers/how-to-review" TargetMode="External"/><Relationship Id="rId69" Type="http://schemas.openxmlformats.org/officeDocument/2006/relationships/hyperlink" Target="https://authors.bmj.com/policies/peer-review-terms-and-conditions/" TargetMode="External"/><Relationship Id="rId51" Type="http://schemas.openxmlformats.org/officeDocument/2006/relationships/hyperlink" Target="https://academic.oup.com/applij/pages/General_Instructions" TargetMode="External"/><Relationship Id="rId50" Type="http://schemas.openxmlformats.org/officeDocument/2006/relationships/hyperlink" Target="https://www.elsevier.com/about/policies/sharing" TargetMode="External"/><Relationship Id="rId53" Type="http://schemas.openxmlformats.org/officeDocument/2006/relationships/hyperlink" Target="https://academic.oup.com/journals/pages/access_purchase/rights_and_permissions/author_self_archiving_policy" TargetMode="External"/><Relationship Id="rId52" Type="http://schemas.openxmlformats.org/officeDocument/2006/relationships/hyperlink" Target="https://academic.oup.com/journals/pages/authors/ethics" TargetMode="External"/><Relationship Id="rId55" Type="http://schemas.openxmlformats.org/officeDocument/2006/relationships/hyperlink" Target="https://aip.scitation.org/apl/info/policies" TargetMode="External"/><Relationship Id="rId54" Type="http://schemas.openxmlformats.org/officeDocument/2006/relationships/hyperlink" Target="https://aip.scitation.org/apl/info/policies" TargetMode="External"/><Relationship Id="rId57" Type="http://schemas.openxmlformats.org/officeDocument/2006/relationships/hyperlink" Target="https://www.elsevier.com/journals/biomaterials/0142-9612?generatepdf=true" TargetMode="External"/><Relationship Id="rId56" Type="http://schemas.openxmlformats.org/officeDocument/2006/relationships/hyperlink" Target="https://www.aanda.org/author-information" TargetMode="External"/><Relationship Id="rId59" Type="http://schemas.openxmlformats.org/officeDocument/2006/relationships/hyperlink" Target="https://www.elsevier.com/reviewers/what-is-peer-review" TargetMode="External"/><Relationship Id="rId58" Type="http://schemas.openxmlformats.org/officeDocument/2006/relationships/hyperlink" Target="https://www.elsevier.com/reviewers/role" TargetMode="External"/><Relationship Id="rId107" Type="http://schemas.openxmlformats.org/officeDocument/2006/relationships/hyperlink" Target="http://www.rsc.org/journals-books-databases/journal-authors-reviewers/processes-policies/" TargetMode="External"/><Relationship Id="rId349" Type="http://schemas.openxmlformats.org/officeDocument/2006/relationships/hyperlink" Target="https://www.nature.com/ni/for-referees/policies-and-processes" TargetMode="External"/><Relationship Id="rId106" Type="http://schemas.openxmlformats.org/officeDocument/2006/relationships/hyperlink" Target="http://www.rsc.org/journals-books-databases/journal-authors-reviewers/reviewer-responsibilities/" TargetMode="External"/><Relationship Id="rId348" Type="http://schemas.openxmlformats.org/officeDocument/2006/relationships/hyperlink" Target="https://www.nature.com/authors/author_resources/transfer_manuscripts.html" TargetMode="External"/><Relationship Id="rId105" Type="http://schemas.openxmlformats.org/officeDocument/2006/relationships/hyperlink" Target="http://www.rsc.org/journals-books-databases/journal-authors-reviewers/reviewer-responsibilities/" TargetMode="External"/><Relationship Id="rId347" Type="http://schemas.openxmlformats.org/officeDocument/2006/relationships/hyperlink" Target="https://www.nature.com/authors/policies/peer_review.html" TargetMode="External"/><Relationship Id="rId104" Type="http://schemas.openxmlformats.org/officeDocument/2006/relationships/hyperlink" Target="https://pubs.acs.org/page/chreay/submission/prior.html" TargetMode="External"/><Relationship Id="rId346" Type="http://schemas.openxmlformats.org/officeDocument/2006/relationships/hyperlink" Target="https://www.nature.com/authors/policies/peer_review.html" TargetMode="External"/><Relationship Id="rId109" Type="http://schemas.openxmlformats.org/officeDocument/2006/relationships/hyperlink" Target="http://www.rsc.org/journals-books-databases/journal-authors-reviewers/processes-policies/" TargetMode="External"/><Relationship Id="rId108" Type="http://schemas.openxmlformats.org/officeDocument/2006/relationships/hyperlink" Target="https://www.rsc.org/journals-books-databases/journal-authors-reviewers/reviewer-responsibilities/" TargetMode="External"/><Relationship Id="rId341" Type="http://schemas.openxmlformats.org/officeDocument/2006/relationships/hyperlink" Target="https://www.nature.com/authors/policies/peer_review.html" TargetMode="External"/><Relationship Id="rId340" Type="http://schemas.openxmlformats.org/officeDocument/2006/relationships/hyperlink" Target="https://www.nature.com/authors/policies/preprints.html" TargetMode="External"/><Relationship Id="rId103" Type="http://schemas.openxmlformats.org/officeDocument/2006/relationships/hyperlink" Target="https://pubs.acs.org/page/policy/manuscript_transfer/index.html" TargetMode="External"/><Relationship Id="rId345" Type="http://schemas.openxmlformats.org/officeDocument/2006/relationships/hyperlink" Target="https://www.nature.com/authors/policies/preprints.html" TargetMode="External"/><Relationship Id="rId102" Type="http://schemas.openxmlformats.org/officeDocument/2006/relationships/hyperlink" Target="https://pubs.acs.org/page/chreay/submission/reviewers.html" TargetMode="External"/><Relationship Id="rId344" Type="http://schemas.openxmlformats.org/officeDocument/2006/relationships/hyperlink" Target="https://www.nature.com/ng/for-referees/policies-and-processes" TargetMode="External"/><Relationship Id="rId101" Type="http://schemas.openxmlformats.org/officeDocument/2006/relationships/hyperlink" Target="http://www.rsc.org/journals-books-databases/journal-authors-reviewers/processes-policies/" TargetMode="External"/><Relationship Id="rId343" Type="http://schemas.openxmlformats.org/officeDocument/2006/relationships/hyperlink" Target="https://www.nature.com/authors/author_resources/transfer_manuscripts.html" TargetMode="External"/><Relationship Id="rId100" Type="http://schemas.openxmlformats.org/officeDocument/2006/relationships/hyperlink" Target="http://www.rsc.org/journals-books-databases/journal-authors-reviewers/processes-policies/" TargetMode="External"/><Relationship Id="rId342" Type="http://schemas.openxmlformats.org/officeDocument/2006/relationships/hyperlink" Target="https://www.nature.com/authors/policies/peer_review.html" TargetMode="External"/><Relationship Id="rId338" Type="http://schemas.openxmlformats.org/officeDocument/2006/relationships/hyperlink" Target="https://www.nature.com/authors/author_resources/transfer_manuscripts.html" TargetMode="External"/><Relationship Id="rId337" Type="http://schemas.openxmlformats.org/officeDocument/2006/relationships/hyperlink" Target="https://www.nature.com/ncomms/journal-policies/guide-to-referees" TargetMode="External"/><Relationship Id="rId336" Type="http://schemas.openxmlformats.org/officeDocument/2006/relationships/hyperlink" Target="https://www.nature.com/authors/policies/peer_review.html" TargetMode="External"/><Relationship Id="rId335" Type="http://schemas.openxmlformats.org/officeDocument/2006/relationships/hyperlink" Target="https://www.nature.com/authors/policies/preprints.html" TargetMode="External"/><Relationship Id="rId339" Type="http://schemas.openxmlformats.org/officeDocument/2006/relationships/hyperlink" Target="https://www.nature.com/ncomms/journal-policies/guide-to-referees" TargetMode="External"/><Relationship Id="rId330" Type="http://schemas.openxmlformats.org/officeDocument/2006/relationships/hyperlink" Target="https://www.nature.com/authors/policies/preprints.html" TargetMode="External"/><Relationship Id="rId334" Type="http://schemas.openxmlformats.org/officeDocument/2006/relationships/hyperlink" Target="https://www.nature.com/nclimate/for-referees/policies-and-processes" TargetMode="External"/><Relationship Id="rId333" Type="http://schemas.openxmlformats.org/officeDocument/2006/relationships/hyperlink" Target="https://www.nature.com/authors/author_resources/transfer_manuscripts.html" TargetMode="External"/><Relationship Id="rId332" Type="http://schemas.openxmlformats.org/officeDocument/2006/relationships/hyperlink" Target="https://www.nature.com/authors/policies/peer_review.html" TargetMode="External"/><Relationship Id="rId331" Type="http://schemas.openxmlformats.org/officeDocument/2006/relationships/hyperlink" Target="https://www.nature.com/authors/policies/peer_review.html" TargetMode="External"/><Relationship Id="rId370" Type="http://schemas.openxmlformats.org/officeDocument/2006/relationships/hyperlink" Target="https://www.nature.com/authors/policies/preprints.html" TargetMode="External"/><Relationship Id="rId129" Type="http://schemas.openxmlformats.org/officeDocument/2006/relationships/hyperlink" Target="https://www.elsevier.com/authors/journal-authors/submit-your-paper" TargetMode="External"/><Relationship Id="rId128" Type="http://schemas.openxmlformats.org/officeDocument/2006/relationships/hyperlink" Target="https://www.elsevier.com/reviewers/role" TargetMode="External"/><Relationship Id="rId127" Type="http://schemas.openxmlformats.org/officeDocument/2006/relationships/hyperlink" Target="https://www.elsevier.com/journals/computers-and-education/0360-1315?generatepdf=true" TargetMode="External"/><Relationship Id="rId369" Type="http://schemas.openxmlformats.org/officeDocument/2006/relationships/hyperlink" Target="https://www.nature.com/nnano/for-referees/policies-and-processes" TargetMode="External"/><Relationship Id="rId126" Type="http://schemas.openxmlformats.org/officeDocument/2006/relationships/hyperlink" Target="https://ccr.msubmit.net/cgi-bin/main.plex?form_type=display_rev_instructions" TargetMode="External"/><Relationship Id="rId368" Type="http://schemas.openxmlformats.org/officeDocument/2006/relationships/hyperlink" Target="https://www.nature.com/authors/author_resources/transfer_manuscripts.html" TargetMode="External"/><Relationship Id="rId121" Type="http://schemas.openxmlformats.org/officeDocument/2006/relationships/hyperlink" Target="http://aacrjournals.org/content/authors/editorial-process" TargetMode="External"/><Relationship Id="rId363" Type="http://schemas.openxmlformats.org/officeDocument/2006/relationships/hyperlink" Target="https://www.nature.com/authors/author_resources/transfer_manuscripts.html" TargetMode="External"/><Relationship Id="rId120" Type="http://schemas.openxmlformats.org/officeDocument/2006/relationships/hyperlink" Target="https://www.ahajournals.org/pb-assets/Ethical%20ConductPolicyApril2017finalWeb.pdf" TargetMode="External"/><Relationship Id="rId362" Type="http://schemas.openxmlformats.org/officeDocument/2006/relationships/hyperlink" Target="https://www.nature.com/authors/policies/peer_review.html" TargetMode="External"/><Relationship Id="rId361" Type="http://schemas.openxmlformats.org/officeDocument/2006/relationships/hyperlink" Target="https://www.nature.com/authors/policies/peer_review.html" TargetMode="External"/><Relationship Id="rId360" Type="http://schemas.openxmlformats.org/officeDocument/2006/relationships/hyperlink" Target="https://www.nature.com/authors/policies/preprints.html" TargetMode="External"/><Relationship Id="rId125" Type="http://schemas.openxmlformats.org/officeDocument/2006/relationships/hyperlink" Target="http://aacrjournals.org/content/authors/editorial-policies" TargetMode="External"/><Relationship Id="rId367" Type="http://schemas.openxmlformats.org/officeDocument/2006/relationships/hyperlink" Target="https://www.nature.com/authors/policies/peer_review.html" TargetMode="External"/><Relationship Id="rId124" Type="http://schemas.openxmlformats.org/officeDocument/2006/relationships/hyperlink" Target="https://ccr.msubmit.net/cgi-bin/main.plex?form_type=display_rev_instructions" TargetMode="External"/><Relationship Id="rId366" Type="http://schemas.openxmlformats.org/officeDocument/2006/relationships/hyperlink" Target="https://www.nature.com/authors/policies/peer_review.html" TargetMode="External"/><Relationship Id="rId123" Type="http://schemas.openxmlformats.org/officeDocument/2006/relationships/hyperlink" Target="http://aacrjournals.org/content/authors/manuscript-transfer" TargetMode="External"/><Relationship Id="rId365" Type="http://schemas.openxmlformats.org/officeDocument/2006/relationships/hyperlink" Target="https://www.nature.com/authors/policies/preprints.html" TargetMode="External"/><Relationship Id="rId122" Type="http://schemas.openxmlformats.org/officeDocument/2006/relationships/hyperlink" Target="http://aacrjournals.org/site/Info/Reviewers.xhtml" TargetMode="External"/><Relationship Id="rId364" Type="http://schemas.openxmlformats.org/officeDocument/2006/relationships/hyperlink" Target="https://www.nature.com/nmeth/for-referees/policies-and-processes" TargetMode="External"/><Relationship Id="rId95" Type="http://schemas.openxmlformats.org/officeDocument/2006/relationships/hyperlink" Target="https://www.cell.com/reviewers" TargetMode="External"/><Relationship Id="rId94" Type="http://schemas.openxmlformats.org/officeDocument/2006/relationships/hyperlink" Target="https://www.cell.com/cell-stem-cell/articletransfer" TargetMode="External"/><Relationship Id="rId97" Type="http://schemas.openxmlformats.org/officeDocument/2006/relationships/hyperlink" Target="https://arxiv.org/" TargetMode="External"/><Relationship Id="rId96" Type="http://schemas.openxmlformats.org/officeDocument/2006/relationships/hyperlink" Target="https://www.cell.com/cell-stem-cell/authors" TargetMode="External"/><Relationship Id="rId99" Type="http://schemas.openxmlformats.org/officeDocument/2006/relationships/hyperlink" Target="http://www.rsc.org/journals-books-databases/journal-authors-reviewers/reviewer-responsibilities/" TargetMode="External"/><Relationship Id="rId98" Type="http://schemas.openxmlformats.org/officeDocument/2006/relationships/hyperlink" Target="http://www.rsc.org/journals-books-databases/journal-authors-reviewers/reviewer-responsibilities/" TargetMode="External"/><Relationship Id="rId91" Type="http://schemas.openxmlformats.org/officeDocument/2006/relationships/hyperlink" Target="https://www.cell.com/cell-metabolism/authors" TargetMode="External"/><Relationship Id="rId90" Type="http://schemas.openxmlformats.org/officeDocument/2006/relationships/hyperlink" Target="https://www.cell.com/reviewers" TargetMode="External"/><Relationship Id="rId93" Type="http://schemas.openxmlformats.org/officeDocument/2006/relationships/hyperlink" Target="https://www.cell.com/reviewers" TargetMode="External"/><Relationship Id="rId92" Type="http://schemas.openxmlformats.org/officeDocument/2006/relationships/hyperlink" Target="https://arxiv.org/" TargetMode="External"/><Relationship Id="rId118" Type="http://schemas.openxmlformats.org/officeDocument/2006/relationships/hyperlink" Target="https://www.ahajournals.org/pb-assets/Ethical%20ConductPolicyApril2017finalWeb.pdf" TargetMode="External"/><Relationship Id="rId117" Type="http://schemas.openxmlformats.org/officeDocument/2006/relationships/hyperlink" Target="https://www.ahajournals.org/pb-assets/Ethical%20ConductPolicyApril2017finalWeb.pdf" TargetMode="External"/><Relationship Id="rId359" Type="http://schemas.openxmlformats.org/officeDocument/2006/relationships/hyperlink" Target="https://www.nature.com/nm/for-referees/policies-and-processes" TargetMode="External"/><Relationship Id="rId116" Type="http://schemas.openxmlformats.org/officeDocument/2006/relationships/hyperlink" Target="https://www.ahajournals.org/pb-assets/Ethical%20ConductPolicyApril2017finalWeb.pdf" TargetMode="External"/><Relationship Id="rId358" Type="http://schemas.openxmlformats.org/officeDocument/2006/relationships/hyperlink" Target="https://www.nature.com/authors/author_resources/transfer_manuscripts.html" TargetMode="External"/><Relationship Id="rId115" Type="http://schemas.openxmlformats.org/officeDocument/2006/relationships/hyperlink" Target="https://www.ahajournals.org/prior-publication-policy" TargetMode="External"/><Relationship Id="rId357" Type="http://schemas.openxmlformats.org/officeDocument/2006/relationships/hyperlink" Target="https://www.nature.com/authors/policies/peer_review.html" TargetMode="External"/><Relationship Id="rId119" Type="http://schemas.openxmlformats.org/officeDocument/2006/relationships/hyperlink" Target="https://www.ahajournals.org/prior-publication-policy" TargetMode="External"/><Relationship Id="rId110" Type="http://schemas.openxmlformats.org/officeDocument/2006/relationships/hyperlink" Target="https://pubs.acs.org/paragonplus/submission/cmatex/cmatex_scope.pdf" TargetMode="External"/><Relationship Id="rId352" Type="http://schemas.openxmlformats.org/officeDocument/2006/relationships/hyperlink" Target="https://www.nature.com/authors/policies/peer_review.html" TargetMode="External"/><Relationship Id="rId351" Type="http://schemas.openxmlformats.org/officeDocument/2006/relationships/hyperlink" Target="https://www.nature.com/authors/policies/peer_review.html" TargetMode="External"/><Relationship Id="rId350" Type="http://schemas.openxmlformats.org/officeDocument/2006/relationships/hyperlink" Target="https://www.nature.com/authors/policies/preprints.html" TargetMode="External"/><Relationship Id="rId114" Type="http://schemas.openxmlformats.org/officeDocument/2006/relationships/hyperlink" Target="https://www.ahajournals.org/pb-assets/Ethical%20ConductPolicyApril2017finalWeb.pdf" TargetMode="External"/><Relationship Id="rId356" Type="http://schemas.openxmlformats.org/officeDocument/2006/relationships/hyperlink" Target="https://www.nature.com/authors/policies/peer_review.html" TargetMode="External"/><Relationship Id="rId113" Type="http://schemas.openxmlformats.org/officeDocument/2006/relationships/hyperlink" Target="https://pubs.acs.org/paragonplus/submission/cmatex/cmatex_authguide.pdf" TargetMode="External"/><Relationship Id="rId355" Type="http://schemas.openxmlformats.org/officeDocument/2006/relationships/hyperlink" Target="https://www.nature.com/authors/policies/preprints.html" TargetMode="External"/><Relationship Id="rId112" Type="http://schemas.openxmlformats.org/officeDocument/2006/relationships/hyperlink" Target="https://pubs.acs.org/page/cmatex/submission/prior.html" TargetMode="External"/><Relationship Id="rId354" Type="http://schemas.openxmlformats.org/officeDocument/2006/relationships/hyperlink" Target="https://www.nature.com/nmat/for-referees/policies-and-processes" TargetMode="External"/><Relationship Id="rId111" Type="http://schemas.openxmlformats.org/officeDocument/2006/relationships/hyperlink" Target="https://pubs.acs.org/page/policy/manuscript_transfer/index.html" TargetMode="External"/><Relationship Id="rId353" Type="http://schemas.openxmlformats.org/officeDocument/2006/relationships/hyperlink" Target="https://www.nature.com/authors/author_resources/transfer_manuscripts.html" TargetMode="External"/><Relationship Id="rId305" Type="http://schemas.openxmlformats.org/officeDocument/2006/relationships/hyperlink" Target="https://pubs.acs.org/page/policy/manuscript_transfer/index.html" TargetMode="External"/><Relationship Id="rId304" Type="http://schemas.openxmlformats.org/officeDocument/2006/relationships/hyperlink" Target="https://pubs.acs.org/paragonplus/submission/nalefd/nalefd_authguide.pdf" TargetMode="External"/><Relationship Id="rId303" Type="http://schemas.openxmlformats.org/officeDocument/2006/relationships/hyperlink" Target="https://academic.oup.com/mnras/pages/General_Instructions" TargetMode="External"/><Relationship Id="rId302" Type="http://schemas.openxmlformats.org/officeDocument/2006/relationships/hyperlink" Target="https://academic.oup.com/mnras/pages/General_Instructions" TargetMode="External"/><Relationship Id="rId309" Type="http://schemas.openxmlformats.org/officeDocument/2006/relationships/hyperlink" Target="http://www.rsc.org/journals-books-databases/journal-authors-reviewers/reviewer-responsibilities/" TargetMode="External"/><Relationship Id="rId308" Type="http://schemas.openxmlformats.org/officeDocument/2006/relationships/hyperlink" Target="https://www.rsc.org/journals-books-databases/journal-authors-reviewers/reviewer-responsibilities/" TargetMode="External"/><Relationship Id="rId307" Type="http://schemas.openxmlformats.org/officeDocument/2006/relationships/hyperlink" Target="https://pubs.acs.org/page/nalefd/submission/prior.html" TargetMode="External"/><Relationship Id="rId306" Type="http://schemas.openxmlformats.org/officeDocument/2006/relationships/hyperlink" Target="https://pubs.acs.org/userimages/ContentEditor/1218054468605/ethics.pdf" TargetMode="External"/><Relationship Id="rId301" Type="http://schemas.openxmlformats.org/officeDocument/2006/relationships/hyperlink" Target="https://www.cell.com/molecular-cell/authors" TargetMode="External"/><Relationship Id="rId300" Type="http://schemas.openxmlformats.org/officeDocument/2006/relationships/hyperlink" Target="https://www.cell.com/molecular-cell/authors" TargetMode="External"/><Relationship Id="rId327" Type="http://schemas.openxmlformats.org/officeDocument/2006/relationships/hyperlink" Target="https://www.nature.com/authors/policies/peer_review.html" TargetMode="External"/><Relationship Id="rId326" Type="http://schemas.openxmlformats.org/officeDocument/2006/relationships/hyperlink" Target="https://www.nature.com/authors/policies/peer_review.html" TargetMode="External"/><Relationship Id="rId325" Type="http://schemas.openxmlformats.org/officeDocument/2006/relationships/hyperlink" Target="https://www.nature.com/authors/policies/preprints.html" TargetMode="External"/><Relationship Id="rId324" Type="http://schemas.openxmlformats.org/officeDocument/2006/relationships/hyperlink" Target="https://www.nature.com/ncb/for-referees/policies-and-processes" TargetMode="External"/><Relationship Id="rId329" Type="http://schemas.openxmlformats.org/officeDocument/2006/relationships/hyperlink" Target="https://www.nature.com/nchem/for-referees/policies-and-processes" TargetMode="External"/><Relationship Id="rId328" Type="http://schemas.openxmlformats.org/officeDocument/2006/relationships/hyperlink" Target="https://www.nature.com/authors/author_resources/transfer_manuscripts.html" TargetMode="External"/><Relationship Id="rId323" Type="http://schemas.openxmlformats.org/officeDocument/2006/relationships/hyperlink" Target="https://www.nature.com/authors/author_resources/transfer_manuscripts.html" TargetMode="External"/><Relationship Id="rId322" Type="http://schemas.openxmlformats.org/officeDocument/2006/relationships/hyperlink" Target="https://www.nature.com/authors/policies/peer_review.html" TargetMode="External"/><Relationship Id="rId321" Type="http://schemas.openxmlformats.org/officeDocument/2006/relationships/hyperlink" Target="https://www.nature.com/authors/policies/peer_review.html" TargetMode="External"/><Relationship Id="rId320" Type="http://schemas.openxmlformats.org/officeDocument/2006/relationships/hyperlink" Target="https://www.nature.com/authors/policies/preprints.html" TargetMode="External"/><Relationship Id="rId316" Type="http://schemas.openxmlformats.org/officeDocument/2006/relationships/hyperlink" Target="https://www.nature.com/authors/policies/peer_review.html" TargetMode="External"/><Relationship Id="rId315" Type="http://schemas.openxmlformats.org/officeDocument/2006/relationships/hyperlink" Target="https://www.nature.com/authors/policies/preprints.html" TargetMode="External"/><Relationship Id="rId314" Type="http://schemas.openxmlformats.org/officeDocument/2006/relationships/hyperlink" Target="https://www.nature.com/nature/for-referees/policies-and-processes" TargetMode="External"/><Relationship Id="rId313" Type="http://schemas.openxmlformats.org/officeDocument/2006/relationships/hyperlink" Target="https://www.nature.com/authors/author_resources/transfer_manuscripts.html" TargetMode="External"/><Relationship Id="rId319" Type="http://schemas.openxmlformats.org/officeDocument/2006/relationships/hyperlink" Target="https://www.nature.com/nbt/for-referees/policies-and-processes" TargetMode="External"/><Relationship Id="rId318" Type="http://schemas.openxmlformats.org/officeDocument/2006/relationships/hyperlink" Target="https://www.nature.com/authors/author_resources/transfer_manuscripts.html" TargetMode="External"/><Relationship Id="rId317" Type="http://schemas.openxmlformats.org/officeDocument/2006/relationships/hyperlink" Target="https://www.nature.com/authors/policies/peer_review.html" TargetMode="External"/><Relationship Id="rId312" Type="http://schemas.openxmlformats.org/officeDocument/2006/relationships/hyperlink" Target="https://www.nature.com/authors/policies/peer_review.html" TargetMode="External"/><Relationship Id="rId311" Type="http://schemas.openxmlformats.org/officeDocument/2006/relationships/hyperlink" Target="http://www.rsc.org/journals-books-databases/journal-authors-reviewers/processes-policies/" TargetMode="External"/><Relationship Id="rId310" Type="http://schemas.openxmlformats.org/officeDocument/2006/relationships/hyperlink" Target="https://www.rsc.org/journals-books-databases/journal-authors-reviewers/reviewer-responsibilities/" TargetMode="External"/><Relationship Id="rId297" Type="http://schemas.openxmlformats.org/officeDocument/2006/relationships/hyperlink" Target="https://uk.sagepub.com/en-gb/eur/journal/media-culture-society" TargetMode="External"/><Relationship Id="rId296" Type="http://schemas.openxmlformats.org/officeDocument/2006/relationships/hyperlink" Target="https://pubsonline.informs.org/page/mnsc/submission-guidelines" TargetMode="External"/><Relationship Id="rId295" Type="http://schemas.openxmlformats.org/officeDocument/2006/relationships/hyperlink" Target="https://www.misq.org/skin/frontend/default/misq/pdf/ReviewerRole.pdf" TargetMode="External"/><Relationship Id="rId294" Type="http://schemas.openxmlformats.org/officeDocument/2006/relationships/hyperlink" Target="https://www.elsevier.com/reviewers/how-to-review" TargetMode="External"/><Relationship Id="rId299" Type="http://schemas.openxmlformats.org/officeDocument/2006/relationships/hyperlink" Target="https://www.cell.com/molecular-cell/authors" TargetMode="External"/><Relationship Id="rId298" Type="http://schemas.openxmlformats.org/officeDocument/2006/relationships/hyperlink" Target="https://uk.sagepub.com/en-gb/eur/journal-author-archiving-policies-and-re-use" TargetMode="External"/><Relationship Id="rId271" Type="http://schemas.openxmlformats.org/officeDocument/2006/relationships/hyperlink" Target="http://www.rsc.org/journals-books-databases/journal-authors-reviewers/processes-policies/" TargetMode="External"/><Relationship Id="rId270" Type="http://schemas.openxmlformats.org/officeDocument/2006/relationships/hyperlink" Target="http://www.rsc.org/journals-books-databases/journal-authors-reviewers/reviewer-responsibilities/" TargetMode="External"/><Relationship Id="rId269" Type="http://schemas.openxmlformats.org/officeDocument/2006/relationships/hyperlink" Target="http://www.rsc.org/journals-books-databases/journal-authors-reviewers/processes-policies/" TargetMode="External"/><Relationship Id="rId264" Type="http://schemas.openxmlformats.org/officeDocument/2006/relationships/hyperlink" Target="https://us.sagepub.com/en-us/nam/reviewer-rewards" TargetMode="External"/><Relationship Id="rId263" Type="http://schemas.openxmlformats.org/officeDocument/2006/relationships/hyperlink" Target="https://journals.sagepub.com/pb-assets/cmscontent/JOM/JOM_Style_Guide_revised_2017.pdf" TargetMode="External"/><Relationship Id="rId262" Type="http://schemas.openxmlformats.org/officeDocument/2006/relationships/hyperlink" Target="https://jhep.sissa.it/jhep/help/helpLoader.jsp?pgType=author" TargetMode="External"/><Relationship Id="rId261" Type="http://schemas.openxmlformats.org/officeDocument/2006/relationships/hyperlink" Target="https://www.springer.com/us/authors-editors/journal-author/the-springer-transfer-desk" TargetMode="External"/><Relationship Id="rId268" Type="http://schemas.openxmlformats.org/officeDocument/2006/relationships/hyperlink" Target="http://www.rsc.org/journals-books-databases/journal-authors-reviewers/reviewer-responsibilities/" TargetMode="External"/><Relationship Id="rId267" Type="http://schemas.openxmlformats.org/officeDocument/2006/relationships/hyperlink" Target="http://www.rsc.org/journals-books-databases/journal-authors-reviewers/reviewer-responsibilities/" TargetMode="External"/><Relationship Id="rId266" Type="http://schemas.openxmlformats.org/officeDocument/2006/relationships/hyperlink" Target="https://us.sagepub.com/en-us/nam/prior-publication" TargetMode="External"/><Relationship Id="rId265" Type="http://schemas.openxmlformats.org/officeDocument/2006/relationships/hyperlink" Target="https://us.sagepub.com/en-us/nam/how-to-review-articles" TargetMode="External"/><Relationship Id="rId260" Type="http://schemas.openxmlformats.org/officeDocument/2006/relationships/hyperlink" Target="https://www.springer.com/physics/particle+and+nuclear+physics/journal/13130" TargetMode="External"/><Relationship Id="rId259" Type="http://schemas.openxmlformats.org/officeDocument/2006/relationships/hyperlink" Target="https://www.elsevier.com/about/policies/sharing" TargetMode="External"/><Relationship Id="rId258" Type="http://schemas.openxmlformats.org/officeDocument/2006/relationships/hyperlink" Target="https://www.elsevier.com/reviewers/role" TargetMode="External"/><Relationship Id="rId253" Type="http://schemas.openxmlformats.org/officeDocument/2006/relationships/hyperlink" Target="https://www.elsevier.com/authors/journal-authors/submit-your-paper/submit-and-revise/article-transfer-service" TargetMode="External"/><Relationship Id="rId495" Type="http://schemas.openxmlformats.org/officeDocument/2006/relationships/hyperlink" Target="https://authorservices.wiley.com/Reviewers/journal-reviewers/recognition-for-reviewers/index.html" TargetMode="External"/><Relationship Id="rId252" Type="http://schemas.openxmlformats.org/officeDocument/2006/relationships/hyperlink" Target="https://www.elsevier.com/reviewers/role" TargetMode="External"/><Relationship Id="rId494" Type="http://schemas.openxmlformats.org/officeDocument/2006/relationships/hyperlink" Target="https://www.jci.org/kiosks/authors" TargetMode="External"/><Relationship Id="rId251" Type="http://schemas.openxmlformats.org/officeDocument/2006/relationships/hyperlink" Target="https://www.elsevier.com/reviewers/how-to-review" TargetMode="External"/><Relationship Id="rId493" Type="http://schemas.openxmlformats.org/officeDocument/2006/relationships/hyperlink" Target="https://www.jci.org/kiosks/authors" TargetMode="External"/><Relationship Id="rId250" Type="http://schemas.openxmlformats.org/officeDocument/2006/relationships/hyperlink" Target="https://www.apa.org/pubs/journals/resources/open-science.aspx" TargetMode="External"/><Relationship Id="rId492" Type="http://schemas.openxmlformats.org/officeDocument/2006/relationships/hyperlink" Target="https://www.jci.org/kiosks/authors" TargetMode="External"/><Relationship Id="rId257" Type="http://schemas.openxmlformats.org/officeDocument/2006/relationships/hyperlink" Target="https://publications.agu.org/reviewer-resources/" TargetMode="External"/><Relationship Id="rId499" Type="http://schemas.openxmlformats.org/officeDocument/2006/relationships/hyperlink" Target="http://pubs.acs.org/paragonplus/submission/jpclcd/jpclcd_authguide.pdf" TargetMode="External"/><Relationship Id="rId256" Type="http://schemas.openxmlformats.org/officeDocument/2006/relationships/hyperlink" Target="https://publications.agu.org/reviewer-resources/review-criteria" TargetMode="External"/><Relationship Id="rId498" Type="http://schemas.openxmlformats.org/officeDocument/2006/relationships/hyperlink" Target="http://pubs.acs.org/paragonplus/submission/jpclcd/jpclcd_authguide.pdf" TargetMode="External"/><Relationship Id="rId255" Type="http://schemas.openxmlformats.org/officeDocument/2006/relationships/hyperlink" Target="https://publications.agu.org/reviewer-resources/" TargetMode="External"/><Relationship Id="rId497" Type="http://schemas.openxmlformats.org/officeDocument/2006/relationships/hyperlink" Target="https://cdn.ymaws.com/www.afajof.org/resource/resmgr/files/Submission_docs/JF_Submission_Guidelines-Feb.pdf" TargetMode="External"/><Relationship Id="rId254" Type="http://schemas.openxmlformats.org/officeDocument/2006/relationships/hyperlink" Target="https://www.elsevier.com/reviewers/how-to-review" TargetMode="External"/><Relationship Id="rId496" Type="http://schemas.openxmlformats.org/officeDocument/2006/relationships/hyperlink" Target="https://authorservices.wiley.com/Reviewers/journal-reviewers/how-to-perform-a-peer-review/general-and-ethical-guidelines.html" TargetMode="External"/><Relationship Id="rId293" Type="http://schemas.openxmlformats.org/officeDocument/2006/relationships/hyperlink" Target="https://www.elsevier.com/reviewers/what-is-peer-review" TargetMode="External"/><Relationship Id="rId292" Type="http://schemas.openxmlformats.org/officeDocument/2006/relationships/hyperlink" Target="https://www.elsevier.com/reviewers/role" TargetMode="External"/><Relationship Id="rId291" Type="http://schemas.openxmlformats.org/officeDocument/2006/relationships/hyperlink" Target="https://www.elsevier.com/journals/lingua/0024-3841/guide-for-authors" TargetMode="External"/><Relationship Id="rId290" Type="http://schemas.openxmlformats.org/officeDocument/2006/relationships/hyperlink" Target="https://onlinelibrary.wiley.com/page/journal/14679922/homepage/forauthors.html" TargetMode="External"/><Relationship Id="rId286" Type="http://schemas.openxmlformats.org/officeDocument/2006/relationships/hyperlink" Target="https://www.elsevier.com/journals/land-use-policy/0264-8377?generatepdf=true" TargetMode="External"/><Relationship Id="rId285" Type="http://schemas.openxmlformats.org/officeDocument/2006/relationships/hyperlink" Target="https://www.tandfonline.com/action/authorSubmission?journalCode=rjos20&amp;page=instructions" TargetMode="External"/><Relationship Id="rId284" Type="http://schemas.openxmlformats.org/officeDocument/2006/relationships/hyperlink" Target="https://www.tandfonline.com/action/authorSubmission?journalCode=rjop20&amp;page=instructions" TargetMode="External"/><Relationship Id="rId283" Type="http://schemas.openxmlformats.org/officeDocument/2006/relationships/hyperlink" Target="https://us.sagepub.com/en-us/nam/prior-publication" TargetMode="External"/><Relationship Id="rId289" Type="http://schemas.openxmlformats.org/officeDocument/2006/relationships/hyperlink" Target="https://www.elsevier.com/about/policies/copyright/permissions" TargetMode="External"/><Relationship Id="rId288" Type="http://schemas.openxmlformats.org/officeDocument/2006/relationships/hyperlink" Target="https://www.elsevier.com/authors/journal-authors/submit-your-paper/submit-and-revise/article-transfer-service" TargetMode="External"/><Relationship Id="rId287" Type="http://schemas.openxmlformats.org/officeDocument/2006/relationships/hyperlink" Target="https://www.elsevier.com/reviewers/role" TargetMode="External"/><Relationship Id="rId282" Type="http://schemas.openxmlformats.org/officeDocument/2006/relationships/hyperlink" Target="https://us.sagepub.com/en-us/nam/how-to-review-articles" TargetMode="External"/><Relationship Id="rId281" Type="http://schemas.openxmlformats.org/officeDocument/2006/relationships/hyperlink" Target="https://us.sagepub.com/en-us/nam/reviewer-rewards" TargetMode="External"/><Relationship Id="rId280" Type="http://schemas.openxmlformats.org/officeDocument/2006/relationships/hyperlink" Target="https://us.sagepub.com/en-us/nam/journal/journalism" TargetMode="External"/><Relationship Id="rId275" Type="http://schemas.openxmlformats.org/officeDocument/2006/relationships/hyperlink" Target="https://pubs.acs.org/page/policy/manuscript_transfer/index.html" TargetMode="External"/><Relationship Id="rId274" Type="http://schemas.openxmlformats.org/officeDocument/2006/relationships/hyperlink" Target="http://pubs.acs.org/paragonplus/submission/jacsat/jacsat_authguide.pdf" TargetMode="External"/><Relationship Id="rId273" Type="http://schemas.openxmlformats.org/officeDocument/2006/relationships/hyperlink" Target="https://www.elsevier.com/authors/journal-authors/submit-your-paper/submit-and-revise/article-transfer-service" TargetMode="External"/><Relationship Id="rId272" Type="http://schemas.openxmlformats.org/officeDocument/2006/relationships/hyperlink" Target="https://www.journals.elsevier.com/journal-of-pragmatics/policies/peer-review-policy-for-the-journal-of-pragmatics" TargetMode="External"/><Relationship Id="rId279" Type="http://schemas.openxmlformats.org/officeDocument/2006/relationships/hyperlink" Target="https://www.springer.com/psychology/child+%26+school+psychology/journal/10964?detailsPage=pltci_1692324" TargetMode="External"/><Relationship Id="rId278" Type="http://schemas.openxmlformats.org/officeDocument/2006/relationships/hyperlink" Target="http://www.onlinejacc.org/content/73/2/A28" TargetMode="External"/><Relationship Id="rId277" Type="http://schemas.openxmlformats.org/officeDocument/2006/relationships/hyperlink" Target="http://www.onlinejacc.org/content/73/2/A28" TargetMode="External"/><Relationship Id="rId276" Type="http://schemas.openxmlformats.org/officeDocument/2006/relationships/hyperlink" Target="http://pubs.acs.org/paragonplus/submission/jacsat/jacsat_authguide.pdf" TargetMode="External"/><Relationship Id="rId409" Type="http://schemas.openxmlformats.org/officeDocument/2006/relationships/hyperlink" Target="https://www.cell.com/neuron/authors?code=cell-site" TargetMode="External"/><Relationship Id="rId404" Type="http://schemas.openxmlformats.org/officeDocument/2006/relationships/hyperlink" Target="https://www.elsevier.com/about/policies/sharing" TargetMode="External"/><Relationship Id="rId403" Type="http://schemas.openxmlformats.org/officeDocument/2006/relationships/hyperlink" Target="https://www.elsevier.com/reviewers/how-to-review" TargetMode="External"/><Relationship Id="rId402" Type="http://schemas.openxmlformats.org/officeDocument/2006/relationships/hyperlink" Target="https://www.elsevier.com/reviewers/what-is-peer-review" TargetMode="External"/><Relationship Id="rId401" Type="http://schemas.openxmlformats.org/officeDocument/2006/relationships/hyperlink" Target="https://www.elsevier.com/reviewers/role" TargetMode="External"/><Relationship Id="rId408" Type="http://schemas.openxmlformats.org/officeDocument/2006/relationships/hyperlink" Target="https://www.cell.com/neuron/authors" TargetMode="External"/><Relationship Id="rId407" Type="http://schemas.openxmlformats.org/officeDocument/2006/relationships/hyperlink" Target="https://www.cell.com/reviewers" TargetMode="External"/><Relationship Id="rId406" Type="http://schemas.openxmlformats.org/officeDocument/2006/relationships/hyperlink" Target="https://www.cell.com/neuron/authors" TargetMode="External"/><Relationship Id="rId405" Type="http://schemas.openxmlformats.org/officeDocument/2006/relationships/hyperlink" Target="https://www.cell.com/reviewers" TargetMode="External"/><Relationship Id="rId400" Type="http://schemas.openxmlformats.org/officeDocument/2006/relationships/hyperlink" Target="https://www.elsevier.com/journals/neuroimage/1053-8119/guide-for-authors" TargetMode="External"/><Relationship Id="rId228" Type="http://schemas.openxmlformats.org/officeDocument/2006/relationships/hyperlink" Target="https://www.elsevier.com/journals/journal-of-business-research/0148-2963/guide-for-authors" TargetMode="External"/><Relationship Id="rId227" Type="http://schemas.openxmlformats.org/officeDocument/2006/relationships/hyperlink" Target="https://www.springer.com/philosophy/ethics+and+moral+philosophy/journal/10551" TargetMode="External"/><Relationship Id="rId469" Type="http://schemas.openxmlformats.org/officeDocument/2006/relationships/hyperlink" Target="https://stm.sciencemag.org/content/science-translational-medicine-general-policies" TargetMode="External"/><Relationship Id="rId226" Type="http://schemas.openxmlformats.org/officeDocument/2006/relationships/hyperlink" Target="https://www.springer.com/philosophy/ethics+and+moral+philosophy/journal/10551" TargetMode="External"/><Relationship Id="rId468" Type="http://schemas.openxmlformats.org/officeDocument/2006/relationships/hyperlink" Target="http://www.sciencemag.org/authors/science-journals-editorial-policies" TargetMode="External"/><Relationship Id="rId225" Type="http://schemas.openxmlformats.org/officeDocument/2006/relationships/hyperlink" Target="https://www.elsevier.com/about/policies/sharing" TargetMode="External"/><Relationship Id="rId467" Type="http://schemas.openxmlformats.org/officeDocument/2006/relationships/hyperlink" Target="https://www.sciencemag.org/authors/peer-review-science-publications" TargetMode="External"/><Relationship Id="rId229" Type="http://schemas.openxmlformats.org/officeDocument/2006/relationships/hyperlink" Target="https://www.elsevier.com/reviewers/role" TargetMode="External"/><Relationship Id="rId220" Type="http://schemas.openxmlformats.org/officeDocument/2006/relationships/hyperlink" Target="https://www.elsevier.com/about/policies/sharing" TargetMode="External"/><Relationship Id="rId462" Type="http://schemas.openxmlformats.org/officeDocument/2006/relationships/hyperlink" Target="https://www.mitpressjournals.org/for_authors" TargetMode="External"/><Relationship Id="rId461" Type="http://schemas.openxmlformats.org/officeDocument/2006/relationships/hyperlink" Target="https://www.elsevier.com/reviewers/how-to-review" TargetMode="External"/><Relationship Id="rId460" Type="http://schemas.openxmlformats.org/officeDocument/2006/relationships/hyperlink" Target="https://www.elsevier.com/reviewers/what-is-peer-review" TargetMode="External"/><Relationship Id="rId224" Type="http://schemas.openxmlformats.org/officeDocument/2006/relationships/hyperlink" Target="https://www.elsevier.com/reviewers/how-to-review" TargetMode="External"/><Relationship Id="rId466" Type="http://schemas.openxmlformats.org/officeDocument/2006/relationships/hyperlink" Target="https://www.sciencemag.org/authors/science-information-authors" TargetMode="External"/><Relationship Id="rId223" Type="http://schemas.openxmlformats.org/officeDocument/2006/relationships/hyperlink" Target="https://www.elsevier.com/reviewers/what-is-peer-review" TargetMode="External"/><Relationship Id="rId465" Type="http://schemas.openxmlformats.org/officeDocument/2006/relationships/hyperlink" Target="http://www.sciencemag.org/authors/science-information-authors" TargetMode="External"/><Relationship Id="rId222" Type="http://schemas.openxmlformats.org/officeDocument/2006/relationships/hyperlink" Target="https://www.elsevier.com/reviewers/role" TargetMode="External"/><Relationship Id="rId464" Type="http://schemas.openxmlformats.org/officeDocument/2006/relationships/hyperlink" Target="https://journals.aps.org/rmp/info/procedures.html" TargetMode="External"/><Relationship Id="rId221" Type="http://schemas.openxmlformats.org/officeDocument/2006/relationships/hyperlink" Target="https://www.elsevier.com/journals/journal-of-banking-and-finance/0378-4266/guide-for-authors" TargetMode="External"/><Relationship Id="rId463" Type="http://schemas.openxmlformats.org/officeDocument/2006/relationships/hyperlink" Target="https://journals.aps.org/rmp/info/procedures.html" TargetMode="External"/><Relationship Id="rId217" Type="http://schemas.openxmlformats.org/officeDocument/2006/relationships/hyperlink" Target="https://jamanetwork.com/journals/jama/pages/instructions-for-authors" TargetMode="External"/><Relationship Id="rId459" Type="http://schemas.openxmlformats.org/officeDocument/2006/relationships/hyperlink" Target="https://www.elsevier.com/reviewers/role" TargetMode="External"/><Relationship Id="rId216" Type="http://schemas.openxmlformats.org/officeDocument/2006/relationships/hyperlink" Target="https://jamanetwork.com/journals/jama/pages/instructions-for-authors" TargetMode="External"/><Relationship Id="rId458" Type="http://schemas.openxmlformats.org/officeDocument/2006/relationships/hyperlink" Target="https://www.elsevier.com/journals/research-policy/0048-7333/guide-for-authors" TargetMode="External"/><Relationship Id="rId215" Type="http://schemas.openxmlformats.org/officeDocument/2006/relationships/hyperlink" Target="https://jamanetwork.com/journals/jama/pages/instructions-for-authors" TargetMode="External"/><Relationship Id="rId457" Type="http://schemas.openxmlformats.org/officeDocument/2006/relationships/hyperlink" Target="https://www.elsevier.com/reviewers/how-to-review" TargetMode="External"/><Relationship Id="rId214" Type="http://schemas.openxmlformats.org/officeDocument/2006/relationships/hyperlink" Target="https://www.elsevier.com/journals/international-journal-of-production-economics/0925-5273/guide-for-authors" TargetMode="External"/><Relationship Id="rId456" Type="http://schemas.openxmlformats.org/officeDocument/2006/relationships/hyperlink" Target="https://www.elsevier.com/reviewers/what-is-peer-review" TargetMode="External"/><Relationship Id="rId219" Type="http://schemas.openxmlformats.org/officeDocument/2006/relationships/hyperlink" Target="https://www.elsevier.com/authors/journal-authors/submit-your-paper/submit-and-revise/article-transfer-service" TargetMode="External"/><Relationship Id="rId218" Type="http://schemas.openxmlformats.org/officeDocument/2006/relationships/hyperlink" Target="https://www.jacionline.org/content/authorinfo" TargetMode="External"/><Relationship Id="rId451" Type="http://schemas.openxmlformats.org/officeDocument/2006/relationships/hyperlink" Target="https://academic.oup.com/poq/pages/general_instructions" TargetMode="External"/><Relationship Id="rId450" Type="http://schemas.openxmlformats.org/officeDocument/2006/relationships/hyperlink" Target="https://uk.sagepub.com/en-gb/eur/how-to-review-articles" TargetMode="External"/><Relationship Id="rId213" Type="http://schemas.openxmlformats.org/officeDocument/2006/relationships/hyperlink" Target="https://www.elsevier.com/reviewers/how-to-review" TargetMode="External"/><Relationship Id="rId455" Type="http://schemas.openxmlformats.org/officeDocument/2006/relationships/hyperlink" Target="https://www.elsevier.com/reviewers/role" TargetMode="External"/><Relationship Id="rId212" Type="http://schemas.openxmlformats.org/officeDocument/2006/relationships/hyperlink" Target="https://www.elsevier.com/reviewers/what-is-peer-review" TargetMode="External"/><Relationship Id="rId454" Type="http://schemas.openxmlformats.org/officeDocument/2006/relationships/hyperlink" Target="https://www.elsevier.com/journals/renewable-and-sustainable-energy-reviews/1364-0321/guide-for-authors" TargetMode="External"/><Relationship Id="rId211" Type="http://schemas.openxmlformats.org/officeDocument/2006/relationships/hyperlink" Target="https://www.elsevier.com/reviewers/role" TargetMode="External"/><Relationship Id="rId453" Type="http://schemas.openxmlformats.org/officeDocument/2006/relationships/hyperlink" Target="https://www.tandfonline.com/action/authorSubmission?show=instructions&amp;journalCode=cres20" TargetMode="External"/><Relationship Id="rId210" Type="http://schemas.openxmlformats.org/officeDocument/2006/relationships/hyperlink" Target="https://www.elsevier.com/journals/international-journal-of-production-economics/0925-5273?generatepdf=true" TargetMode="External"/><Relationship Id="rId452" Type="http://schemas.openxmlformats.org/officeDocument/2006/relationships/hyperlink" Target="https://academic.oup.com/journals/pages/access_purchase/rights_and_permissions/self_archiving_policy_a" TargetMode="External"/><Relationship Id="rId491" Type="http://schemas.openxmlformats.org/officeDocument/2006/relationships/hyperlink" Target="https://epjc.epj.org/epjc-faq" TargetMode="External"/><Relationship Id="rId490" Type="http://schemas.openxmlformats.org/officeDocument/2006/relationships/hyperlink" Target="https://www.springer.com/physics/particle+and+nuclear+physics/journal/10052" TargetMode="External"/><Relationship Id="rId249" Type="http://schemas.openxmlformats.org/officeDocument/2006/relationships/hyperlink" Target="https://www.apa.org/pubs/journals/reviewer-instructions.pdf" TargetMode="External"/><Relationship Id="rId248" Type="http://schemas.openxmlformats.org/officeDocument/2006/relationships/hyperlink" Target="https://www.aeaweb.org/journals/jep/submissions" TargetMode="External"/><Relationship Id="rId247" Type="http://schemas.openxmlformats.org/officeDocument/2006/relationships/hyperlink" Target="https://jcap.sissa.it/jcap/help/helpLoader.jsp?pgType=flow" TargetMode="External"/><Relationship Id="rId489" Type="http://schemas.openxmlformats.org/officeDocument/2006/relationships/hyperlink" Target="http://ideas.cochrane.org/forums/326856-cochrane-style-manual/suggestions/18762079-referencing-preprints" TargetMode="External"/><Relationship Id="rId242" Type="http://schemas.openxmlformats.org/officeDocument/2006/relationships/hyperlink" Target="https://academic.oup.com/journals/pages/access_purchase/rights_and_permissions/self_archiving_policy_f" TargetMode="External"/><Relationship Id="rId484" Type="http://schemas.openxmlformats.org/officeDocument/2006/relationships/hyperlink" Target="https://www.elsevier.com/journals/teaching-and-teacher-education/0742-051x/guide-for-authors" TargetMode="External"/><Relationship Id="rId241" Type="http://schemas.openxmlformats.org/officeDocument/2006/relationships/hyperlink" Target="https://academic.oup.com/joc/pages/General_Instructions" TargetMode="External"/><Relationship Id="rId483" Type="http://schemas.openxmlformats.org/officeDocument/2006/relationships/hyperlink" Target="https://www.elsevier.com/journals/teaching-and-teacher-education/0742-051x/guide-for-authors" TargetMode="External"/><Relationship Id="rId240" Type="http://schemas.openxmlformats.org/officeDocument/2006/relationships/hyperlink" Target="http://ascopubs.org/jco/site/ifc/journal-policies.xhtml" TargetMode="External"/><Relationship Id="rId482" Type="http://schemas.openxmlformats.org/officeDocument/2006/relationships/hyperlink" Target="https://www.elsevier.com/reviewers/role" TargetMode="External"/><Relationship Id="rId481" Type="http://schemas.openxmlformats.org/officeDocument/2006/relationships/hyperlink" Target="https://www.journals.elsevier.com/system" TargetMode="External"/><Relationship Id="rId246" Type="http://schemas.openxmlformats.org/officeDocument/2006/relationships/hyperlink" Target="https://publishingsupport.iopscience.iop.org/questions/ethics-for-reviewers/" TargetMode="External"/><Relationship Id="rId488" Type="http://schemas.openxmlformats.org/officeDocument/2006/relationships/hyperlink" Target="https://community.cochrane.org/editorial-and-publishing-policy-resource/cochrane-review-management/cochrane-peer-review-policy" TargetMode="External"/><Relationship Id="rId245" Type="http://schemas.openxmlformats.org/officeDocument/2006/relationships/hyperlink" Target="https://publishingsupport.iopscience.iop.org/questions/article-transfer-service/" TargetMode="External"/><Relationship Id="rId487" Type="http://schemas.openxmlformats.org/officeDocument/2006/relationships/hyperlink" Target="https://onlinelibrary.wiley.com/page/journal/15457249/homepage/forauthors.html" TargetMode="External"/><Relationship Id="rId244" Type="http://schemas.openxmlformats.org/officeDocument/2006/relationships/hyperlink" Target="https://publishingsupport.iopscience.iop.org/becoming-a-journal-reviewer/" TargetMode="External"/><Relationship Id="rId486" Type="http://schemas.openxmlformats.org/officeDocument/2006/relationships/hyperlink" Target="https://authorservices.wiley.com/Reviewers/journal-reviewers/recognition-for-reviewers/index.html" TargetMode="External"/><Relationship Id="rId243" Type="http://schemas.openxmlformats.org/officeDocument/2006/relationships/hyperlink" Target="https://publishingsupport.iopscience.iop.org/becoming-a-journal-reviewer/" TargetMode="External"/><Relationship Id="rId485" Type="http://schemas.openxmlformats.org/officeDocument/2006/relationships/hyperlink" Target="https://www.tesol.org/read-and-publish/journals/tesol-journal" TargetMode="External"/><Relationship Id="rId480" Type="http://schemas.openxmlformats.org/officeDocument/2006/relationships/hyperlink" Target="https://www.springer.com/philosophy/epistemology+and+philosophy+of+science/journal/11229" TargetMode="External"/><Relationship Id="rId239" Type="http://schemas.openxmlformats.org/officeDocument/2006/relationships/hyperlink" Target="http://ascopubs.org/reviewers" TargetMode="External"/><Relationship Id="rId238" Type="http://schemas.openxmlformats.org/officeDocument/2006/relationships/hyperlink" Target="http://ascopubs.org/jco/site/ifc/my-article-was-submitted.xhtml" TargetMode="External"/><Relationship Id="rId237" Type="http://schemas.openxmlformats.org/officeDocument/2006/relationships/hyperlink" Target="https://www.elsevier.com/about/policies/sharing" TargetMode="External"/><Relationship Id="rId479" Type="http://schemas.openxmlformats.org/officeDocument/2006/relationships/hyperlink" Target="https://www.springer.com/philosophy/epistemology+and+philosophy+of+science/journal/11229" TargetMode="External"/><Relationship Id="rId236" Type="http://schemas.openxmlformats.org/officeDocument/2006/relationships/hyperlink" Target="https://www.elsevier.com/reviewers/how-to-review" TargetMode="External"/><Relationship Id="rId478" Type="http://schemas.openxmlformats.org/officeDocument/2006/relationships/hyperlink" Target="https://authorservices.wiley.com/Reviewers/journal-reviewers/how-to-perform-a-peer-review/general-and-ethical-guidelines.html" TargetMode="External"/><Relationship Id="rId231" Type="http://schemas.openxmlformats.org/officeDocument/2006/relationships/hyperlink" Target="https://www.elsevier.com/reviewers/how-to-review" TargetMode="External"/><Relationship Id="rId473" Type="http://schemas.openxmlformats.org/officeDocument/2006/relationships/hyperlink" Target="https://www.nature.com/authors/author_resources/transfer_manuscripts.html" TargetMode="External"/><Relationship Id="rId230" Type="http://schemas.openxmlformats.org/officeDocument/2006/relationships/hyperlink" Target="https://www.elsevier.com/reviewers/what-is-peer-review" TargetMode="External"/><Relationship Id="rId472" Type="http://schemas.openxmlformats.org/officeDocument/2006/relationships/hyperlink" Target="https://www.nature.com/srep/journal-policies/peer-review" TargetMode="External"/><Relationship Id="rId471" Type="http://schemas.openxmlformats.org/officeDocument/2006/relationships/hyperlink" Target="https://stm.sciencemag.org/content/science-translational-medicine-general-policies" TargetMode="External"/><Relationship Id="rId470" Type="http://schemas.openxmlformats.org/officeDocument/2006/relationships/hyperlink" Target="https://stm.sciencemag.org/content/information-reviewers" TargetMode="External"/><Relationship Id="rId235" Type="http://schemas.openxmlformats.org/officeDocument/2006/relationships/hyperlink" Target="https://www.elsevier.com/reviewers/what-is-peer-review" TargetMode="External"/><Relationship Id="rId477" Type="http://schemas.openxmlformats.org/officeDocument/2006/relationships/hyperlink" Target="https://www.elsevier.com/journals/social-science-and-medicine/0277-9536/guide-for-authors" TargetMode="External"/><Relationship Id="rId234" Type="http://schemas.openxmlformats.org/officeDocument/2006/relationships/hyperlink" Target="https://www.elsevier.com/reviewers/role" TargetMode="External"/><Relationship Id="rId476" Type="http://schemas.openxmlformats.org/officeDocument/2006/relationships/hyperlink" Target="https://www.elsevier.com/journals/social-science-and-medicine/0277-9536/guide-for-authors" TargetMode="External"/><Relationship Id="rId233" Type="http://schemas.openxmlformats.org/officeDocument/2006/relationships/hyperlink" Target="https://www.elsevier.com/journals/journal-of-cleaner-production/0959-6526/guide-for-authors" TargetMode="External"/><Relationship Id="rId475" Type="http://schemas.openxmlformats.org/officeDocument/2006/relationships/hyperlink" Target="https://www.nature.com/srep/journal-policies/editorial-policies?draft=journal&amp;target=content" TargetMode="External"/><Relationship Id="rId232" Type="http://schemas.openxmlformats.org/officeDocument/2006/relationships/hyperlink" Target="https://www.elsevier.com/about/policies/sharing" TargetMode="External"/><Relationship Id="rId474" Type="http://schemas.openxmlformats.org/officeDocument/2006/relationships/hyperlink" Target="https://www.nature.com/srep/journal-policies/referees" TargetMode="External"/><Relationship Id="rId426" Type="http://schemas.openxmlformats.org/officeDocument/2006/relationships/hyperlink" Target="https://journals.aps.org/prb/authors/editorial-policies-practices" TargetMode="External"/><Relationship Id="rId425" Type="http://schemas.openxmlformats.org/officeDocument/2006/relationships/hyperlink" Target="https://journals.aps.org/prb/referees/guidelines-for-referees" TargetMode="External"/><Relationship Id="rId424" Type="http://schemas.openxmlformats.org/officeDocument/2006/relationships/hyperlink" Target="https://www.springer.com/philosophy/journal/11098" TargetMode="External"/><Relationship Id="rId423" Type="http://schemas.openxmlformats.org/officeDocument/2006/relationships/hyperlink" Target="https://www.springer.com/philosophy/journal/11098" TargetMode="External"/><Relationship Id="rId429" Type="http://schemas.openxmlformats.org/officeDocument/2006/relationships/hyperlink" Target="https://journals.aps.org/prd/authors/editorial-policies-practices" TargetMode="External"/><Relationship Id="rId428" Type="http://schemas.openxmlformats.org/officeDocument/2006/relationships/hyperlink" Target="https://journals.aps.org/prd/authors/editorial-policies-practices" TargetMode="External"/><Relationship Id="rId427" Type="http://schemas.openxmlformats.org/officeDocument/2006/relationships/hyperlink" Target="https://journals.aps.org/prb/authors/editorial-policies-practices" TargetMode="External"/><Relationship Id="rId422" Type="http://schemas.openxmlformats.org/officeDocument/2006/relationships/hyperlink" Target="http://www.aappublications.org/content/pediatrics-reviewer-guidelines" TargetMode="External"/><Relationship Id="rId421" Type="http://schemas.openxmlformats.org/officeDocument/2006/relationships/hyperlink" Target="http://www.aappublications.org/content/pediatrics-author-guidelines" TargetMode="External"/><Relationship Id="rId420" Type="http://schemas.openxmlformats.org/officeDocument/2006/relationships/hyperlink" Target="http://www.aappublications.org/content/pediatrics-reviewer-guidelines" TargetMode="External"/><Relationship Id="rId415" Type="http://schemas.openxmlformats.org/officeDocument/2006/relationships/hyperlink" Target="https://academic.oup.com/nar/pages/Policies" TargetMode="External"/><Relationship Id="rId414" Type="http://schemas.openxmlformats.org/officeDocument/2006/relationships/hyperlink" Target="https://authorservices.wiley.com/author-resources/Journal-Authors/open-access/preprints-policy.html" TargetMode="External"/><Relationship Id="rId413" Type="http://schemas.openxmlformats.org/officeDocument/2006/relationships/hyperlink" Target="https://authorservices.wiley.com/Reviewers/journal-reviewers/how-to-perform-a-peer-review/general-and-ethical-guidelines.html" TargetMode="External"/><Relationship Id="rId412" Type="http://schemas.openxmlformats.org/officeDocument/2006/relationships/hyperlink" Target="https://authorservices.wiley.com/Reviewers/journal-reviewers/recognition-for-reviewers/index.html" TargetMode="External"/><Relationship Id="rId419" Type="http://schemas.openxmlformats.org/officeDocument/2006/relationships/hyperlink" Target="https://www.osapublishing.org/submit/review/peer_review.cfm" TargetMode="External"/><Relationship Id="rId418" Type="http://schemas.openxmlformats.org/officeDocument/2006/relationships/hyperlink" Target="https://www.osapublishing.org/oe/submit/review/outstandingreviewers.cfm" TargetMode="External"/><Relationship Id="rId417" Type="http://schemas.openxmlformats.org/officeDocument/2006/relationships/hyperlink" Target="https://www.osapublishing.org/submit/review/peer_review.cfm" TargetMode="External"/><Relationship Id="rId416" Type="http://schemas.openxmlformats.org/officeDocument/2006/relationships/hyperlink" Target="http://arxiv.org/" TargetMode="External"/><Relationship Id="rId411" Type="http://schemas.openxmlformats.org/officeDocument/2006/relationships/hyperlink" Target="https://onlinelibrary.wiley.com/page/journal/14680068/homepage/forauthors.html" TargetMode="External"/><Relationship Id="rId410" Type="http://schemas.openxmlformats.org/officeDocument/2006/relationships/hyperlink" Target="https://us.sagepub.com/en-us/nam/journal/new-media-society" TargetMode="External"/><Relationship Id="rId206" Type="http://schemas.openxmlformats.org/officeDocument/2006/relationships/hyperlink" Target="https://ieeeauthorcenter.ieee.org/publishing-ethics/guidelines-and-policies/policy-posting-your-article/" TargetMode="External"/><Relationship Id="rId448" Type="http://schemas.openxmlformats.org/officeDocument/2006/relationships/hyperlink" Target="https://uk.sagepub.com/en-gb/eur/journal/progress-human-geography" TargetMode="External"/><Relationship Id="rId205" Type="http://schemas.openxmlformats.org/officeDocument/2006/relationships/hyperlink" Target="https://signalprocessingsociety.org/publications-resources/publications-faq" TargetMode="External"/><Relationship Id="rId447" Type="http://schemas.openxmlformats.org/officeDocument/2006/relationships/hyperlink" Target="https://www.pnas.org/page/authors/reviewers" TargetMode="External"/><Relationship Id="rId204" Type="http://schemas.openxmlformats.org/officeDocument/2006/relationships/hyperlink" Target="https://ieeeauthorcenter.ieee.org/peer-review-at-ieee/ethics-in-peer-review/" TargetMode="External"/><Relationship Id="rId446" Type="http://schemas.openxmlformats.org/officeDocument/2006/relationships/hyperlink" Target="https://www.pnas.org/content/115/52/E12466" TargetMode="External"/><Relationship Id="rId203" Type="http://schemas.openxmlformats.org/officeDocument/2006/relationships/hyperlink" Target="https://ieeeauthorcenter.ieee.org/publishing-ethics/guidelines-and-policies/policy-posting-your-article/" TargetMode="External"/><Relationship Id="rId445" Type="http://schemas.openxmlformats.org/officeDocument/2006/relationships/hyperlink" Target="https://www.pnas.org/page/authors/reviewers" TargetMode="External"/><Relationship Id="rId209" Type="http://schemas.openxmlformats.org/officeDocument/2006/relationships/hyperlink" Target="https://www.cell.com/immunity/authors" TargetMode="External"/><Relationship Id="rId208" Type="http://schemas.openxmlformats.org/officeDocument/2006/relationships/hyperlink" Target="http://www.cell.com/immunity/articletransfer" TargetMode="External"/><Relationship Id="rId207" Type="http://schemas.openxmlformats.org/officeDocument/2006/relationships/hyperlink" Target="https://www.cell.com/reviewers" TargetMode="External"/><Relationship Id="rId449" Type="http://schemas.openxmlformats.org/officeDocument/2006/relationships/hyperlink" Target="https://uk.sagepub.com/en-gb/eur/get-credit-for-your-reviews" TargetMode="External"/><Relationship Id="rId440" Type="http://schemas.openxmlformats.org/officeDocument/2006/relationships/hyperlink" Target="https://www.elsevier.com/journals/physics-letters-b/0370-2693/guide-for-authors" TargetMode="External"/><Relationship Id="rId202" Type="http://schemas.openxmlformats.org/officeDocument/2006/relationships/hyperlink" Target="https://ieeeauthorcenter.ieee.org/peer-review-at-ieee/ethics-in-peer-review/" TargetMode="External"/><Relationship Id="rId444" Type="http://schemas.openxmlformats.org/officeDocument/2006/relationships/hyperlink" Target="https://journals.plos.org/plosone/s/preprints" TargetMode="External"/><Relationship Id="rId201" Type="http://schemas.openxmlformats.org/officeDocument/2006/relationships/hyperlink" Target="https://ieeeauthorcenter.ieee.org/publishing-ethics/guidelines-and-policies/policy-posting-your-article/" TargetMode="External"/><Relationship Id="rId443" Type="http://schemas.openxmlformats.org/officeDocument/2006/relationships/hyperlink" Target="https://journals.plos.org/plosone/s/reviewer-guidelines" TargetMode="External"/><Relationship Id="rId200" Type="http://schemas.openxmlformats.org/officeDocument/2006/relationships/hyperlink" Target="https://ieeeauthorcenter.ieee.org/peer-review-at-ieee/" TargetMode="External"/><Relationship Id="rId442" Type="http://schemas.openxmlformats.org/officeDocument/2006/relationships/hyperlink" Target="https://journals.plos.org/plosone/s/editorial-and-peer-review-process" TargetMode="External"/><Relationship Id="rId441" Type="http://schemas.openxmlformats.org/officeDocument/2006/relationships/hyperlink" Target="https://journals.plos.org/plosone/s/editorial-and-peer-review-process" TargetMode="External"/><Relationship Id="rId437" Type="http://schemas.openxmlformats.org/officeDocument/2006/relationships/hyperlink" Target="https://journals.aps.org/prx/authors/editorial-policies-practices" TargetMode="External"/><Relationship Id="rId436" Type="http://schemas.openxmlformats.org/officeDocument/2006/relationships/hyperlink" Target="https://journals.aps.org/prx/authors/editorial-policies-practices" TargetMode="External"/><Relationship Id="rId435" Type="http://schemas.openxmlformats.org/officeDocument/2006/relationships/hyperlink" Target="https://journals.aps.org/prx/referees/referee-response-physical-review-x" TargetMode="External"/><Relationship Id="rId434" Type="http://schemas.openxmlformats.org/officeDocument/2006/relationships/hyperlink" Target="https://journals.aps.org/prx/authors/editorial-policies-practices" TargetMode="External"/><Relationship Id="rId439" Type="http://schemas.openxmlformats.org/officeDocument/2006/relationships/hyperlink" Target="https://www.elsevier.com/journals/physics-letters-b/0370-2693/guide-for-authors" TargetMode="External"/><Relationship Id="rId438" Type="http://schemas.openxmlformats.org/officeDocument/2006/relationships/hyperlink" Target="https://www.elsevier.com/journals/physics-letters-b/0370-2693/guide-for-authors" TargetMode="External"/><Relationship Id="rId433" Type="http://schemas.openxmlformats.org/officeDocument/2006/relationships/hyperlink" Target="https://journals.aps.org/prl/authors/editorial-policies-practices" TargetMode="External"/><Relationship Id="rId432" Type="http://schemas.openxmlformats.org/officeDocument/2006/relationships/hyperlink" Target="https://journals.aps.org/referees/referee-response-physical-review-letters" TargetMode="External"/><Relationship Id="rId431" Type="http://schemas.openxmlformats.org/officeDocument/2006/relationships/hyperlink" Target="https://journals.aps.org/prl/authors/editorial-policies-practices" TargetMode="External"/><Relationship Id="rId430" Type="http://schemas.openxmlformats.org/officeDocument/2006/relationships/hyperlink" Target="https://journals.aps.org/prd/authors/editorial-policies-practices"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us.sagepub.com/en-us/nam/reviewer-rewards" TargetMode="External"/><Relationship Id="rId194" Type="http://schemas.openxmlformats.org/officeDocument/2006/relationships/hyperlink" Target="https://www.elsevier.com/reviewers/role" TargetMode="External"/><Relationship Id="rId193" Type="http://schemas.openxmlformats.org/officeDocument/2006/relationships/hyperlink" Target="https://www.elsevier.com/reviewers/role" TargetMode="External"/><Relationship Id="rId192" Type="http://schemas.openxmlformats.org/officeDocument/2006/relationships/hyperlink" Target="https://us.sagepub.com/en-us/nam/reviewer-rewards" TargetMode="External"/><Relationship Id="rId191" Type="http://schemas.openxmlformats.org/officeDocument/2006/relationships/hyperlink" Target="http://www.rsc.org/journals-books-databases/journal-authors-reviewers/reviewer-responsibilities/" TargetMode="External"/><Relationship Id="rId187" Type="http://schemas.openxmlformats.org/officeDocument/2006/relationships/hyperlink" Target="https://www.elsevier.com/reviewers/role" TargetMode="External"/><Relationship Id="rId186" Type="http://schemas.openxmlformats.org/officeDocument/2006/relationships/hyperlink" Target="https://publishingsupport.iopscience.iop.org/becoming-a-journal-reviewer/" TargetMode="External"/><Relationship Id="rId185" Type="http://schemas.openxmlformats.org/officeDocument/2006/relationships/hyperlink" Target="http://ascopubs.org/reviewers" TargetMode="External"/><Relationship Id="rId184" Type="http://schemas.openxmlformats.org/officeDocument/2006/relationships/hyperlink" Target="https://www.elsevier.com/reviewers/role" TargetMode="External"/><Relationship Id="rId189" Type="http://schemas.openxmlformats.org/officeDocument/2006/relationships/hyperlink" Target="https://www.elsevier.com/reviewers/role" TargetMode="External"/><Relationship Id="rId188" Type="http://schemas.openxmlformats.org/officeDocument/2006/relationships/hyperlink" Target="https://publications.agu.org/reviewer-resources/" TargetMode="External"/><Relationship Id="rId183" Type="http://schemas.openxmlformats.org/officeDocument/2006/relationships/hyperlink" Target="https://www.elsevier.com/reviewers/role" TargetMode="External"/><Relationship Id="rId182" Type="http://schemas.openxmlformats.org/officeDocument/2006/relationships/hyperlink" Target="https://www.springer.com/philosophy/ethics+and+moral+philosophy/journal/10551" TargetMode="External"/><Relationship Id="rId181" Type="http://schemas.openxmlformats.org/officeDocument/2006/relationships/hyperlink" Target="https://www.elsevier.com/reviewers/role" TargetMode="External"/><Relationship Id="rId180" Type="http://schemas.openxmlformats.org/officeDocument/2006/relationships/hyperlink" Target="https://www.elsevier.com/reviewers/role" TargetMode="External"/><Relationship Id="rId176" Type="http://schemas.openxmlformats.org/officeDocument/2006/relationships/hyperlink" Target="https://uk.sagepub.com/en-gb/eur/online-submission-peer-review-system" TargetMode="External"/><Relationship Id="rId175" Type="http://schemas.openxmlformats.org/officeDocument/2006/relationships/hyperlink" Target="https://www.gastrojournal.org/content/authorinfo" TargetMode="External"/><Relationship Id="rId174" Type="http://schemas.openxmlformats.org/officeDocument/2006/relationships/hyperlink" Target="https://www.elsevier.com/reviewers/role" TargetMode="External"/><Relationship Id="rId173" Type="http://schemas.openxmlformats.org/officeDocument/2006/relationships/hyperlink" Target="http://www.diabetesjournals.org/for-reviewers" TargetMode="External"/><Relationship Id="rId179" Type="http://schemas.openxmlformats.org/officeDocument/2006/relationships/hyperlink" Target="https://www.healthaffairs.org/help-for-reviewers" TargetMode="External"/><Relationship Id="rId178" Type="http://schemas.openxmlformats.org/officeDocument/2006/relationships/hyperlink" Target="https://www.elsevier.com/reviewers/role" TargetMode="External"/><Relationship Id="rId177" Type="http://schemas.openxmlformats.org/officeDocument/2006/relationships/hyperlink" Target="https://publications.agu.org/reviewer-resources/" TargetMode="External"/><Relationship Id="rId198" Type="http://schemas.openxmlformats.org/officeDocument/2006/relationships/hyperlink" Target="https://www.nature.com/authors/policies/peer_review.html" TargetMode="External"/><Relationship Id="rId197" Type="http://schemas.openxmlformats.org/officeDocument/2006/relationships/hyperlink" Target="https://www.nature.com/authors/policies/peer_review.html" TargetMode="External"/><Relationship Id="rId196" Type="http://schemas.openxmlformats.org/officeDocument/2006/relationships/hyperlink" Target="http://www.rsc.org/journals-books-databases/journal-authors-reviewers/reviewer-responsibilities/" TargetMode="External"/><Relationship Id="rId195" Type="http://schemas.openxmlformats.org/officeDocument/2006/relationships/hyperlink" Target="https://academic.oup.com/mnras/pages/General_Instructions" TargetMode="External"/><Relationship Id="rId199" Type="http://schemas.openxmlformats.org/officeDocument/2006/relationships/hyperlink" Target="https://www.nature.com/authors/policies/peer_review.html" TargetMode="External"/><Relationship Id="rId150" Type="http://schemas.openxmlformats.org/officeDocument/2006/relationships/hyperlink" Target="https://academic.oup.com/qje/pages/Policies" TargetMode="External"/><Relationship Id="rId392" Type="http://schemas.openxmlformats.org/officeDocument/2006/relationships/hyperlink" Target="https://www.jci.org/kiosks/authors" TargetMode="External"/><Relationship Id="rId391" Type="http://schemas.openxmlformats.org/officeDocument/2006/relationships/hyperlink" Target="https://authorservices.wiley.com/Reviewers/journal-reviewers/how-to-perform-a-peer-review/general-and-ethical-guidelines.html" TargetMode="External"/><Relationship Id="rId390" Type="http://schemas.openxmlformats.org/officeDocument/2006/relationships/hyperlink" Target="https://www.nature.com/srep/journal-policies/referees" TargetMode="External"/><Relationship Id="rId1" Type="http://schemas.openxmlformats.org/officeDocument/2006/relationships/hyperlink" Target="http://transpose-publishing.github.io" TargetMode="External"/><Relationship Id="rId2" Type="http://schemas.openxmlformats.org/officeDocument/2006/relationships/hyperlink" Target="http://examplejournal.com/peerreview" TargetMode="External"/><Relationship Id="rId3" Type="http://schemas.openxmlformats.org/officeDocument/2006/relationships/hyperlink" Target="https://pubs.acs.org/paragonplus/submission/achre4/achre4_authguide.pdf" TargetMode="External"/><Relationship Id="rId149" Type="http://schemas.openxmlformats.org/officeDocument/2006/relationships/hyperlink" Target="https://onlinelibrary.wiley.com/page/journal/15404781/homepage/forauthors.html" TargetMode="External"/><Relationship Id="rId4" Type="http://schemas.openxmlformats.org/officeDocument/2006/relationships/hyperlink" Target="https://pubs.acs.org/userimages/ContentEditor/1218054468605/ethics.pdf" TargetMode="External"/><Relationship Id="rId148" Type="http://schemas.openxmlformats.org/officeDocument/2006/relationships/hyperlink" Target="https://els-jbs-prod-cdn.literatumonline.com/pb/assets/raw/Lancet/authors/tlo-info-for-authors-1541596062097.pdf" TargetMode="External"/><Relationship Id="rId9" Type="http://schemas.openxmlformats.org/officeDocument/2006/relationships/hyperlink" Target="https://ajps.org/guidelines-for-manuscripts/" TargetMode="External"/><Relationship Id="rId143" Type="http://schemas.openxmlformats.org/officeDocument/2006/relationships/hyperlink" Target="https://community.cochrane.org/editorial-and-publishing-policy-resource/cochrane-review-management/cochrane-peer-review-policy" TargetMode="External"/><Relationship Id="rId385" Type="http://schemas.openxmlformats.org/officeDocument/2006/relationships/hyperlink" Target="https://www.elsevier.com/reviewers/how-to-review" TargetMode="External"/><Relationship Id="rId142" Type="http://schemas.openxmlformats.org/officeDocument/2006/relationships/hyperlink" Target="https://www.tesol.org/read-and-publish/journals/tesol-journal" TargetMode="External"/><Relationship Id="rId384" Type="http://schemas.openxmlformats.org/officeDocument/2006/relationships/hyperlink" Target="https://uk.sagepub.com/en-gb/eur/how-to-review-articles" TargetMode="External"/><Relationship Id="rId141" Type="http://schemas.openxmlformats.org/officeDocument/2006/relationships/hyperlink" Target="https://www.elsevier.com/journals/teaching-and-teacher-education/0742-051x/guide-for-authors" TargetMode="External"/><Relationship Id="rId383" Type="http://schemas.openxmlformats.org/officeDocument/2006/relationships/hyperlink" Target="https://www.pnas.org/page/authors/reviewers" TargetMode="External"/><Relationship Id="rId140" Type="http://schemas.openxmlformats.org/officeDocument/2006/relationships/hyperlink" Target="https://www.journals.elsevier.com/system" TargetMode="External"/><Relationship Id="rId382" Type="http://schemas.openxmlformats.org/officeDocument/2006/relationships/hyperlink" Target="https://journals.plos.org/plosone/s/reviewer-guidelines" TargetMode="External"/><Relationship Id="rId5" Type="http://schemas.openxmlformats.org/officeDocument/2006/relationships/hyperlink" Target="https://application.wiley-vch.de/util/cta/euchems_ethicalguidelines.pdf" TargetMode="External"/><Relationship Id="rId147" Type="http://schemas.openxmlformats.org/officeDocument/2006/relationships/hyperlink" Target="https://els-jbs-prod-cdn.literatumonline.com/pb/assets/raw/Lancet/authors/tln-info-for-authors-1541596047120.pdf" TargetMode="External"/><Relationship Id="rId389" Type="http://schemas.openxmlformats.org/officeDocument/2006/relationships/hyperlink" Target="https://stm.sciencemag.org/content/information-reviewers" TargetMode="External"/><Relationship Id="rId6" Type="http://schemas.openxmlformats.org/officeDocument/2006/relationships/hyperlink" Target="https://application.wiley-vch.de/util/cta/euchems_ethicalguidelines.pdf" TargetMode="External"/><Relationship Id="rId146" Type="http://schemas.openxmlformats.org/officeDocument/2006/relationships/hyperlink" Target="https://www.thelancet.com/pb/assets/raw/Lancet/authors/lancet-information-for-authors.pdf" TargetMode="External"/><Relationship Id="rId388" Type="http://schemas.openxmlformats.org/officeDocument/2006/relationships/hyperlink" Target="https://www.sciencemag.org/authors/peer-review-science-publications" TargetMode="External"/><Relationship Id="rId7" Type="http://schemas.openxmlformats.org/officeDocument/2006/relationships/hyperlink" Target="https://wol-prod-cdn.literatumonline.com/pb-assets/assets/15214095/2089_guidelines-1510017322000.pdf" TargetMode="External"/><Relationship Id="rId145" Type="http://schemas.openxmlformats.org/officeDocument/2006/relationships/hyperlink" Target="https://www.jci.org/kiosks/authors" TargetMode="External"/><Relationship Id="rId387" Type="http://schemas.openxmlformats.org/officeDocument/2006/relationships/hyperlink" Target="https://journals.aps.org/rmp/info/procedures.html" TargetMode="External"/><Relationship Id="rId8" Type="http://schemas.openxmlformats.org/officeDocument/2006/relationships/hyperlink" Target="https://www.aeaweb.org/journals/aer/reviewers" TargetMode="External"/><Relationship Id="rId144" Type="http://schemas.openxmlformats.org/officeDocument/2006/relationships/hyperlink" Target="https://www.springer.com/physics/particle+and+nuclear+physics/journal/10052" TargetMode="External"/><Relationship Id="rId386" Type="http://schemas.openxmlformats.org/officeDocument/2006/relationships/hyperlink" Target="https://www.elsevier.com/reviewers/how-to-review" TargetMode="External"/><Relationship Id="rId381" Type="http://schemas.openxmlformats.org/officeDocument/2006/relationships/hyperlink" Target="https://journals.aps.org/prx/authors/editorial-policies-practices" TargetMode="External"/><Relationship Id="rId380" Type="http://schemas.openxmlformats.org/officeDocument/2006/relationships/hyperlink" Target="https://journals.aps.org/prl/authors/editorial-policies-practices" TargetMode="External"/><Relationship Id="rId139" Type="http://schemas.openxmlformats.org/officeDocument/2006/relationships/hyperlink" Target="https://www.springer.com/philosophy/epistemology+and+philosophy+of+science/journal/11229" TargetMode="External"/><Relationship Id="rId138" Type="http://schemas.openxmlformats.org/officeDocument/2006/relationships/hyperlink" Target="https://www.elsevier.com/journals/social-science-and-medicine/0277-9536/guide-for-authors" TargetMode="External"/><Relationship Id="rId137" Type="http://schemas.openxmlformats.org/officeDocument/2006/relationships/hyperlink" Target="https://www.nature.com/srep/journal-policies/peer-review" TargetMode="External"/><Relationship Id="rId379" Type="http://schemas.openxmlformats.org/officeDocument/2006/relationships/hyperlink" Target="https://journals.aps.org/prd/authors/editorial-policies-practices" TargetMode="External"/><Relationship Id="rId132" Type="http://schemas.openxmlformats.org/officeDocument/2006/relationships/hyperlink" Target="https://www.tandfonline.com/action/authorSubmission?show=instructions&amp;journalCode=cres20" TargetMode="External"/><Relationship Id="rId374" Type="http://schemas.openxmlformats.org/officeDocument/2006/relationships/hyperlink" Target="https://www.cell.com/reviewers" TargetMode="External"/><Relationship Id="rId131" Type="http://schemas.openxmlformats.org/officeDocument/2006/relationships/hyperlink" Target="https://academic.oup.com/poq/pages/general_instructions" TargetMode="External"/><Relationship Id="rId373" Type="http://schemas.openxmlformats.org/officeDocument/2006/relationships/hyperlink" Target="https://www.elsevier.com/reviewers/how-to-review" TargetMode="External"/><Relationship Id="rId130" Type="http://schemas.openxmlformats.org/officeDocument/2006/relationships/hyperlink" Target="https://uk.sagepub.com/en-gb/eur/journal/progress-human-geography" TargetMode="External"/><Relationship Id="rId372" Type="http://schemas.openxmlformats.org/officeDocument/2006/relationships/hyperlink" Target="https://www.nature.com/nrg/for-referees" TargetMode="External"/><Relationship Id="rId371" Type="http://schemas.openxmlformats.org/officeDocument/2006/relationships/hyperlink" Target="https://www.nature.com/nrg/for-referees" TargetMode="External"/><Relationship Id="rId136" Type="http://schemas.openxmlformats.org/officeDocument/2006/relationships/hyperlink" Target="https://stm.sciencemag.org/content/science-translational-medicine-general-policies" TargetMode="External"/><Relationship Id="rId378" Type="http://schemas.openxmlformats.org/officeDocument/2006/relationships/hyperlink" Target="https://journals.aps.org/prb/authors/editorial-policies-practices" TargetMode="External"/><Relationship Id="rId135" Type="http://schemas.openxmlformats.org/officeDocument/2006/relationships/hyperlink" Target="http://www.sciencemag.org/authors/science-information-authors" TargetMode="External"/><Relationship Id="rId377" Type="http://schemas.openxmlformats.org/officeDocument/2006/relationships/hyperlink" Target="http://www.aappublications.org/content/pediatrics-reviewer-guidelines" TargetMode="External"/><Relationship Id="rId134" Type="http://schemas.openxmlformats.org/officeDocument/2006/relationships/hyperlink" Target="https://www.elsevier.com/journals/research-policy/0048-7333/guide-for-authors" TargetMode="External"/><Relationship Id="rId376" Type="http://schemas.openxmlformats.org/officeDocument/2006/relationships/hyperlink" Target="https://www.osapublishing.org/submit/review/peer_review.cfm" TargetMode="External"/><Relationship Id="rId133" Type="http://schemas.openxmlformats.org/officeDocument/2006/relationships/hyperlink" Target="https://www.elsevier.com/journals/renewable-and-sustainable-energy-reviews/1364-0321/guide-for-authors" TargetMode="External"/><Relationship Id="rId375" Type="http://schemas.openxmlformats.org/officeDocument/2006/relationships/hyperlink" Target="https://authorservices.wiley.com/Reviewers/journal-reviewers/how-to-perform-a-peer-review/general-and-ethical-guidelines.html" TargetMode="External"/><Relationship Id="rId172" Type="http://schemas.openxmlformats.org/officeDocument/2006/relationships/hyperlink" Target="https://www.elsevier.com/reviewers/role" TargetMode="External"/><Relationship Id="rId171" Type="http://schemas.openxmlformats.org/officeDocument/2006/relationships/hyperlink" Target="http://aacrjournals.org/site/Info/Reviewers.xhtml" TargetMode="External"/><Relationship Id="rId170" Type="http://schemas.openxmlformats.org/officeDocument/2006/relationships/hyperlink" Target="http://www.rsc.org/journals-books-databases/journal-authors-reviewers/reviewer-responsibilities/" TargetMode="External"/><Relationship Id="rId165" Type="http://schemas.openxmlformats.org/officeDocument/2006/relationships/hyperlink" Target="https://www.elsevier.com/reviewers/role" TargetMode="External"/><Relationship Id="rId164" Type="http://schemas.openxmlformats.org/officeDocument/2006/relationships/hyperlink" Target="https://www.elsevier.com/reviewers/role" TargetMode="External"/><Relationship Id="rId163" Type="http://schemas.openxmlformats.org/officeDocument/2006/relationships/hyperlink" Target="https://www.elsevier.com/reviewers/role" TargetMode="External"/><Relationship Id="rId162" Type="http://schemas.openxmlformats.org/officeDocument/2006/relationships/hyperlink" Target="https://authors.bmj.com/policies/peer-review-terms-and-conditions/" TargetMode="External"/><Relationship Id="rId169" Type="http://schemas.openxmlformats.org/officeDocument/2006/relationships/hyperlink" Target="http://www.rsc.org/journals-books-databases/journal-authors-reviewers/reviewer-responsibilities/" TargetMode="External"/><Relationship Id="rId168" Type="http://schemas.openxmlformats.org/officeDocument/2006/relationships/hyperlink" Target="http://aacrjournals.org/site/Info/Reviewers.xhtml" TargetMode="External"/><Relationship Id="rId167" Type="http://schemas.openxmlformats.org/officeDocument/2006/relationships/hyperlink" Target="https://authors.bmj.com/for-reviewers/reviewer-recognition/" TargetMode="External"/><Relationship Id="rId166" Type="http://schemas.openxmlformats.org/officeDocument/2006/relationships/hyperlink" Target="http://www.bloodjournal.org/page/authors/author-guide/peer-review" TargetMode="External"/><Relationship Id="rId161" Type="http://schemas.openxmlformats.org/officeDocument/2006/relationships/hyperlink" Target="http://annals.org/aim/pages/authors" TargetMode="External"/><Relationship Id="rId160" Type="http://schemas.openxmlformats.org/officeDocument/2006/relationships/hyperlink" Target="https://us.sagepub.com/en-us/nam/reviewer-rewards" TargetMode="External"/><Relationship Id="rId159" Type="http://schemas.openxmlformats.org/officeDocument/2006/relationships/hyperlink" Target="http://examplejournal.com/peerreview" TargetMode="External"/><Relationship Id="rId154" Type="http://schemas.openxmlformats.org/officeDocument/2006/relationships/hyperlink" Target="http://aom.org/uploadedFiles/Publications/AMJ/07_Colquitt_IrelandApr09FTE.pdf" TargetMode="External"/><Relationship Id="rId396" Type="http://schemas.openxmlformats.org/officeDocument/2006/relationships/hyperlink" Target="https://pubs.acs.org/paragonplus/submission/achre4/achre4_authguide.pdf" TargetMode="External"/><Relationship Id="rId153" Type="http://schemas.openxmlformats.org/officeDocument/2006/relationships/hyperlink" Target="http://examplejournal.com/peerreviewform" TargetMode="External"/><Relationship Id="rId395" Type="http://schemas.openxmlformats.org/officeDocument/2006/relationships/hyperlink" Target="https://www.elsevier.com/reviewers/how-to-review" TargetMode="External"/><Relationship Id="rId152" Type="http://schemas.openxmlformats.org/officeDocument/2006/relationships/hyperlink" Target="https://www.elsevier.com/journals/world-development/0305-750x/guide-for-authors" TargetMode="External"/><Relationship Id="rId394" Type="http://schemas.openxmlformats.org/officeDocument/2006/relationships/hyperlink" Target="https://www.elsevier.com/reviewers/how-to-review" TargetMode="External"/><Relationship Id="rId151" Type="http://schemas.openxmlformats.org/officeDocument/2006/relationships/hyperlink" Target="https://www.elsevier.com/journals/tourism-management/0261-5177/guide-for-authors" TargetMode="External"/><Relationship Id="rId393" Type="http://schemas.openxmlformats.org/officeDocument/2006/relationships/hyperlink" Target="https://authorservices.wiley.com/Reviewers/journal-reviewers/how-to-perform-a-peer-review/general-and-ethical-guidelines.html" TargetMode="External"/><Relationship Id="rId158" Type="http://schemas.openxmlformats.org/officeDocument/2006/relationships/hyperlink" Target="https://journals.aps.org/prx/referees/referee-response-physical-review-x" TargetMode="External"/><Relationship Id="rId157" Type="http://schemas.openxmlformats.org/officeDocument/2006/relationships/hyperlink" Target="https://journals.aps.org/referees/referee-response-physical-review-letters" TargetMode="External"/><Relationship Id="rId399" Type="http://schemas.openxmlformats.org/officeDocument/2006/relationships/hyperlink" Target="https://pubs.acs.org/page/ancac3/submission/prior.html" TargetMode="External"/><Relationship Id="rId156" Type="http://schemas.openxmlformats.org/officeDocument/2006/relationships/hyperlink" Target="https://publications.agu.org/reviewer-resources/review-criteria" TargetMode="External"/><Relationship Id="rId398" Type="http://schemas.openxmlformats.org/officeDocument/2006/relationships/hyperlink" Target="http://aom.org/Publications/AMJ/Information-for-Contributors.aspx" TargetMode="External"/><Relationship Id="rId155" Type="http://schemas.openxmlformats.org/officeDocument/2006/relationships/hyperlink" Target="https://pubs.acs.org/pb-assets/acspubs/Migrated/ancac3_revguide.pdf" TargetMode="External"/><Relationship Id="rId397" Type="http://schemas.openxmlformats.org/officeDocument/2006/relationships/hyperlink" Target="https://pubs.acs.org/page/accacs/submission/prior.htmlhttps:/pubs.acs.org/page/policy/authorchoice/index.html" TargetMode="External"/><Relationship Id="rId40" Type="http://schemas.openxmlformats.org/officeDocument/2006/relationships/hyperlink" Target="https://pubs.acs.org/paragonplus/submission/esthag/esthag_authguide.pdf" TargetMode="External"/><Relationship Id="rId42" Type="http://schemas.openxmlformats.org/officeDocument/2006/relationships/hyperlink" Target="https://www.europeanurology.com/content/resources-for-authors" TargetMode="External"/><Relationship Id="rId41" Type="http://schemas.openxmlformats.org/officeDocument/2006/relationships/hyperlink" Target="https://academic.oup.com/eurheartj/pages/General_Instructions" TargetMode="External"/><Relationship Id="rId44" Type="http://schemas.openxmlformats.org/officeDocument/2006/relationships/hyperlink" Target="https://uk.sagepub.com/en-gb/eur/gender-society/journal200793" TargetMode="External"/><Relationship Id="rId43" Type="http://schemas.openxmlformats.org/officeDocument/2006/relationships/hyperlink" Target="https://www.gastrojournal.org/content/authorinfo" TargetMode="External"/><Relationship Id="rId46" Type="http://schemas.openxmlformats.org/officeDocument/2006/relationships/hyperlink" Target="https://www.elsevier.com/journals/global-environmental-change/0959-3780/guide-for-authors" TargetMode="External"/><Relationship Id="rId45" Type="http://schemas.openxmlformats.org/officeDocument/2006/relationships/hyperlink" Target="https://publications.agu.org/author-resource-center/steps-to-publication/" TargetMode="External"/><Relationship Id="rId509" Type="http://schemas.openxmlformats.org/officeDocument/2006/relationships/hyperlink" Target="https://www.nejm.org/about-nejm/editorial-policies" TargetMode="External"/><Relationship Id="rId508" Type="http://schemas.openxmlformats.org/officeDocument/2006/relationships/hyperlink" Target="https://els-jbs-prod-cdn.literatumonline.com/pb/assets/raw/Lancet/authors/tln-info-for-authors-1541596047120.pdf" TargetMode="External"/><Relationship Id="rId503" Type="http://schemas.openxmlformats.org/officeDocument/2006/relationships/hyperlink" Target="http://ideas.cochrane.org/forums/326856-cochrane-style-manual/suggestions/18762079-referencing-preprints" TargetMode="External"/><Relationship Id="rId502" Type="http://schemas.openxmlformats.org/officeDocument/2006/relationships/hyperlink" Target="https://onlinelibrary.wiley.com/page/journal/15457249/homepage/forauthors.html" TargetMode="External"/><Relationship Id="rId501" Type="http://schemas.openxmlformats.org/officeDocument/2006/relationships/hyperlink" Target="https://www.springer.com/philosophy/epistemology+and+philosophy+of+science/journal/11229" TargetMode="External"/><Relationship Id="rId500" Type="http://schemas.openxmlformats.org/officeDocument/2006/relationships/hyperlink" Target="https://www.nature.com/srep/journal-policies/editorial-policies?draft=journal&amp;target=content" TargetMode="External"/><Relationship Id="rId507" Type="http://schemas.openxmlformats.org/officeDocument/2006/relationships/hyperlink" Target="http://pubs.acs.org/paragonplus/submission/jpclcd/jpclcd_authguide.pdf" TargetMode="External"/><Relationship Id="rId506" Type="http://schemas.openxmlformats.org/officeDocument/2006/relationships/hyperlink" Target="https://cdn.ymaws.com/www.afajof.org/resource/resmgr/files/Submission_docs/JF_Submission_Guidelines-Feb.pdf" TargetMode="External"/><Relationship Id="rId505" Type="http://schemas.openxmlformats.org/officeDocument/2006/relationships/hyperlink" Target="https://www.jci.org/kiosks/authors" TargetMode="External"/><Relationship Id="rId504" Type="http://schemas.openxmlformats.org/officeDocument/2006/relationships/hyperlink" Target="https://epjc.epj.org/epjc-faq" TargetMode="External"/><Relationship Id="rId48" Type="http://schemas.openxmlformats.org/officeDocument/2006/relationships/hyperlink" Target="https://authors.bmj.com/policies/peer-review-terms-and-conditions/" TargetMode="External"/><Relationship Id="rId47" Type="http://schemas.openxmlformats.org/officeDocument/2006/relationships/hyperlink" Target="https://www.elsevier.com/journals/government-information-quarterly/0740-624X?generatepdf=true" TargetMode="External"/><Relationship Id="rId49" Type="http://schemas.openxmlformats.org/officeDocument/2006/relationships/hyperlink" Target="https://www.healthaffairs.org/help-for-authors" TargetMode="External"/><Relationship Id="rId31" Type="http://schemas.openxmlformats.org/officeDocument/2006/relationships/hyperlink" Target="https://pubs.acs.org/paragonplus/submission/cmatex/cmatex_scope.pdf" TargetMode="External"/><Relationship Id="rId30" Type="http://schemas.openxmlformats.org/officeDocument/2006/relationships/hyperlink" Target="http://www.rsc.org/journals-books-databases/journal-authors-reviewers/reviewer-responsibilities/" TargetMode="External"/><Relationship Id="rId33" Type="http://schemas.openxmlformats.org/officeDocument/2006/relationships/hyperlink" Target="https://www.ahajournals.org/pb-assets/Ethical%20ConductPolicyApril2017finalWeb.pdf" TargetMode="External"/><Relationship Id="rId32" Type="http://schemas.openxmlformats.org/officeDocument/2006/relationships/hyperlink" Target="https://www.ahajournals.org/pb-assets/Ethical%20ConductPolicyApril2017finalWeb.pdf" TargetMode="External"/><Relationship Id="rId35" Type="http://schemas.openxmlformats.org/officeDocument/2006/relationships/hyperlink" Target="https://www.elsevier.com/journals/computers-and-education/0360-1315?generatepdf=true" TargetMode="External"/><Relationship Id="rId34" Type="http://schemas.openxmlformats.org/officeDocument/2006/relationships/hyperlink" Target="http://aacrjournals.org/content/authors/editorial-process" TargetMode="External"/><Relationship Id="rId37" Type="http://schemas.openxmlformats.org/officeDocument/2006/relationships/hyperlink" Target="https://www.tandfonline.com/action/authorSubmission?journalCode=rdij20&amp;page=instructions" TargetMode="External"/><Relationship Id="rId36" Type="http://schemas.openxmlformats.org/officeDocument/2006/relationships/hyperlink" Target="http://www.diabetesjournals.org/content/journal-policies" TargetMode="External"/><Relationship Id="rId39" Type="http://schemas.openxmlformats.org/officeDocument/2006/relationships/hyperlink" Target="http://www.rsc.org/journals-books-databases/journal-authors-reviewers/reviewer-responsibilities/" TargetMode="External"/><Relationship Id="rId38" Type="http://schemas.openxmlformats.org/officeDocument/2006/relationships/hyperlink" Target="https://www.econometricsociety.org/publications/econometrica/information-authors/editorial-procedures-and-policies" TargetMode="External"/><Relationship Id="rId20" Type="http://schemas.openxmlformats.org/officeDocument/2006/relationships/hyperlink" Target="https://www.elsevier.com/journals/biomaterials/0142-9612?generatepdf=true" TargetMode="External"/><Relationship Id="rId22" Type="http://schemas.openxmlformats.org/officeDocument/2006/relationships/hyperlink" Target="https://www.bmj.com/about-bmj/resources-reviewers" TargetMode="External"/><Relationship Id="rId21" Type="http://schemas.openxmlformats.org/officeDocument/2006/relationships/hyperlink" Target="http://www.bloodjournal.org/page/authors/author-guide/peer-review" TargetMode="External"/><Relationship Id="rId24" Type="http://schemas.openxmlformats.org/officeDocument/2006/relationships/hyperlink" Target="http://aacrjournals.org/content/authors/editorial-process" TargetMode="External"/><Relationship Id="rId23" Type="http://schemas.openxmlformats.org/officeDocument/2006/relationships/hyperlink" Target="https://www.cell.com/reviewers" TargetMode="External"/><Relationship Id="rId522" Type="http://schemas.openxmlformats.org/officeDocument/2006/relationships/drawing" Target="../drawings/drawing3.xml"/><Relationship Id="rId26" Type="http://schemas.openxmlformats.org/officeDocument/2006/relationships/hyperlink" Target="https://www.cell.com/reviewers" TargetMode="External"/><Relationship Id="rId25" Type="http://schemas.openxmlformats.org/officeDocument/2006/relationships/hyperlink" Target="https://www.cell.com/reviewers" TargetMode="External"/><Relationship Id="rId28" Type="http://schemas.openxmlformats.org/officeDocument/2006/relationships/hyperlink" Target="http://www.rsc.org/journals-books-databases/journal-authors-reviewers/reviewer-responsibilities/" TargetMode="External"/><Relationship Id="rId27" Type="http://schemas.openxmlformats.org/officeDocument/2006/relationships/hyperlink" Target="https://www.cell.com/reviewers" TargetMode="External"/><Relationship Id="rId521" Type="http://schemas.openxmlformats.org/officeDocument/2006/relationships/hyperlink" Target="https://www.cell.com/neuron/authors?code=cell-site" TargetMode="External"/><Relationship Id="rId29" Type="http://schemas.openxmlformats.org/officeDocument/2006/relationships/hyperlink" Target="https://pubs.acs.org/page/chreay/submission/reviewers.html" TargetMode="External"/><Relationship Id="rId520" Type="http://schemas.openxmlformats.org/officeDocument/2006/relationships/hyperlink" Target="http://care.diabetesjournals.org/content/early/recent" TargetMode="External"/><Relationship Id="rId11" Type="http://schemas.openxmlformats.org/officeDocument/2006/relationships/hyperlink" Target="https://www.apsanet.org/APSR-Submission-Guidelines" TargetMode="External"/><Relationship Id="rId10" Type="http://schemas.openxmlformats.org/officeDocument/2006/relationships/hyperlink" Target="https://ajph.aphapublications.org/page/authors.html" TargetMode="External"/><Relationship Id="rId13" Type="http://schemas.openxmlformats.org/officeDocument/2006/relationships/hyperlink" Target="http://annals.org/aim/pages/authors" TargetMode="External"/><Relationship Id="rId12" Type="http://schemas.openxmlformats.org/officeDocument/2006/relationships/hyperlink" Target="https://us.sagepub.com/en-us/nam/journal/american-sociological-review" TargetMode="External"/><Relationship Id="rId519" Type="http://schemas.openxmlformats.org/officeDocument/2006/relationships/hyperlink" Target="https://www.cell.com/cancer-cell/authors" TargetMode="External"/><Relationship Id="rId514" Type="http://schemas.openxmlformats.org/officeDocument/2006/relationships/hyperlink" Target="https://arxiv.org/" TargetMode="External"/><Relationship Id="rId513" Type="http://schemas.openxmlformats.org/officeDocument/2006/relationships/hyperlink" Target="https://www.elsevier.com/about/policies/sharing" TargetMode="External"/><Relationship Id="rId512" Type="http://schemas.openxmlformats.org/officeDocument/2006/relationships/hyperlink" Target="https://www.elsevier.com/about/policies/sharing" TargetMode="External"/><Relationship Id="rId511" Type="http://schemas.openxmlformats.org/officeDocument/2006/relationships/hyperlink" Target="https://academic.oup.com/journals/pages/access_purchase/rights_and_permissions/self_archiving_policy_f" TargetMode="External"/><Relationship Id="rId518" Type="http://schemas.openxmlformats.org/officeDocument/2006/relationships/hyperlink" Target="http://arxiv.org/" TargetMode="External"/><Relationship Id="rId517" Type="http://schemas.openxmlformats.org/officeDocument/2006/relationships/hyperlink" Target="https://arxiv.org/" TargetMode="External"/><Relationship Id="rId516" Type="http://schemas.openxmlformats.org/officeDocument/2006/relationships/hyperlink" Target="https://arxiv.org/" TargetMode="External"/><Relationship Id="rId515" Type="http://schemas.openxmlformats.org/officeDocument/2006/relationships/hyperlink" Target="https://arxiv.org/" TargetMode="External"/><Relationship Id="rId15" Type="http://schemas.openxmlformats.org/officeDocument/2006/relationships/hyperlink" Target="https://ard.bmj.com/pages/about/" TargetMode="External"/><Relationship Id="rId14" Type="http://schemas.openxmlformats.org/officeDocument/2006/relationships/hyperlink" Target="https://academic.oup.com/annonc/pages/General_Instructions" TargetMode="External"/><Relationship Id="rId17" Type="http://schemas.openxmlformats.org/officeDocument/2006/relationships/hyperlink" Target="https://www.elsevier.com/journals/applied-energy/0306-2619/guide-for-authors" TargetMode="External"/><Relationship Id="rId16" Type="http://schemas.openxmlformats.org/officeDocument/2006/relationships/hyperlink" Target="https://www.elsevier.com/journals/annals-of-tourism-research/0160-7383?generatepdf=true" TargetMode="External"/><Relationship Id="rId19" Type="http://schemas.openxmlformats.org/officeDocument/2006/relationships/hyperlink" Target="https://aip.scitation.org/apl/info/policies" TargetMode="External"/><Relationship Id="rId510" Type="http://schemas.openxmlformats.org/officeDocument/2006/relationships/hyperlink" Target="https://academic.oup.com/journals/pages/access_purchase/rights_and_permissions/self_archiving_policy_f" TargetMode="External"/><Relationship Id="rId18" Type="http://schemas.openxmlformats.org/officeDocument/2006/relationships/hyperlink" Target="https://academic.oup.com/applij/pages/General_Instructions" TargetMode="External"/><Relationship Id="rId84" Type="http://schemas.openxmlformats.org/officeDocument/2006/relationships/hyperlink" Target="https://www.elsevier.com/journals/land-use-policy/0264-8377?generatepdf=true" TargetMode="External"/><Relationship Id="rId83" Type="http://schemas.openxmlformats.org/officeDocument/2006/relationships/hyperlink" Target="https://www.tandfonline.com/action/authorSubmission?journalCode=rjos20&amp;page=instructions" TargetMode="External"/><Relationship Id="rId86" Type="http://schemas.openxmlformats.org/officeDocument/2006/relationships/hyperlink" Target="https://www.elsevier.com/journals/lingua/0024-3841/guide-for-authors" TargetMode="External"/><Relationship Id="rId85" Type="http://schemas.openxmlformats.org/officeDocument/2006/relationships/hyperlink" Target="https://onlinelibrary.wiley.com/page/journal/14679922/homepage/forauthors.html" TargetMode="External"/><Relationship Id="rId88" Type="http://schemas.openxmlformats.org/officeDocument/2006/relationships/hyperlink" Target="https://pubsonline.informs.org/page/mnsc/submission-guidelines" TargetMode="External"/><Relationship Id="rId87" Type="http://schemas.openxmlformats.org/officeDocument/2006/relationships/hyperlink" Target="https://www.misq.org/skin/frontend/default/misq/pdf/ReviewerRole.pdf" TargetMode="External"/><Relationship Id="rId89" Type="http://schemas.openxmlformats.org/officeDocument/2006/relationships/hyperlink" Target="https://uk.sagepub.com/en-gb/eur/journal/media-culture-society" TargetMode="External"/><Relationship Id="rId80" Type="http://schemas.openxmlformats.org/officeDocument/2006/relationships/hyperlink" Target="https://www.springer.com/psychology/child+%26+school+psychology/journal/10964?detailsPage=pltci_1692324" TargetMode="External"/><Relationship Id="rId82" Type="http://schemas.openxmlformats.org/officeDocument/2006/relationships/hyperlink" Target="https://www.tandfonline.com/action/authorSubmission?journalCode=rjop20&amp;page=instructions" TargetMode="External"/><Relationship Id="rId81" Type="http://schemas.openxmlformats.org/officeDocument/2006/relationships/hyperlink" Target="https://us.sagepub.com/en-us/nam/journal/journalism" TargetMode="External"/><Relationship Id="rId73" Type="http://schemas.openxmlformats.org/officeDocument/2006/relationships/hyperlink" Target="https://publications.agu.org/reviewer-resources/" TargetMode="External"/><Relationship Id="rId72" Type="http://schemas.openxmlformats.org/officeDocument/2006/relationships/hyperlink" Target="https://www.elsevier.com/reviewers/how-to-review" TargetMode="External"/><Relationship Id="rId75" Type="http://schemas.openxmlformats.org/officeDocument/2006/relationships/hyperlink" Target="https://journals.sagepub.com/pb-assets/cmscontent/JOM/JOM_Style_Guide_revised_2017.pdf" TargetMode="External"/><Relationship Id="rId74" Type="http://schemas.openxmlformats.org/officeDocument/2006/relationships/hyperlink" Target="https://www.springer.com/physics/particle+and+nuclear+physics/journal/13130" TargetMode="External"/><Relationship Id="rId77" Type="http://schemas.openxmlformats.org/officeDocument/2006/relationships/hyperlink" Target="https://www.journals.elsevier.com/journal-of-pragmatics/policies/peer-review-policy-for-the-journal-of-pragmatics" TargetMode="External"/><Relationship Id="rId76" Type="http://schemas.openxmlformats.org/officeDocument/2006/relationships/hyperlink" Target="http://www.rsc.org/journals-books-databases/journal-authors-reviewers/reviewer-responsibilities/" TargetMode="External"/><Relationship Id="rId79" Type="http://schemas.openxmlformats.org/officeDocument/2006/relationships/hyperlink" Target="http://www.onlinejacc.org/content/73/2/A28" TargetMode="External"/><Relationship Id="rId78" Type="http://schemas.openxmlformats.org/officeDocument/2006/relationships/hyperlink" Target="http://pubs.acs.org/paragonplus/submission/jacsat/jacsat_authguide.pdf" TargetMode="External"/><Relationship Id="rId71" Type="http://schemas.openxmlformats.org/officeDocument/2006/relationships/hyperlink" Target="https://www.aeaweb.org/journals/jep/submissions" TargetMode="External"/><Relationship Id="rId70" Type="http://schemas.openxmlformats.org/officeDocument/2006/relationships/hyperlink" Target="https://publishingsupport.iopscience.iop.org/becoming-a-journal-reviewer/" TargetMode="External"/><Relationship Id="rId62" Type="http://schemas.openxmlformats.org/officeDocument/2006/relationships/hyperlink" Target="https://jamanetwork.com/journals/jama/pages/instructions-for-authors" TargetMode="External"/><Relationship Id="rId61" Type="http://schemas.openxmlformats.org/officeDocument/2006/relationships/hyperlink" Target="https://www.elsevier.com/journals/international-journal-of-production-economics/0925-5273?generatepdf=true" TargetMode="External"/><Relationship Id="rId64" Type="http://schemas.openxmlformats.org/officeDocument/2006/relationships/hyperlink" Target="https://www.elsevier.com/journals/journal-of-banking-and-finance/0378-4266/guide-for-authors" TargetMode="External"/><Relationship Id="rId63" Type="http://schemas.openxmlformats.org/officeDocument/2006/relationships/hyperlink" Target="https://www.jacionline.org/content/authorinfo" TargetMode="External"/><Relationship Id="rId66" Type="http://schemas.openxmlformats.org/officeDocument/2006/relationships/hyperlink" Target="https://www.elsevier.com/journals/journal-of-business-research/0148-2963/guide-for-authors" TargetMode="External"/><Relationship Id="rId65" Type="http://schemas.openxmlformats.org/officeDocument/2006/relationships/hyperlink" Target="https://www.springer.com/philosophy/ethics+and+moral+philosophy/journal/10551" TargetMode="External"/><Relationship Id="rId68" Type="http://schemas.openxmlformats.org/officeDocument/2006/relationships/hyperlink" Target="http://ascopubs.org/jco/site/ifc/my-article-was-submitted.xhtml" TargetMode="External"/><Relationship Id="rId67" Type="http://schemas.openxmlformats.org/officeDocument/2006/relationships/hyperlink" Target="https://www.elsevier.com/journals/journal-of-cleaner-production/0959-6526/guide-for-authors" TargetMode="External"/><Relationship Id="rId60" Type="http://schemas.openxmlformats.org/officeDocument/2006/relationships/hyperlink" Target="https://www.cell.com/reviewers" TargetMode="External"/><Relationship Id="rId69" Type="http://schemas.openxmlformats.org/officeDocument/2006/relationships/hyperlink" Target="https://academic.oup.com/joc/pages/General_Instructions" TargetMode="External"/><Relationship Id="rId51" Type="http://schemas.openxmlformats.org/officeDocument/2006/relationships/hyperlink" Target="https://www.comsoc.org/publications/magazines/ieee-communications-magazine/magazine-reviewer" TargetMode="External"/><Relationship Id="rId50" Type="http://schemas.openxmlformats.org/officeDocument/2006/relationships/hyperlink" Target="https://aasldpubs.onlinelibrary.wiley.com/hub/journal/15273350/about/author-guidelines" TargetMode="External"/><Relationship Id="rId53" Type="http://schemas.openxmlformats.org/officeDocument/2006/relationships/hyperlink" Target="http://cvpr2019.thecvf.com/" TargetMode="External"/><Relationship Id="rId52" Type="http://schemas.openxmlformats.org/officeDocument/2006/relationships/hyperlink" Target="https://www.comsoc.org/publications/journals/ieee-comst/guidelines-reviewers" TargetMode="External"/><Relationship Id="rId55" Type="http://schemas.openxmlformats.org/officeDocument/2006/relationships/hyperlink" Target="https://ieeeauthorcenter.ieee.org/peer-review-at-ieee/" TargetMode="External"/><Relationship Id="rId54" Type="http://schemas.openxmlformats.org/officeDocument/2006/relationships/hyperlink" Target="http://iccv2019.thecvf.com/submission/timeline" TargetMode="External"/><Relationship Id="rId57" Type="http://schemas.openxmlformats.org/officeDocument/2006/relationships/hyperlink" Target="https://ieeeauthorcenter.ieee.org/peer-review-at-ieee/" TargetMode="External"/><Relationship Id="rId56" Type="http://schemas.openxmlformats.org/officeDocument/2006/relationships/hyperlink" Target="https://ieeeauthorcenter.ieee.org/peer-review-at-ieee/" TargetMode="External"/><Relationship Id="rId59" Type="http://schemas.openxmlformats.org/officeDocument/2006/relationships/hyperlink" Target="https://ieeeauthorcenter.ieee.org/peer-review-at-ieee/ethics-in-peer-review/" TargetMode="External"/><Relationship Id="rId58" Type="http://schemas.openxmlformats.org/officeDocument/2006/relationships/hyperlink" Target="https://ieeeauthorcenter.ieee.org/peer-review-at-ieee/ethics-in-peer-review/" TargetMode="External"/><Relationship Id="rId107" Type="http://schemas.openxmlformats.org/officeDocument/2006/relationships/hyperlink" Target="https://www.nature.com/authors/policies/peer_review.html" TargetMode="External"/><Relationship Id="rId349" Type="http://schemas.openxmlformats.org/officeDocument/2006/relationships/hyperlink" Target="https://www.elsevier.com/reviewers/how-to-review" TargetMode="External"/><Relationship Id="rId106" Type="http://schemas.openxmlformats.org/officeDocument/2006/relationships/hyperlink" Target="https://www.nature.com/authors/policies/peer_review.html" TargetMode="External"/><Relationship Id="rId348" Type="http://schemas.openxmlformats.org/officeDocument/2006/relationships/hyperlink" Target="https://us.sagepub.com/en-us/nam/how-to-review-articles" TargetMode="External"/><Relationship Id="rId105" Type="http://schemas.openxmlformats.org/officeDocument/2006/relationships/hyperlink" Target="https://www.nature.com/authors/policies/peer_review.html" TargetMode="External"/><Relationship Id="rId347" Type="http://schemas.openxmlformats.org/officeDocument/2006/relationships/hyperlink" Target="http://www.rsc.org/journals-books-databases/journal-authors-reviewers/reviewer-responsibilities/" TargetMode="External"/><Relationship Id="rId104" Type="http://schemas.openxmlformats.org/officeDocument/2006/relationships/hyperlink" Target="https://www.nature.com/authors/policies/peer_review.html" TargetMode="External"/><Relationship Id="rId346" Type="http://schemas.openxmlformats.org/officeDocument/2006/relationships/hyperlink" Target="https://us.sagepub.com/en-us/nam/how-to-review-articles" TargetMode="External"/><Relationship Id="rId109" Type="http://schemas.openxmlformats.org/officeDocument/2006/relationships/hyperlink" Target="https://www.nature.com/nrc/for-referees" TargetMode="External"/><Relationship Id="rId108" Type="http://schemas.openxmlformats.org/officeDocument/2006/relationships/hyperlink" Target="https://www.nature.com/authors/policies/peer_review.html" TargetMode="External"/><Relationship Id="rId341" Type="http://schemas.openxmlformats.org/officeDocument/2006/relationships/hyperlink" Target="https://www.elsevier.com/reviewers/how-to-review" TargetMode="External"/><Relationship Id="rId340" Type="http://schemas.openxmlformats.org/officeDocument/2006/relationships/hyperlink" Target="https://www.elsevier.com/reviewers/how-to-review" TargetMode="External"/><Relationship Id="rId103" Type="http://schemas.openxmlformats.org/officeDocument/2006/relationships/hyperlink" Target="https://www.nature.com/authors/policies/peer_review.html" TargetMode="External"/><Relationship Id="rId345" Type="http://schemas.openxmlformats.org/officeDocument/2006/relationships/hyperlink" Target="https://www.elsevier.com/reviewers/how-to-review" TargetMode="External"/><Relationship Id="rId102" Type="http://schemas.openxmlformats.org/officeDocument/2006/relationships/hyperlink" Target="https://www.nature.com/authors/policies/peer_review.html" TargetMode="External"/><Relationship Id="rId344" Type="http://schemas.openxmlformats.org/officeDocument/2006/relationships/hyperlink" Target="https://www.apa.org/pubs/journals/reviewer-instructions.pdf" TargetMode="External"/><Relationship Id="rId101" Type="http://schemas.openxmlformats.org/officeDocument/2006/relationships/hyperlink" Target="https://www.nature.com/authors/policies/peer_review.html" TargetMode="External"/><Relationship Id="rId343" Type="http://schemas.openxmlformats.org/officeDocument/2006/relationships/hyperlink" Target="https://publishingsupport.iopscience.iop.org/questions/ethics-for-reviewers/" TargetMode="External"/><Relationship Id="rId100" Type="http://schemas.openxmlformats.org/officeDocument/2006/relationships/hyperlink" Target="https://www.nature.com/authors/policies/peer_review.html" TargetMode="External"/><Relationship Id="rId342" Type="http://schemas.openxmlformats.org/officeDocument/2006/relationships/hyperlink" Target="https://www.elsevier.com/reviewers/how-to-review" TargetMode="External"/><Relationship Id="rId338" Type="http://schemas.openxmlformats.org/officeDocument/2006/relationships/hyperlink" Target="https://signalprocessingsociety.org/publications-resources/publications-faq" TargetMode="External"/><Relationship Id="rId337" Type="http://schemas.openxmlformats.org/officeDocument/2006/relationships/hyperlink" Target="http://iccv2019.thecvf.com/submission/main_conference/reviewer_guidelines" TargetMode="External"/><Relationship Id="rId336" Type="http://schemas.openxmlformats.org/officeDocument/2006/relationships/hyperlink" Target="http://cvpr2019.thecvf.com/submission/main_conference/reviewer_guidelines" TargetMode="External"/><Relationship Id="rId335" Type="http://schemas.openxmlformats.org/officeDocument/2006/relationships/hyperlink" Target="https://www.healthaffairs.org/help-for-reviewers" TargetMode="External"/><Relationship Id="rId339" Type="http://schemas.openxmlformats.org/officeDocument/2006/relationships/hyperlink" Target="https://www.elsevier.com/reviewers/how-to-review" TargetMode="External"/><Relationship Id="rId330" Type="http://schemas.openxmlformats.org/officeDocument/2006/relationships/hyperlink" Target="https://www.gastrojournal.org/content/authorinfo" TargetMode="External"/><Relationship Id="rId334" Type="http://schemas.openxmlformats.org/officeDocument/2006/relationships/hyperlink" Target="https://authors.bmj.com/policies/peer-review-terms-and-conditions/" TargetMode="External"/><Relationship Id="rId333" Type="http://schemas.openxmlformats.org/officeDocument/2006/relationships/hyperlink" Target="https://www.elsevier.com/reviewers/how-to-review" TargetMode="External"/><Relationship Id="rId332" Type="http://schemas.openxmlformats.org/officeDocument/2006/relationships/hyperlink" Target="https://www.elsevier.com/reviewers/how-to-review" TargetMode="External"/><Relationship Id="rId331" Type="http://schemas.openxmlformats.org/officeDocument/2006/relationships/hyperlink" Target="https://publications.agu.org/reviewer-resources/" TargetMode="External"/><Relationship Id="rId370" Type="http://schemas.openxmlformats.org/officeDocument/2006/relationships/hyperlink" Target="https://www.nature.com/nrg/for-referees" TargetMode="External"/><Relationship Id="rId129" Type="http://schemas.openxmlformats.org/officeDocument/2006/relationships/hyperlink" Target="https://www.pnas.org/page/authors/reviewers" TargetMode="External"/><Relationship Id="rId128" Type="http://schemas.openxmlformats.org/officeDocument/2006/relationships/hyperlink" Target="https://journals.plos.org/plosone/s/editorial-and-peer-review-process" TargetMode="External"/><Relationship Id="rId127" Type="http://schemas.openxmlformats.org/officeDocument/2006/relationships/hyperlink" Target="https://www.elsevier.com/journals/physics-letters-b/0370-2693/guide-for-authors" TargetMode="External"/><Relationship Id="rId369" Type="http://schemas.openxmlformats.org/officeDocument/2006/relationships/hyperlink" Target="https://www.nature.com/nrc/for-referees" TargetMode="External"/><Relationship Id="rId126" Type="http://schemas.openxmlformats.org/officeDocument/2006/relationships/hyperlink" Target="https://journals.aps.org/prx/authors/editorial-policies-practices" TargetMode="External"/><Relationship Id="rId368" Type="http://schemas.openxmlformats.org/officeDocument/2006/relationships/hyperlink" Target="https://www.nature.com/nrg/for-referees" TargetMode="External"/><Relationship Id="rId121" Type="http://schemas.openxmlformats.org/officeDocument/2006/relationships/hyperlink" Target="http://www.aappublications.org/content/pediatrics-reviewer-guidelines" TargetMode="External"/><Relationship Id="rId363" Type="http://schemas.openxmlformats.org/officeDocument/2006/relationships/hyperlink" Target="https://www.nature.com/nnano/for-referees/policies-and-processes" TargetMode="External"/><Relationship Id="rId120" Type="http://schemas.openxmlformats.org/officeDocument/2006/relationships/hyperlink" Target="https://www.osapublishing.org/submit/review/peer_review.cfm" TargetMode="External"/><Relationship Id="rId362" Type="http://schemas.openxmlformats.org/officeDocument/2006/relationships/hyperlink" Target="https://www.nature.com/nmeth/for-referees/policies-and-processes" TargetMode="External"/><Relationship Id="rId361" Type="http://schemas.openxmlformats.org/officeDocument/2006/relationships/hyperlink" Target="https://www.nature.com/nm/for-referees/policies-and-processes" TargetMode="External"/><Relationship Id="rId360" Type="http://schemas.openxmlformats.org/officeDocument/2006/relationships/hyperlink" Target="https://www.nature.com/nmat/for-referees/policies-and-processes" TargetMode="External"/><Relationship Id="rId125" Type="http://schemas.openxmlformats.org/officeDocument/2006/relationships/hyperlink" Target="https://journals.aps.org/prl/authors/editorial-policies-practices" TargetMode="External"/><Relationship Id="rId367" Type="http://schemas.openxmlformats.org/officeDocument/2006/relationships/hyperlink" Target="https://www.nature.com/nrc/for-referees" TargetMode="External"/><Relationship Id="rId124" Type="http://schemas.openxmlformats.org/officeDocument/2006/relationships/hyperlink" Target="https://journals.aps.org/prd/authors/editorial-policies-practices" TargetMode="External"/><Relationship Id="rId366" Type="http://schemas.openxmlformats.org/officeDocument/2006/relationships/hyperlink" Target="https://www.nature.com/nphys/for-referees/policies-and-processes" TargetMode="External"/><Relationship Id="rId123" Type="http://schemas.openxmlformats.org/officeDocument/2006/relationships/hyperlink" Target="https://journals.aps.org/prb/referees/guidelines-for-referees" TargetMode="External"/><Relationship Id="rId365" Type="http://schemas.openxmlformats.org/officeDocument/2006/relationships/hyperlink" Target="https://www.nature.com/nphoton/for-referees/policies-and-processes" TargetMode="External"/><Relationship Id="rId122" Type="http://schemas.openxmlformats.org/officeDocument/2006/relationships/hyperlink" Target="https://www.springer.com/philosophy/journal/11098" TargetMode="External"/><Relationship Id="rId364" Type="http://schemas.openxmlformats.org/officeDocument/2006/relationships/hyperlink" Target="https://www.nature.com/neuro/for-referees/policies-and-processes" TargetMode="External"/><Relationship Id="rId95" Type="http://schemas.openxmlformats.org/officeDocument/2006/relationships/hyperlink" Target="https://www.nature.com/authors/policies/peer_review.html" TargetMode="External"/><Relationship Id="rId94" Type="http://schemas.openxmlformats.org/officeDocument/2006/relationships/hyperlink" Target="https://www.nature.com/authors/policies/peer_review.html" TargetMode="External"/><Relationship Id="rId97" Type="http://schemas.openxmlformats.org/officeDocument/2006/relationships/hyperlink" Target="https://www.nature.com/authors/policies/peer_review.html" TargetMode="External"/><Relationship Id="rId96" Type="http://schemas.openxmlformats.org/officeDocument/2006/relationships/hyperlink" Target="https://www.nature.com/authors/policies/peer_review.html" TargetMode="External"/><Relationship Id="rId99" Type="http://schemas.openxmlformats.org/officeDocument/2006/relationships/hyperlink" Target="https://www.nature.com/authors/policies/peer_review.html" TargetMode="External"/><Relationship Id="rId98" Type="http://schemas.openxmlformats.org/officeDocument/2006/relationships/hyperlink" Target="https://www.nature.com/authors/policies/peer_review.html" TargetMode="External"/><Relationship Id="rId91" Type="http://schemas.openxmlformats.org/officeDocument/2006/relationships/hyperlink" Target="https://academic.oup.com/mnras/pages/General_Instructions" TargetMode="External"/><Relationship Id="rId90" Type="http://schemas.openxmlformats.org/officeDocument/2006/relationships/hyperlink" Target="https://www.cell.com/molecular-cell/authors" TargetMode="External"/><Relationship Id="rId93" Type="http://schemas.openxmlformats.org/officeDocument/2006/relationships/hyperlink" Target="https://www.rsc.org/journals-books-databases/journal-authors-reviewers/reviewer-responsibilities/" TargetMode="External"/><Relationship Id="rId92" Type="http://schemas.openxmlformats.org/officeDocument/2006/relationships/hyperlink" Target="https://pubs.acs.org/paragonplus/submission/nalefd/nalefd_authguide.pdf" TargetMode="External"/><Relationship Id="rId118" Type="http://schemas.openxmlformats.org/officeDocument/2006/relationships/hyperlink" Target="https://us.sagepub.com/en-us/nam/journal/new-media-society" TargetMode="External"/><Relationship Id="rId117" Type="http://schemas.openxmlformats.org/officeDocument/2006/relationships/hyperlink" Target="https://www.cell.com/reviewers" TargetMode="External"/><Relationship Id="rId359" Type="http://schemas.openxmlformats.org/officeDocument/2006/relationships/hyperlink" Target="https://www.nature.com/ni/for-referees/policies-and-processes" TargetMode="External"/><Relationship Id="rId116" Type="http://schemas.openxmlformats.org/officeDocument/2006/relationships/hyperlink" Target="https://www.elsevier.com/journals/neuroimage/1053-8119/guide-for-authors" TargetMode="External"/><Relationship Id="rId358" Type="http://schemas.openxmlformats.org/officeDocument/2006/relationships/hyperlink" Target="https://www.nature.com/ng/for-referees/policies-and-processes" TargetMode="External"/><Relationship Id="rId115" Type="http://schemas.openxmlformats.org/officeDocument/2006/relationships/hyperlink" Target="https://nips.cc/Conferences/2019/CallForPapers" TargetMode="External"/><Relationship Id="rId357" Type="http://schemas.openxmlformats.org/officeDocument/2006/relationships/hyperlink" Target="https://www.nature.com/ncomms/journal-policies/guide-to-referees" TargetMode="External"/><Relationship Id="rId119" Type="http://schemas.openxmlformats.org/officeDocument/2006/relationships/hyperlink" Target="https://onlinelibrary.wiley.com/page/journal/14680068/homepage/forauthors.html" TargetMode="External"/><Relationship Id="rId110" Type="http://schemas.openxmlformats.org/officeDocument/2006/relationships/hyperlink" Target="https://www.nature.com/nrg/for-referees" TargetMode="External"/><Relationship Id="rId352" Type="http://schemas.openxmlformats.org/officeDocument/2006/relationships/hyperlink" Target="https://www.nature.com/nature/for-referees/policies-and-processes" TargetMode="External"/><Relationship Id="rId351" Type="http://schemas.openxmlformats.org/officeDocument/2006/relationships/hyperlink" Target="https://www.rsc.org/journals-books-databases/journal-authors-reviewers/reviewer-responsibilities/" TargetMode="External"/><Relationship Id="rId350" Type="http://schemas.openxmlformats.org/officeDocument/2006/relationships/hyperlink" Target="https://pubs.acs.org/userimages/ContentEditor/1218054468605/ethics.pdf" TargetMode="External"/><Relationship Id="rId114" Type="http://schemas.openxmlformats.org/officeDocument/2006/relationships/hyperlink" Target="https://www.nature.com/nrg/for-referees" TargetMode="External"/><Relationship Id="rId356" Type="http://schemas.openxmlformats.org/officeDocument/2006/relationships/hyperlink" Target="https://www.nature.com/nclimate/for-referees/policies-and-processes" TargetMode="External"/><Relationship Id="rId113" Type="http://schemas.openxmlformats.org/officeDocument/2006/relationships/hyperlink" Target="https://www.nature.com/nrg/for-referees" TargetMode="External"/><Relationship Id="rId355" Type="http://schemas.openxmlformats.org/officeDocument/2006/relationships/hyperlink" Target="https://www.nature.com/nchem/for-referees/policies-and-processes" TargetMode="External"/><Relationship Id="rId112" Type="http://schemas.openxmlformats.org/officeDocument/2006/relationships/hyperlink" Target="https://www.nature.com/nrg/for-referees" TargetMode="External"/><Relationship Id="rId354" Type="http://schemas.openxmlformats.org/officeDocument/2006/relationships/hyperlink" Target="https://www.nature.com/ncb/for-referees/policies-and-processes" TargetMode="External"/><Relationship Id="rId111" Type="http://schemas.openxmlformats.org/officeDocument/2006/relationships/hyperlink" Target="https://www.nature.com/nrc/for-referees" TargetMode="External"/><Relationship Id="rId353" Type="http://schemas.openxmlformats.org/officeDocument/2006/relationships/hyperlink" Target="https://www.nature.com/nbt/for-referees/policies-and-processes" TargetMode="External"/><Relationship Id="rId305" Type="http://schemas.openxmlformats.org/officeDocument/2006/relationships/hyperlink" Target="https://els-jbs-prod-cdn.literatumonline.com/pb/assets/raw/Lancet/authors/tlo-info-for-authors-1541596062097.pdf" TargetMode="External"/><Relationship Id="rId304" Type="http://schemas.openxmlformats.org/officeDocument/2006/relationships/hyperlink" Target="https://els-jbs-prod-cdn.literatumonline.com/pb/assets/raw/Lancet/authors/tln-info-for-authors-1541596047120.pdf" TargetMode="External"/><Relationship Id="rId303" Type="http://schemas.openxmlformats.org/officeDocument/2006/relationships/hyperlink" Target="https://www.thelancet.com/pb/assets/raw/Lancet/authors/lancet-information-for-authors.pdf" TargetMode="External"/><Relationship Id="rId302" Type="http://schemas.openxmlformats.org/officeDocument/2006/relationships/hyperlink" Target="http://pubs.acs.org/paragonplus/submission/jpclcd/jpclcd_authguide.pdf" TargetMode="External"/><Relationship Id="rId309" Type="http://schemas.openxmlformats.org/officeDocument/2006/relationships/hyperlink" Target="https://publons.com/journal/573/cancer-cell" TargetMode="External"/><Relationship Id="rId308" Type="http://schemas.openxmlformats.org/officeDocument/2006/relationships/hyperlink" Target="https://authors.bmj.com/policies/peer-review-terms-and-conditions/" TargetMode="External"/><Relationship Id="rId307" Type="http://schemas.openxmlformats.org/officeDocument/2006/relationships/hyperlink" Target="https://www.elsevier.com/reviewers/what-is-peer-review" TargetMode="External"/><Relationship Id="rId306" Type="http://schemas.openxmlformats.org/officeDocument/2006/relationships/hyperlink" Target="https://www.elsevier.com/reviewers/what-is-peer-review" TargetMode="External"/><Relationship Id="rId301" Type="http://schemas.openxmlformats.org/officeDocument/2006/relationships/hyperlink" Target="https://www.elsevier.com/journals/teaching-and-teacher-education/0742-051x/guide-for-authors" TargetMode="External"/><Relationship Id="rId300" Type="http://schemas.openxmlformats.org/officeDocument/2006/relationships/hyperlink" Target="https://www.elsevier.com/journals/social-science-and-medicine/0277-9536/guide-for-authors" TargetMode="External"/><Relationship Id="rId327" Type="http://schemas.openxmlformats.org/officeDocument/2006/relationships/hyperlink" Target="https://www.ahajournals.org/pb-assets/Ethical%20ConductPolicyApril2017finalWeb.pdf" TargetMode="External"/><Relationship Id="rId326" Type="http://schemas.openxmlformats.org/officeDocument/2006/relationships/hyperlink" Target="https://www.rsc.org/journals-books-databases/journal-authors-reviewers/reviewer-responsibilities/" TargetMode="External"/><Relationship Id="rId325" Type="http://schemas.openxmlformats.org/officeDocument/2006/relationships/hyperlink" Target="https://www.cell.com/reviewers" TargetMode="External"/><Relationship Id="rId324" Type="http://schemas.openxmlformats.org/officeDocument/2006/relationships/hyperlink" Target="https://www.cell.com/reviewers" TargetMode="External"/><Relationship Id="rId329" Type="http://schemas.openxmlformats.org/officeDocument/2006/relationships/hyperlink" Target="http://www.diabetesjournals.org/for-reviewers" TargetMode="External"/><Relationship Id="rId328" Type="http://schemas.openxmlformats.org/officeDocument/2006/relationships/hyperlink" Target="https://ccr.msubmit.net/cgi-bin/main.plex?form_type=display_rev_instructions" TargetMode="External"/><Relationship Id="rId323" Type="http://schemas.openxmlformats.org/officeDocument/2006/relationships/hyperlink" Target="https://www.cell.com/reviewers" TargetMode="External"/><Relationship Id="rId322" Type="http://schemas.openxmlformats.org/officeDocument/2006/relationships/hyperlink" Target="https://www.cell.com/reviewers" TargetMode="External"/><Relationship Id="rId321" Type="http://schemas.openxmlformats.org/officeDocument/2006/relationships/hyperlink" Target="https://www.bmj.com/about-bmj/resources-reviewers" TargetMode="External"/><Relationship Id="rId320" Type="http://schemas.openxmlformats.org/officeDocument/2006/relationships/hyperlink" Target="http://www.bloodjournal.org/page/authors/author-guide/peer-review" TargetMode="External"/><Relationship Id="rId316" Type="http://schemas.openxmlformats.org/officeDocument/2006/relationships/hyperlink" Target="http://annals.org/aim/pages/authors" TargetMode="External"/><Relationship Id="rId315" Type="http://schemas.openxmlformats.org/officeDocument/2006/relationships/hyperlink" Target="https://uk.sagepub.com/en-gb/eur/how-to-review-articles" TargetMode="External"/><Relationship Id="rId314" Type="http://schemas.openxmlformats.org/officeDocument/2006/relationships/hyperlink" Target="https://ajph.aphapublications.org/page/authors.html" TargetMode="External"/><Relationship Id="rId313" Type="http://schemas.openxmlformats.org/officeDocument/2006/relationships/hyperlink" Target="https://ajps.org/ajps-reviewer-instructions/" TargetMode="External"/><Relationship Id="rId319" Type="http://schemas.openxmlformats.org/officeDocument/2006/relationships/hyperlink" Target="https://www.elsevier.com/reviewers/how-to-review" TargetMode="External"/><Relationship Id="rId318" Type="http://schemas.openxmlformats.org/officeDocument/2006/relationships/hyperlink" Target="https://academic.oup.com/journals/pages/authors/ethics" TargetMode="External"/><Relationship Id="rId317" Type="http://schemas.openxmlformats.org/officeDocument/2006/relationships/hyperlink" Target="https://authors.bmj.com/policies/peer-review-terms-and-conditions/" TargetMode="External"/><Relationship Id="rId312" Type="http://schemas.openxmlformats.org/officeDocument/2006/relationships/hyperlink" Target="https://www.aeaweb.org/content/file?id=222" TargetMode="External"/><Relationship Id="rId311" Type="http://schemas.openxmlformats.org/officeDocument/2006/relationships/hyperlink" Target="https://aom.org/Publications/AMR/Frequently-Asked-Questions.aspx" TargetMode="External"/><Relationship Id="rId310" Type="http://schemas.openxmlformats.org/officeDocument/2006/relationships/hyperlink" Target="http://examplejournal.com/coreviewers" TargetMode="External"/><Relationship Id="rId297" Type="http://schemas.openxmlformats.org/officeDocument/2006/relationships/hyperlink" Target="https://www.elsevier.com/reviewers/what-is-peer-review" TargetMode="External"/><Relationship Id="rId296" Type="http://schemas.openxmlformats.org/officeDocument/2006/relationships/hyperlink" Target="https://www.elsevier.com/reviewers/what-is-peer-review" TargetMode="External"/><Relationship Id="rId295" Type="http://schemas.openxmlformats.org/officeDocument/2006/relationships/hyperlink" Target="https://journals.plos.org/plosone/s/editorial-and-peer-review-process" TargetMode="External"/><Relationship Id="rId294" Type="http://schemas.openxmlformats.org/officeDocument/2006/relationships/hyperlink" Target="https://www.elsevier.com/journals/physics-letters-b/0370-2693/guide-for-authors" TargetMode="External"/><Relationship Id="rId299" Type="http://schemas.openxmlformats.org/officeDocument/2006/relationships/hyperlink" Target="https://www.nature.com/authors/author_resources/transfer_manuscripts.html" TargetMode="External"/><Relationship Id="rId298" Type="http://schemas.openxmlformats.org/officeDocument/2006/relationships/hyperlink" Target="https://www.sciencemag.org/authors/science-information-authors" TargetMode="External"/><Relationship Id="rId271" Type="http://schemas.openxmlformats.org/officeDocument/2006/relationships/hyperlink" Target="https://www.cell.com/molecular-cell/authors" TargetMode="External"/><Relationship Id="rId270" Type="http://schemas.openxmlformats.org/officeDocument/2006/relationships/hyperlink" Target="https://www.elsevier.com/reviewers/what-is-peer-review" TargetMode="External"/><Relationship Id="rId269" Type="http://schemas.openxmlformats.org/officeDocument/2006/relationships/hyperlink" Target="https://www.elsevier.com/authors/journal-authors/submit-your-paper/submit-and-revise/article-transfer-service" TargetMode="External"/><Relationship Id="rId264" Type="http://schemas.openxmlformats.org/officeDocument/2006/relationships/hyperlink" Target="https://www.elsevier.com/authors/journal-authors/submit-your-paper/submit-and-revise/article-transfer-service" TargetMode="External"/><Relationship Id="rId263" Type="http://schemas.openxmlformats.org/officeDocument/2006/relationships/hyperlink" Target="https://publishingsupport.iopscience.iop.org/questions/article-transfer-service/" TargetMode="External"/><Relationship Id="rId262" Type="http://schemas.openxmlformats.org/officeDocument/2006/relationships/hyperlink" Target="https://www.elsevier.com/reviewers/what-is-peer-review" TargetMode="External"/><Relationship Id="rId261" Type="http://schemas.openxmlformats.org/officeDocument/2006/relationships/hyperlink" Target="https://www.elsevier.com/reviewers/what-is-peer-review" TargetMode="External"/><Relationship Id="rId268" Type="http://schemas.openxmlformats.org/officeDocument/2006/relationships/hyperlink" Target="https://pubs.acs.org/page/policy/manuscript_transfer/index.html" TargetMode="External"/><Relationship Id="rId267" Type="http://schemas.openxmlformats.org/officeDocument/2006/relationships/hyperlink" Target="https://www.elsevier.com/authors/journal-authors/submit-your-paper/submit-and-revise/article-transfer-service" TargetMode="External"/><Relationship Id="rId266" Type="http://schemas.openxmlformats.org/officeDocument/2006/relationships/hyperlink" Target="http://www.rsc.org/journals-books-databases/journal-authors-reviewers/processes-policies/" TargetMode="External"/><Relationship Id="rId265" Type="http://schemas.openxmlformats.org/officeDocument/2006/relationships/hyperlink" Target="https://www.springer.com/us/authors-editors/journal-author/the-springer-transfer-desk" TargetMode="External"/><Relationship Id="rId260" Type="http://schemas.openxmlformats.org/officeDocument/2006/relationships/hyperlink" Target="https://www.elsevier.com/reviewers/what-is-peer-review" TargetMode="External"/><Relationship Id="rId259" Type="http://schemas.openxmlformats.org/officeDocument/2006/relationships/hyperlink" Target="https://www.elsevier.com/authors/journal-authors/submit-your-paper/submit-and-revise/article-transfer-service" TargetMode="External"/><Relationship Id="rId258" Type="http://schemas.openxmlformats.org/officeDocument/2006/relationships/hyperlink" Target="https://jamanetwork.com/journals/jama/pages/instructions-for-authors" TargetMode="External"/><Relationship Id="rId253" Type="http://schemas.openxmlformats.org/officeDocument/2006/relationships/hyperlink" Target="https://www.elsevier.com/reviewers/what-is-peer-review" TargetMode="External"/><Relationship Id="rId495" Type="http://schemas.openxmlformats.org/officeDocument/2006/relationships/hyperlink" Target="https://academic.oup.com/journals/pages/access_purchase/rights_and_permissions/self_archiving_policy_a" TargetMode="External"/><Relationship Id="rId252" Type="http://schemas.openxmlformats.org/officeDocument/2006/relationships/hyperlink" Target="https://www.elsevier.com/reviewers/what-is-peer-review" TargetMode="External"/><Relationship Id="rId494" Type="http://schemas.openxmlformats.org/officeDocument/2006/relationships/hyperlink" Target="https://journals.plos.org/plosone/s/preprints" TargetMode="External"/><Relationship Id="rId251" Type="http://schemas.openxmlformats.org/officeDocument/2006/relationships/hyperlink" Target="https://academic.oup.com/eurheartj/pages/Manuscript_Sharing" TargetMode="External"/><Relationship Id="rId493" Type="http://schemas.openxmlformats.org/officeDocument/2006/relationships/hyperlink" Target="https://www.elsevier.com/journals/physics-letters-b/0370-2693/guide-for-authors" TargetMode="External"/><Relationship Id="rId250" Type="http://schemas.openxmlformats.org/officeDocument/2006/relationships/hyperlink" Target="https://pubs.acs.org/paragonplus/submission/esthag/esthag_authguide.pdf" TargetMode="External"/><Relationship Id="rId492" Type="http://schemas.openxmlformats.org/officeDocument/2006/relationships/hyperlink" Target="https://academic.oup.com/nar/pages/Policies" TargetMode="External"/><Relationship Id="rId257" Type="http://schemas.openxmlformats.org/officeDocument/2006/relationships/hyperlink" Target="https://www.elsevier.com/reviewers/what-is-peer-review" TargetMode="External"/><Relationship Id="rId499" Type="http://schemas.openxmlformats.org/officeDocument/2006/relationships/hyperlink" Target="https://stm.sciencemag.org/content/science-translational-medicine-general-policies" TargetMode="External"/><Relationship Id="rId256" Type="http://schemas.openxmlformats.org/officeDocument/2006/relationships/hyperlink" Target="https://gut.bmj.com/pages/authors/" TargetMode="External"/><Relationship Id="rId498" Type="http://schemas.openxmlformats.org/officeDocument/2006/relationships/hyperlink" Target="http://www.sciencemag.org/authors/science-journals-editorial-policies" TargetMode="External"/><Relationship Id="rId255" Type="http://schemas.openxmlformats.org/officeDocument/2006/relationships/hyperlink" Target="https://www.journals.elsevier.com/government-information-quarterly/announcements" TargetMode="External"/><Relationship Id="rId497" Type="http://schemas.openxmlformats.org/officeDocument/2006/relationships/hyperlink" Target="https://journals.aps.org/rmp/info/procedures.html" TargetMode="External"/><Relationship Id="rId254" Type="http://schemas.openxmlformats.org/officeDocument/2006/relationships/hyperlink" Target="https://www.elsevier.com/reviewers/what-is-peer-review" TargetMode="External"/><Relationship Id="rId496" Type="http://schemas.openxmlformats.org/officeDocument/2006/relationships/hyperlink" Target="https://www.mitpressjournals.org/for_authors" TargetMode="External"/><Relationship Id="rId293" Type="http://schemas.openxmlformats.org/officeDocument/2006/relationships/hyperlink" Target="https://journals.aps.org/prx/authors/editorial-policies-practices" TargetMode="External"/><Relationship Id="rId292" Type="http://schemas.openxmlformats.org/officeDocument/2006/relationships/hyperlink" Target="https://journals.aps.org/prd/authors/editorial-policies-practices" TargetMode="External"/><Relationship Id="rId291" Type="http://schemas.openxmlformats.org/officeDocument/2006/relationships/hyperlink" Target="https://journals.aps.org/prb/authors/editorial-policies-practices" TargetMode="External"/><Relationship Id="rId290" Type="http://schemas.openxmlformats.org/officeDocument/2006/relationships/hyperlink" Target="http://www.aappublications.org/content/pediatrics-author-guidelines" TargetMode="External"/><Relationship Id="rId286" Type="http://schemas.openxmlformats.org/officeDocument/2006/relationships/hyperlink" Target="https://www.nature.com/authors/author_resources/transfer_manuscripts.html" TargetMode="External"/><Relationship Id="rId285" Type="http://schemas.openxmlformats.org/officeDocument/2006/relationships/hyperlink" Target="https://www.nature.com/authors/author_resources/transfer_manuscripts.html" TargetMode="External"/><Relationship Id="rId284" Type="http://schemas.openxmlformats.org/officeDocument/2006/relationships/hyperlink" Target="https://www.nature.com/authors/author_resources/transfer_manuscripts.html" TargetMode="External"/><Relationship Id="rId283" Type="http://schemas.openxmlformats.org/officeDocument/2006/relationships/hyperlink" Target="https://www.nature.com/authors/author_resources/transfer_manuscripts.html" TargetMode="External"/><Relationship Id="rId289" Type="http://schemas.openxmlformats.org/officeDocument/2006/relationships/hyperlink" Target="https://www.cell.com/neuron/authors" TargetMode="External"/><Relationship Id="rId288" Type="http://schemas.openxmlformats.org/officeDocument/2006/relationships/hyperlink" Target="https://www.elsevier.com/reviewers/what-is-peer-review" TargetMode="External"/><Relationship Id="rId287" Type="http://schemas.openxmlformats.org/officeDocument/2006/relationships/hyperlink" Target="https://www.nature.com/authors/author_resources/transfer_manuscripts.html" TargetMode="External"/><Relationship Id="rId282" Type="http://schemas.openxmlformats.org/officeDocument/2006/relationships/hyperlink" Target="https://www.nature.com/authors/author_resources/transfer_manuscripts.html" TargetMode="External"/><Relationship Id="rId281" Type="http://schemas.openxmlformats.org/officeDocument/2006/relationships/hyperlink" Target="https://www.nature.com/authors/author_resources/transfer_manuscripts.html" TargetMode="External"/><Relationship Id="rId280" Type="http://schemas.openxmlformats.org/officeDocument/2006/relationships/hyperlink" Target="https://www.nature.com/authors/author_resources/transfer_manuscripts.html" TargetMode="External"/><Relationship Id="rId275" Type="http://schemas.openxmlformats.org/officeDocument/2006/relationships/hyperlink" Target="https://www.nature.com/authors/author_resources/transfer_manuscripts.html" TargetMode="External"/><Relationship Id="rId274" Type="http://schemas.openxmlformats.org/officeDocument/2006/relationships/hyperlink" Target="https://www.nature.com/authors/author_resources/transfer_manuscripts.html" TargetMode="External"/><Relationship Id="rId273" Type="http://schemas.openxmlformats.org/officeDocument/2006/relationships/hyperlink" Target="https://www.nature.com/authors/author_resources/transfer_manuscripts.html" TargetMode="External"/><Relationship Id="rId272" Type="http://schemas.openxmlformats.org/officeDocument/2006/relationships/hyperlink" Target="https://pubs.acs.org/page/policy/manuscript_transfer/index.html" TargetMode="External"/><Relationship Id="rId279" Type="http://schemas.openxmlformats.org/officeDocument/2006/relationships/hyperlink" Target="https://www.nature.com/authors/author_resources/transfer_manuscripts.html" TargetMode="External"/><Relationship Id="rId278" Type="http://schemas.openxmlformats.org/officeDocument/2006/relationships/hyperlink" Target="https://www.nature.com/authors/author_resources/transfer_manuscripts.html" TargetMode="External"/><Relationship Id="rId277" Type="http://schemas.openxmlformats.org/officeDocument/2006/relationships/hyperlink" Target="https://www.nature.com/authors/author_resources/transfer_manuscripts.html" TargetMode="External"/><Relationship Id="rId276" Type="http://schemas.openxmlformats.org/officeDocument/2006/relationships/hyperlink" Target="https://www.nature.com/authors/author_resources/transfer_manuscripts.html" TargetMode="External"/><Relationship Id="rId409" Type="http://schemas.openxmlformats.org/officeDocument/2006/relationships/hyperlink" Target="https://www.elsevier.com/about/policies/sharing" TargetMode="External"/><Relationship Id="rId404" Type="http://schemas.openxmlformats.org/officeDocument/2006/relationships/hyperlink" Target="https://us.sagepub.com/en-us/nam/prior-publication" TargetMode="External"/><Relationship Id="rId403" Type="http://schemas.openxmlformats.org/officeDocument/2006/relationships/hyperlink" Target="https://ajpsblogging.files.wordpress.com/2015/09/ajps-author-resources-ver-1-0.pdf" TargetMode="External"/><Relationship Id="rId402" Type="http://schemas.openxmlformats.org/officeDocument/2006/relationships/hyperlink" Target="https://www.aeaweb.org/journals/policies/copyright" TargetMode="External"/><Relationship Id="rId401" Type="http://schemas.openxmlformats.org/officeDocument/2006/relationships/hyperlink" Target="https://onlinelibrary.wiley.com/pb-assets/assets/15214095/2089_guidelines.pdf" TargetMode="External"/><Relationship Id="rId408" Type="http://schemas.openxmlformats.org/officeDocument/2006/relationships/hyperlink" Target="https://authors.bmj.com/policies/preprints/" TargetMode="External"/><Relationship Id="rId407" Type="http://schemas.openxmlformats.org/officeDocument/2006/relationships/hyperlink" Target="https://academic.oup.com/journals/pages/access_purchase/rights_and_permissions/author_self_archiving_policy" TargetMode="External"/><Relationship Id="rId406" Type="http://schemas.openxmlformats.org/officeDocument/2006/relationships/hyperlink" Target="http://annals.org/aim/pages/authors" TargetMode="External"/><Relationship Id="rId405" Type="http://schemas.openxmlformats.org/officeDocument/2006/relationships/hyperlink" Target="https://onlinelibrary.wiley.com/page/journal/15213773/homepage/notice-to-authors" TargetMode="External"/><Relationship Id="rId400" Type="http://schemas.openxmlformats.org/officeDocument/2006/relationships/hyperlink" Target="https://wol-prod-cdn.literatumonline.com/pb-assets/assets/16163028/AFM-guide-for-authors-may-2018-1526994585463.pdf" TargetMode="External"/><Relationship Id="rId228" Type="http://schemas.openxmlformats.org/officeDocument/2006/relationships/hyperlink" Target="https://pubs.acs.org/paragonplus/submission/aamick/aamick_authguide.pdf" TargetMode="External"/><Relationship Id="rId227" Type="http://schemas.openxmlformats.org/officeDocument/2006/relationships/hyperlink" Target="http://examplejournal.com/peerreviewtransfer" TargetMode="External"/><Relationship Id="rId469" Type="http://schemas.openxmlformats.org/officeDocument/2006/relationships/hyperlink" Target="https://uk.sagepub.com/en-gb/eur/journal-author-archiving-policies-and-re-use" TargetMode="External"/><Relationship Id="rId226" Type="http://schemas.openxmlformats.org/officeDocument/2006/relationships/hyperlink" Target="http://www.cell.com/immunity/articletransfer" TargetMode="External"/><Relationship Id="rId468" Type="http://schemas.openxmlformats.org/officeDocument/2006/relationships/hyperlink" Target="https://www.elsevier.com/about/policies/copyright/permissions" TargetMode="External"/><Relationship Id="rId225" Type="http://schemas.openxmlformats.org/officeDocument/2006/relationships/hyperlink" Target="https://www.elsevier.com/authors/journal-authors/submit-your-paper" TargetMode="External"/><Relationship Id="rId467" Type="http://schemas.openxmlformats.org/officeDocument/2006/relationships/hyperlink" Target="https://us.sagepub.com/en-us/nam/prior-publication" TargetMode="External"/><Relationship Id="rId229" Type="http://schemas.openxmlformats.org/officeDocument/2006/relationships/hyperlink" Target="https://pubs.acs.org/page/policy/manuscript_transfer/index.html" TargetMode="External"/><Relationship Id="rId220" Type="http://schemas.openxmlformats.org/officeDocument/2006/relationships/hyperlink" Target="https://authorservices.wiley.com/Reviewers/journal-reviewers/recognition-for-reviewers/index.html" TargetMode="External"/><Relationship Id="rId462" Type="http://schemas.openxmlformats.org/officeDocument/2006/relationships/hyperlink" Target="https://jhep.sissa.it/jhep/help/helpLoader.jsp?pgType=author" TargetMode="External"/><Relationship Id="rId461" Type="http://schemas.openxmlformats.org/officeDocument/2006/relationships/hyperlink" Target="https://www.elsevier.com/about/policies/sharing" TargetMode="External"/><Relationship Id="rId460" Type="http://schemas.openxmlformats.org/officeDocument/2006/relationships/hyperlink" Target="https://www.apa.org/pubs/journals/resources/open-science.aspx" TargetMode="External"/><Relationship Id="rId224" Type="http://schemas.openxmlformats.org/officeDocument/2006/relationships/hyperlink" Target="https://authors.bmj.com/policies/peer-review-terms-and-conditions/" TargetMode="External"/><Relationship Id="rId466" Type="http://schemas.openxmlformats.org/officeDocument/2006/relationships/hyperlink" Target="http://www.onlinejacc.org/content/73/2/A28" TargetMode="External"/><Relationship Id="rId223" Type="http://schemas.openxmlformats.org/officeDocument/2006/relationships/hyperlink" Target="https://www.elsevier.com/reviewers/role" TargetMode="External"/><Relationship Id="rId465" Type="http://schemas.openxmlformats.org/officeDocument/2006/relationships/hyperlink" Target="http://pubs.acs.org/paragonplus/submission/jacsat/jacsat_authguide.pdf" TargetMode="External"/><Relationship Id="rId222" Type="http://schemas.openxmlformats.org/officeDocument/2006/relationships/hyperlink" Target="https://www.elsevier.com/reviewers/role" TargetMode="External"/><Relationship Id="rId464" Type="http://schemas.openxmlformats.org/officeDocument/2006/relationships/hyperlink" Target="http://www.rsc.org/journals-books-databases/journal-authors-reviewers/processes-policies/" TargetMode="External"/><Relationship Id="rId221" Type="http://schemas.openxmlformats.org/officeDocument/2006/relationships/hyperlink" Target="https://authorservices.wiley.com/Reviewers/journal-reviewers/recognition-for-reviewers/index.html" TargetMode="External"/><Relationship Id="rId463" Type="http://schemas.openxmlformats.org/officeDocument/2006/relationships/hyperlink" Target="https://us.sagepub.com/en-us/nam/prior-publication" TargetMode="External"/><Relationship Id="rId217" Type="http://schemas.openxmlformats.org/officeDocument/2006/relationships/hyperlink" Target="https://www.elsevier.com/reviewers/role" TargetMode="External"/><Relationship Id="rId459" Type="http://schemas.openxmlformats.org/officeDocument/2006/relationships/hyperlink" Target="https://jcap.sissa.it/jcap/help/helpLoader.jsp?pgType=flow" TargetMode="External"/><Relationship Id="rId216" Type="http://schemas.openxmlformats.org/officeDocument/2006/relationships/hyperlink" Target="https://www.elsevier.com/reviewers/role" TargetMode="External"/><Relationship Id="rId458" Type="http://schemas.openxmlformats.org/officeDocument/2006/relationships/hyperlink" Target="https://academic.oup.com/journals/pages/access_purchase/rights_and_permissions/self_archiving_policy_f" TargetMode="External"/><Relationship Id="rId215" Type="http://schemas.openxmlformats.org/officeDocument/2006/relationships/hyperlink" Target="https://uk.sagepub.com/en-gb/eur/get-credit-for-your-reviews" TargetMode="External"/><Relationship Id="rId457" Type="http://schemas.openxmlformats.org/officeDocument/2006/relationships/hyperlink" Target="http://ascopubs.org/jco/site/ifc/journal-policies.xhtml" TargetMode="External"/><Relationship Id="rId214" Type="http://schemas.openxmlformats.org/officeDocument/2006/relationships/hyperlink" Target="https://www.pnas.org/content/115/52/E12466" TargetMode="External"/><Relationship Id="rId456" Type="http://schemas.openxmlformats.org/officeDocument/2006/relationships/hyperlink" Target="https://www.elsevier.com/about/policies/sharing" TargetMode="External"/><Relationship Id="rId219" Type="http://schemas.openxmlformats.org/officeDocument/2006/relationships/hyperlink" Target="https://authorservices.wiley.com/Reviewers/journal-reviewers/recognition-for-reviewers/index.html" TargetMode="External"/><Relationship Id="rId218" Type="http://schemas.openxmlformats.org/officeDocument/2006/relationships/hyperlink" Target="https://www.elsevier.com/reviewers/role" TargetMode="External"/><Relationship Id="rId451" Type="http://schemas.openxmlformats.org/officeDocument/2006/relationships/hyperlink" Target="https://www.elsevier.com/journals/international-journal-of-production-economics/0925-5273/guide-for-authors" TargetMode="External"/><Relationship Id="rId450" Type="http://schemas.openxmlformats.org/officeDocument/2006/relationships/hyperlink" Target="https://www.cell.com/immunity/authors" TargetMode="External"/><Relationship Id="rId213" Type="http://schemas.openxmlformats.org/officeDocument/2006/relationships/hyperlink" Target="https://www.osapublishing.org/oe/submit/review/outstandingreviewers.cfm" TargetMode="External"/><Relationship Id="rId455" Type="http://schemas.openxmlformats.org/officeDocument/2006/relationships/hyperlink" Target="https://www.elsevier.com/about/policies/sharing" TargetMode="External"/><Relationship Id="rId212" Type="http://schemas.openxmlformats.org/officeDocument/2006/relationships/hyperlink" Target="https://authorservices.wiley.com/Reviewers/journal-reviewers/recognition-for-reviewers/index.html" TargetMode="External"/><Relationship Id="rId454" Type="http://schemas.openxmlformats.org/officeDocument/2006/relationships/hyperlink" Target="https://www.elsevier.com/about/policies/sharing" TargetMode="External"/><Relationship Id="rId211" Type="http://schemas.openxmlformats.org/officeDocument/2006/relationships/hyperlink" Target="https://www.elsevier.com/reviewers/role" TargetMode="External"/><Relationship Id="rId453" Type="http://schemas.openxmlformats.org/officeDocument/2006/relationships/hyperlink" Target="https://www.elsevier.com/about/policies/sharing" TargetMode="External"/><Relationship Id="rId210" Type="http://schemas.openxmlformats.org/officeDocument/2006/relationships/hyperlink" Target="https://www.nature.com/authors/policies/peer_review.html" TargetMode="External"/><Relationship Id="rId452" Type="http://schemas.openxmlformats.org/officeDocument/2006/relationships/hyperlink" Target="https://jamanetwork.com/journals/jama/pages/instructions-for-authors" TargetMode="External"/><Relationship Id="rId491" Type="http://schemas.openxmlformats.org/officeDocument/2006/relationships/hyperlink" Target="https://authorservices.wiley.com/author-resources/Journal-Authors/open-access/preprints-policy.html" TargetMode="External"/><Relationship Id="rId490" Type="http://schemas.openxmlformats.org/officeDocument/2006/relationships/hyperlink" Target="https://www.cell.com/neuron/authors" TargetMode="External"/><Relationship Id="rId249" Type="http://schemas.openxmlformats.org/officeDocument/2006/relationships/hyperlink" Target="https://www.rsc.org/journals-books-databases/journal-authors-reviewers/processes-policies/" TargetMode="External"/><Relationship Id="rId248" Type="http://schemas.openxmlformats.org/officeDocument/2006/relationships/hyperlink" Target="https://www.econometricsociety.org/publications/econometrica/information-authors/editorial-procedures-and-policies" TargetMode="External"/><Relationship Id="rId247" Type="http://schemas.openxmlformats.org/officeDocument/2006/relationships/hyperlink" Target="https://www.elsevier.com/reviewers/what-is-peer-review" TargetMode="External"/><Relationship Id="rId489" Type="http://schemas.openxmlformats.org/officeDocument/2006/relationships/hyperlink" Target="https://www.elsevier.com/about/policies/sharing" TargetMode="External"/><Relationship Id="rId242" Type="http://schemas.openxmlformats.org/officeDocument/2006/relationships/hyperlink" Target="http://www.rsc.org/journals-books-databases/journal-authors-reviewers/processes-policies/" TargetMode="External"/><Relationship Id="rId484" Type="http://schemas.openxmlformats.org/officeDocument/2006/relationships/hyperlink" Target="https://www.nature.com/authors/policies/preprints.html" TargetMode="External"/><Relationship Id="rId241" Type="http://schemas.openxmlformats.org/officeDocument/2006/relationships/hyperlink" Target="https://www.cell.com/cell-stem-cell/articletransfer" TargetMode="External"/><Relationship Id="rId483" Type="http://schemas.openxmlformats.org/officeDocument/2006/relationships/hyperlink" Target="https://www.nature.com/authors/policies/preprints.html" TargetMode="External"/><Relationship Id="rId240" Type="http://schemas.openxmlformats.org/officeDocument/2006/relationships/hyperlink" Target="https://www.cell.com/cell-metabolism/articletransfer" TargetMode="External"/><Relationship Id="rId482" Type="http://schemas.openxmlformats.org/officeDocument/2006/relationships/hyperlink" Target="https://www.nature.com/authors/policies/preprints.html" TargetMode="External"/><Relationship Id="rId481" Type="http://schemas.openxmlformats.org/officeDocument/2006/relationships/hyperlink" Target="https://www.nature.com/authors/policies/preprints.html" TargetMode="External"/><Relationship Id="rId246" Type="http://schemas.openxmlformats.org/officeDocument/2006/relationships/hyperlink" Target="http://aacrjournals.org/content/authors/manuscript-transfer" TargetMode="External"/><Relationship Id="rId488" Type="http://schemas.openxmlformats.org/officeDocument/2006/relationships/hyperlink" Target="https://nips.cc/Conferences/2019/CallForPapers" TargetMode="External"/><Relationship Id="rId245" Type="http://schemas.openxmlformats.org/officeDocument/2006/relationships/hyperlink" Target="https://pubs.acs.org/page/policy/manuscript_transfer/index.html" TargetMode="External"/><Relationship Id="rId487" Type="http://schemas.openxmlformats.org/officeDocument/2006/relationships/hyperlink" Target="https://www.nature.com/authors/policies/preprints.html" TargetMode="External"/><Relationship Id="rId244" Type="http://schemas.openxmlformats.org/officeDocument/2006/relationships/hyperlink" Target="http://www.rsc.org/journals-books-databases/journal-authors-reviewers/processes-policies/" TargetMode="External"/><Relationship Id="rId486" Type="http://schemas.openxmlformats.org/officeDocument/2006/relationships/hyperlink" Target="https://www.nature.com/authors/policies/preprints.html" TargetMode="External"/><Relationship Id="rId243" Type="http://schemas.openxmlformats.org/officeDocument/2006/relationships/hyperlink" Target="https://pubs.acs.org/page/policy/manuscript_transfer/index.html" TargetMode="External"/><Relationship Id="rId485" Type="http://schemas.openxmlformats.org/officeDocument/2006/relationships/hyperlink" Target="https://www.nature.com/authors/policies/preprints.html" TargetMode="External"/><Relationship Id="rId480" Type="http://schemas.openxmlformats.org/officeDocument/2006/relationships/hyperlink" Target="https://www.nature.com/authors/policies/preprints.html" TargetMode="External"/><Relationship Id="rId239" Type="http://schemas.openxmlformats.org/officeDocument/2006/relationships/hyperlink" Target="https://www.cell.com/cell/articletransfer" TargetMode="External"/><Relationship Id="rId238" Type="http://schemas.openxmlformats.org/officeDocument/2006/relationships/hyperlink" Target="http://aacrjournals.org/content/authors/manuscript-transfer" TargetMode="External"/><Relationship Id="rId237" Type="http://schemas.openxmlformats.org/officeDocument/2006/relationships/hyperlink" Target="https://www.cell.com/cancer-cell/articletransfer" TargetMode="External"/><Relationship Id="rId479" Type="http://schemas.openxmlformats.org/officeDocument/2006/relationships/hyperlink" Target="https://www.nature.com/authors/policies/preprints.html" TargetMode="External"/><Relationship Id="rId236" Type="http://schemas.openxmlformats.org/officeDocument/2006/relationships/hyperlink" Target="https://authors.bmj.com/policies/peer-review-terms-and-conditions/" TargetMode="External"/><Relationship Id="rId478" Type="http://schemas.openxmlformats.org/officeDocument/2006/relationships/hyperlink" Target="https://www.nature.com/authors/policies/preprints.html" TargetMode="External"/><Relationship Id="rId231" Type="http://schemas.openxmlformats.org/officeDocument/2006/relationships/hyperlink" Target="https://authors.bmj.com/policies/peer-review-terms-and-conditions/" TargetMode="External"/><Relationship Id="rId473" Type="http://schemas.openxmlformats.org/officeDocument/2006/relationships/hyperlink" Target="https://www.nature.com/authors/policies/preprints.html" TargetMode="External"/><Relationship Id="rId230" Type="http://schemas.openxmlformats.org/officeDocument/2006/relationships/hyperlink" Target="https://pubs.acs.org/page/policy/manuscript_transfer/index.html" TargetMode="External"/><Relationship Id="rId472" Type="http://schemas.openxmlformats.org/officeDocument/2006/relationships/hyperlink" Target="http://www.rsc.org/journals-books-databases/journal-authors-reviewers/processes-policies/" TargetMode="External"/><Relationship Id="rId471" Type="http://schemas.openxmlformats.org/officeDocument/2006/relationships/hyperlink" Target="https://pubs.acs.org/page/nalefd/submission/prior.html" TargetMode="External"/><Relationship Id="rId470" Type="http://schemas.openxmlformats.org/officeDocument/2006/relationships/hyperlink" Target="https://www.cell.com/molecular-cell/authors" TargetMode="External"/><Relationship Id="rId235" Type="http://schemas.openxmlformats.org/officeDocument/2006/relationships/hyperlink" Target="https://www.elsevier.com/reviewers/what-is-peer-review" TargetMode="External"/><Relationship Id="rId477" Type="http://schemas.openxmlformats.org/officeDocument/2006/relationships/hyperlink" Target="https://www.nature.com/authors/policies/preprints.html" TargetMode="External"/><Relationship Id="rId234" Type="http://schemas.openxmlformats.org/officeDocument/2006/relationships/hyperlink" Target="https://aip.scitation.org/apl/info/policies" TargetMode="External"/><Relationship Id="rId476" Type="http://schemas.openxmlformats.org/officeDocument/2006/relationships/hyperlink" Target="https://www.nature.com/authors/policies/preprints.html" TargetMode="External"/><Relationship Id="rId233" Type="http://schemas.openxmlformats.org/officeDocument/2006/relationships/hyperlink" Target="https://www.elsevier.com/reviewers/what-is-peer-review" TargetMode="External"/><Relationship Id="rId475" Type="http://schemas.openxmlformats.org/officeDocument/2006/relationships/hyperlink" Target="https://www.nature.com/authors/policies/preprints.html" TargetMode="External"/><Relationship Id="rId232" Type="http://schemas.openxmlformats.org/officeDocument/2006/relationships/hyperlink" Target="https://www.elsevier.com/reviewers/what-is-peer-review" TargetMode="External"/><Relationship Id="rId474" Type="http://schemas.openxmlformats.org/officeDocument/2006/relationships/hyperlink" Target="https://www.nature.com/authors/policies/preprints.html" TargetMode="External"/><Relationship Id="rId426" Type="http://schemas.openxmlformats.org/officeDocument/2006/relationships/hyperlink" Target="http://aacrjournals.org/content/authors/editorial-policies" TargetMode="External"/><Relationship Id="rId425" Type="http://schemas.openxmlformats.org/officeDocument/2006/relationships/hyperlink" Target="https://www.ahajournals.org/prior-publication-policy" TargetMode="External"/><Relationship Id="rId424" Type="http://schemas.openxmlformats.org/officeDocument/2006/relationships/hyperlink" Target="https://www.ahajournals.org/prior-publication-policy" TargetMode="External"/><Relationship Id="rId423" Type="http://schemas.openxmlformats.org/officeDocument/2006/relationships/hyperlink" Target="https://pubs.acs.org/page/cmatex/submission/prior.html" TargetMode="External"/><Relationship Id="rId429" Type="http://schemas.openxmlformats.org/officeDocument/2006/relationships/hyperlink" Target="https://www.econometricsociety.org/publications/econometrica/information-authors/editorial-procedures-and-policies" TargetMode="External"/><Relationship Id="rId428" Type="http://schemas.openxmlformats.org/officeDocument/2006/relationships/hyperlink" Target="http://www.diabetesjournals.org/content/journal-policies" TargetMode="External"/><Relationship Id="rId427" Type="http://schemas.openxmlformats.org/officeDocument/2006/relationships/hyperlink" Target="https://www.elsevier.com/journals/computers-and-education/0360-1315?generatepdf=true" TargetMode="External"/><Relationship Id="rId422" Type="http://schemas.openxmlformats.org/officeDocument/2006/relationships/hyperlink" Target="http://www.rsc.org/journals-books-databases/journal-authors-reviewers/processes-policies/" TargetMode="External"/><Relationship Id="rId421" Type="http://schemas.openxmlformats.org/officeDocument/2006/relationships/hyperlink" Target="https://pubs.acs.org/page/chreay/submission/prior.html" TargetMode="External"/><Relationship Id="rId420" Type="http://schemas.openxmlformats.org/officeDocument/2006/relationships/hyperlink" Target="http://www.rsc.org/journals-books-databases/journal-authors-reviewers/processes-policies/" TargetMode="External"/><Relationship Id="rId415" Type="http://schemas.openxmlformats.org/officeDocument/2006/relationships/hyperlink" Target="https://www.cell.com/cancer-cell/authors" TargetMode="External"/><Relationship Id="rId414" Type="http://schemas.openxmlformats.org/officeDocument/2006/relationships/hyperlink" Target="https://authors.bmj.com/policies/preprints/" TargetMode="External"/><Relationship Id="rId413" Type="http://schemas.openxmlformats.org/officeDocument/2006/relationships/hyperlink" Target="http://www.bloodjournal.org/page/authors/author-guide/Editorial-policies-for-authors" TargetMode="External"/><Relationship Id="rId412" Type="http://schemas.openxmlformats.org/officeDocument/2006/relationships/hyperlink" Target="https://www.aanda.org/author-information" TargetMode="External"/><Relationship Id="rId419" Type="http://schemas.openxmlformats.org/officeDocument/2006/relationships/hyperlink" Target="https://www.cell.com/cell-stem-cell/authors" TargetMode="External"/><Relationship Id="rId418" Type="http://schemas.openxmlformats.org/officeDocument/2006/relationships/hyperlink" Target="https://www.cell.com/cell-metabolism/authors" TargetMode="External"/><Relationship Id="rId417" Type="http://schemas.openxmlformats.org/officeDocument/2006/relationships/hyperlink" Target="https://www.cell.com/cell/authors" TargetMode="External"/><Relationship Id="rId416" Type="http://schemas.openxmlformats.org/officeDocument/2006/relationships/hyperlink" Target="http://aacrjournals.org/content/authors/editorial-policies" TargetMode="External"/><Relationship Id="rId411" Type="http://schemas.openxmlformats.org/officeDocument/2006/relationships/hyperlink" Target="https://academic.oup.com/journals/pages/access_purchase/rights_and_permissions/author_self_archiving_policy" TargetMode="External"/><Relationship Id="rId410" Type="http://schemas.openxmlformats.org/officeDocument/2006/relationships/hyperlink" Target="https://www.elsevier.com/about/policies/sharing" TargetMode="External"/><Relationship Id="rId206" Type="http://schemas.openxmlformats.org/officeDocument/2006/relationships/hyperlink" Target="https://www.nature.com/authors/policies/peer_review.html" TargetMode="External"/><Relationship Id="rId448" Type="http://schemas.openxmlformats.org/officeDocument/2006/relationships/hyperlink" Target="https://ieeeauthorcenter.ieee.org/publishing-ethics/guidelines-and-policies/policy-posting-your-article/" TargetMode="External"/><Relationship Id="rId205" Type="http://schemas.openxmlformats.org/officeDocument/2006/relationships/hyperlink" Target="https://www.nature.com/authors/policies/peer_review.html" TargetMode="External"/><Relationship Id="rId447" Type="http://schemas.openxmlformats.org/officeDocument/2006/relationships/hyperlink" Target="https://ieeeauthorcenter.ieee.org/publishing-ethics/guidelines-and-policies/policy-posting-your-article/" TargetMode="External"/><Relationship Id="rId204" Type="http://schemas.openxmlformats.org/officeDocument/2006/relationships/hyperlink" Target="https://www.nature.com/authors/policies/peer_review.html" TargetMode="External"/><Relationship Id="rId446" Type="http://schemas.openxmlformats.org/officeDocument/2006/relationships/hyperlink" Target="https://ieeeauthorcenter.ieee.org/publishing-ethics/guidelines-and-policies/policy-posting-your-article/" TargetMode="External"/><Relationship Id="rId203" Type="http://schemas.openxmlformats.org/officeDocument/2006/relationships/hyperlink" Target="https://www.nature.com/authors/policies/peer_review.html" TargetMode="External"/><Relationship Id="rId445" Type="http://schemas.openxmlformats.org/officeDocument/2006/relationships/hyperlink" Target="https://ieeeauthorcenter.ieee.org/publishing-ethics/guidelines-and-policies/policy-posting-your-article/" TargetMode="External"/><Relationship Id="rId209" Type="http://schemas.openxmlformats.org/officeDocument/2006/relationships/hyperlink" Target="https://www.nature.com/authors/policies/peer_review.html" TargetMode="External"/><Relationship Id="rId208" Type="http://schemas.openxmlformats.org/officeDocument/2006/relationships/hyperlink" Target="https://www.nature.com/authors/policies/peer_review.html" TargetMode="External"/><Relationship Id="rId207" Type="http://schemas.openxmlformats.org/officeDocument/2006/relationships/hyperlink" Target="https://www.nature.com/authors/policies/peer_review.html" TargetMode="External"/><Relationship Id="rId449" Type="http://schemas.openxmlformats.org/officeDocument/2006/relationships/hyperlink" Target="https://ieeeauthorcenter.ieee.org/publishing-ethics/guidelines-and-policies/policy-posting-your-article/" TargetMode="External"/><Relationship Id="rId440" Type="http://schemas.openxmlformats.org/officeDocument/2006/relationships/hyperlink" Target="https://aasldpubs.onlinelibrary.wiley.com/hub/journal/15273350/about/author-guidelines" TargetMode="External"/><Relationship Id="rId202" Type="http://schemas.openxmlformats.org/officeDocument/2006/relationships/hyperlink" Target="https://www.nature.com/authors/policies/peer_review.html" TargetMode="External"/><Relationship Id="rId444" Type="http://schemas.openxmlformats.org/officeDocument/2006/relationships/hyperlink" Target="http://iccv2019.thecvf.com/submission/main_conference/author_guidelines" TargetMode="External"/><Relationship Id="rId201" Type="http://schemas.openxmlformats.org/officeDocument/2006/relationships/hyperlink" Target="https://www.nature.com/ncomms/journal-policies/guide-to-referees" TargetMode="External"/><Relationship Id="rId443" Type="http://schemas.openxmlformats.org/officeDocument/2006/relationships/hyperlink" Target="http://cvpr2019.thecvf.com/submission/main_conference/author_guidelines" TargetMode="External"/><Relationship Id="rId200" Type="http://schemas.openxmlformats.org/officeDocument/2006/relationships/hyperlink" Target="https://www.nature.com/authors/policies/peer_review.html" TargetMode="External"/><Relationship Id="rId442" Type="http://schemas.openxmlformats.org/officeDocument/2006/relationships/hyperlink" Target="https://pspb.ieee.org/images/files/files/opsmanual.pdf" TargetMode="External"/><Relationship Id="rId441" Type="http://schemas.openxmlformats.org/officeDocument/2006/relationships/hyperlink" Target="https://pspb.ieee.org/images/files/files/opsmanual.pdf" TargetMode="External"/><Relationship Id="rId437" Type="http://schemas.openxmlformats.org/officeDocument/2006/relationships/hyperlink" Target="https://www.elsevier.com/about/policies/sharing" TargetMode="External"/><Relationship Id="rId436" Type="http://schemas.openxmlformats.org/officeDocument/2006/relationships/hyperlink" Target="https://www.elsevier.com/about/policies/sharing" TargetMode="External"/><Relationship Id="rId435" Type="http://schemas.openxmlformats.org/officeDocument/2006/relationships/hyperlink" Target="https://publications.agu.org/author-resource-center/publication-policies/dual-publication-policy/" TargetMode="External"/><Relationship Id="rId434" Type="http://schemas.openxmlformats.org/officeDocument/2006/relationships/hyperlink" Target="https://uk.sagepub.com/en-gb/eur/prior-publication" TargetMode="External"/><Relationship Id="rId439" Type="http://schemas.openxmlformats.org/officeDocument/2006/relationships/hyperlink" Target="https://www.healthaffairs.org/help-for-authors" TargetMode="External"/><Relationship Id="rId438" Type="http://schemas.openxmlformats.org/officeDocument/2006/relationships/hyperlink" Target="https://authors.bmj.com/policies/preprints/" TargetMode="External"/><Relationship Id="rId433" Type="http://schemas.openxmlformats.org/officeDocument/2006/relationships/hyperlink" Target="https://www.gastrojournal.org/content/authorinfo" TargetMode="External"/><Relationship Id="rId432" Type="http://schemas.openxmlformats.org/officeDocument/2006/relationships/hyperlink" Target="https://academic.oup.com/journals/pages/access_purchase/rights_and_permissions/self_archiving_policy_b" TargetMode="External"/><Relationship Id="rId431" Type="http://schemas.openxmlformats.org/officeDocument/2006/relationships/hyperlink" Target="https://pubs.acs.org/page/esthag/submission/prior.html" TargetMode="External"/><Relationship Id="rId430" Type="http://schemas.openxmlformats.org/officeDocument/2006/relationships/hyperlink" Target="https://www.rsc.org/journals-books-databases/journal-authors-reviewers/processes-policie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1.0" ySplit="3.0" topLeftCell="L4" activePane="bottomRight" state="frozen"/>
      <selection activeCell="L1" sqref="L1" pane="topRight"/>
      <selection activeCell="A4" sqref="A4" pane="bottomLeft"/>
      <selection activeCell="L4" sqref="L4" pane="bottomRight"/>
    </sheetView>
  </sheetViews>
  <sheetFormatPr customHeight="1" defaultColWidth="14.43" defaultRowHeight="15.75"/>
  <cols>
    <col hidden="1" min="1" max="1" width="14.43"/>
    <col customWidth="1" min="2" max="2" width="5.0"/>
    <col hidden="1" min="3" max="3" width="14.43"/>
    <col customWidth="1" min="4" max="4" width="5.57"/>
    <col customWidth="1" min="5" max="5" width="11.57"/>
    <col customWidth="1" min="6" max="6" width="7.0"/>
    <col customWidth="1" min="8" max="8" width="7.0"/>
    <col hidden="1" min="9" max="9" width="14.43"/>
    <col customWidth="1" min="10" max="10" width="18.86"/>
    <col customWidth="1" min="11" max="11" width="10.14"/>
    <col customWidth="1" min="13" max="13" width="33.86"/>
    <col customWidth="1" min="14" max="14" width="24.43"/>
    <col customWidth="1" min="15" max="15" width="50.0"/>
    <col customWidth="1" min="17" max="17" width="26.0"/>
    <col customWidth="1" min="20" max="20" width="32.29"/>
    <col customWidth="1" min="29" max="29" width="26.86"/>
    <col customWidth="1" min="35" max="35" width="25.0"/>
    <col customWidth="1" min="37" max="37" width="37.29"/>
    <col customWidth="1" min="39" max="39" width="25.86"/>
    <col customWidth="1" min="41" max="41" width="30.86"/>
    <col customWidth="1" min="45" max="45" width="48.86"/>
  </cols>
  <sheetData>
    <row r="1">
      <c r="A1" s="4" t="s">
        <v>3</v>
      </c>
      <c r="B1" s="1" t="s">
        <v>0</v>
      </c>
      <c r="C1" s="2" t="s">
        <v>1</v>
      </c>
      <c r="D1" s="5" t="s">
        <v>4</v>
      </c>
      <c r="E1" s="7" t="s">
        <v>1</v>
      </c>
      <c r="F1" s="7" t="s">
        <v>9</v>
      </c>
      <c r="G1" s="7" t="s">
        <v>10</v>
      </c>
      <c r="H1" s="7" t="s">
        <v>11</v>
      </c>
      <c r="I1" s="9" t="s">
        <v>12</v>
      </c>
      <c r="J1" s="11" t="s">
        <v>14</v>
      </c>
      <c r="K1" s="13" t="s">
        <v>16</v>
      </c>
      <c r="L1" s="13" t="s">
        <v>19</v>
      </c>
      <c r="M1" s="15" t="s">
        <v>20</v>
      </c>
      <c r="N1" s="15" t="s">
        <v>24</v>
      </c>
      <c r="O1" s="15" t="s">
        <v>25</v>
      </c>
      <c r="P1" s="15" t="s">
        <v>26</v>
      </c>
      <c r="Q1" s="15" t="s">
        <v>27</v>
      </c>
      <c r="R1" s="15" t="s">
        <v>28</v>
      </c>
      <c r="S1" s="15" t="s">
        <v>29</v>
      </c>
      <c r="T1" s="17" t="s">
        <v>30</v>
      </c>
      <c r="U1" s="17" t="s">
        <v>31</v>
      </c>
      <c r="V1" s="17" t="s">
        <v>32</v>
      </c>
      <c r="W1" s="18" t="s">
        <v>33</v>
      </c>
      <c r="X1" s="17" t="s">
        <v>34</v>
      </c>
      <c r="Y1" s="18" t="s">
        <v>35</v>
      </c>
      <c r="Z1" s="18" t="s">
        <v>36</v>
      </c>
      <c r="AA1" s="18" t="s">
        <v>37</v>
      </c>
      <c r="AB1" s="18" t="s">
        <v>38</v>
      </c>
      <c r="AC1" s="19" t="s">
        <v>39</v>
      </c>
      <c r="AD1" s="19" t="s">
        <v>40</v>
      </c>
      <c r="AE1" s="19" t="s">
        <v>41</v>
      </c>
      <c r="AF1" s="19" t="s">
        <v>42</v>
      </c>
      <c r="AG1" s="19" t="s">
        <v>43</v>
      </c>
      <c r="AH1" s="21" t="s">
        <v>44</v>
      </c>
      <c r="AI1" s="21" t="s">
        <v>45</v>
      </c>
      <c r="AJ1" s="21" t="s">
        <v>46</v>
      </c>
      <c r="AK1" s="21" t="s">
        <v>47</v>
      </c>
      <c r="AL1" s="21" t="s">
        <v>48</v>
      </c>
      <c r="AM1" s="21" t="s">
        <v>49</v>
      </c>
      <c r="AN1" s="21" t="s">
        <v>50</v>
      </c>
      <c r="AO1" s="21" t="s">
        <v>51</v>
      </c>
      <c r="AP1" s="21" t="s">
        <v>52</v>
      </c>
      <c r="AQ1" s="23" t="s">
        <v>53</v>
      </c>
      <c r="AR1" s="24" t="s">
        <v>55</v>
      </c>
      <c r="AS1" s="25" t="s">
        <v>56</v>
      </c>
    </row>
    <row r="2" ht="39.75" customHeight="1">
      <c r="A2" s="27" t="s">
        <v>5</v>
      </c>
      <c r="B2" s="29" t="s">
        <v>58</v>
      </c>
      <c r="C2" s="31" t="s">
        <v>57</v>
      </c>
      <c r="D2" s="33" t="s">
        <v>58</v>
      </c>
      <c r="E2" s="35" t="s">
        <v>57</v>
      </c>
      <c r="F2" s="35"/>
      <c r="G2" s="35"/>
      <c r="H2" s="35"/>
      <c r="I2" s="37" t="s">
        <v>60</v>
      </c>
      <c r="J2" s="38" t="s">
        <v>61</v>
      </c>
      <c r="K2" s="38"/>
      <c r="L2" s="38" t="s">
        <v>62</v>
      </c>
      <c r="M2" s="40" t="s">
        <v>63</v>
      </c>
      <c r="N2" s="40" t="s">
        <v>64</v>
      </c>
      <c r="O2" s="40" t="s">
        <v>65</v>
      </c>
      <c r="P2" s="40" t="s">
        <v>66</v>
      </c>
      <c r="Q2" s="40" t="s">
        <v>67</v>
      </c>
      <c r="R2" s="40" t="s">
        <v>68</v>
      </c>
      <c r="S2" s="40" t="s">
        <v>69</v>
      </c>
      <c r="T2" s="41" t="s">
        <v>70</v>
      </c>
      <c r="U2" s="42" t="s">
        <v>71</v>
      </c>
      <c r="V2" s="42" t="s">
        <v>72</v>
      </c>
      <c r="W2" s="41" t="s">
        <v>73</v>
      </c>
      <c r="X2" s="42" t="s">
        <v>74</v>
      </c>
      <c r="Y2" s="41" t="s">
        <v>75</v>
      </c>
      <c r="Z2" s="41" t="s">
        <v>76</v>
      </c>
      <c r="AA2" s="41" t="s">
        <v>77</v>
      </c>
      <c r="AB2" s="41" t="s">
        <v>78</v>
      </c>
      <c r="AC2" s="43" t="s">
        <v>79</v>
      </c>
      <c r="AD2" s="43" t="s">
        <v>80</v>
      </c>
      <c r="AE2" s="44" t="s">
        <v>81</v>
      </c>
      <c r="AF2" s="43" t="s">
        <v>82</v>
      </c>
      <c r="AG2" s="43" t="s">
        <v>83</v>
      </c>
      <c r="AH2" s="46" t="s">
        <v>84</v>
      </c>
      <c r="AI2" s="46" t="s">
        <v>85</v>
      </c>
      <c r="AJ2" s="46" t="s">
        <v>86</v>
      </c>
      <c r="AK2" s="46" t="s">
        <v>87</v>
      </c>
      <c r="AL2" s="46" t="s">
        <v>88</v>
      </c>
      <c r="AM2" s="46" t="s">
        <v>89</v>
      </c>
      <c r="AN2" s="46" t="s">
        <v>90</v>
      </c>
      <c r="AO2" s="46" t="s">
        <v>91</v>
      </c>
      <c r="AP2" s="48" t="s">
        <v>92</v>
      </c>
      <c r="AQ2" s="49"/>
      <c r="AR2" s="50"/>
      <c r="AS2" s="51"/>
    </row>
    <row r="3" ht="86.25" customHeight="1">
      <c r="A3" s="52" t="s">
        <v>6</v>
      </c>
      <c r="B3" s="53" t="s">
        <v>93</v>
      </c>
      <c r="C3" s="54" t="s">
        <v>59</v>
      </c>
      <c r="D3" s="56" t="s">
        <v>93</v>
      </c>
      <c r="E3" s="58" t="s">
        <v>59</v>
      </c>
      <c r="F3" s="58"/>
      <c r="G3" s="58"/>
      <c r="H3" s="58"/>
      <c r="I3" s="59"/>
      <c r="J3" s="11" t="s">
        <v>98</v>
      </c>
      <c r="K3" s="11"/>
      <c r="L3" s="11" t="s">
        <v>98</v>
      </c>
      <c r="M3" s="60" t="s">
        <v>100</v>
      </c>
      <c r="N3" s="60" t="s">
        <v>104</v>
      </c>
      <c r="O3" s="60" t="s">
        <v>104</v>
      </c>
      <c r="P3" s="60" t="s">
        <v>104</v>
      </c>
      <c r="Q3" s="60" t="s">
        <v>107</v>
      </c>
      <c r="R3" s="60" t="s">
        <v>98</v>
      </c>
      <c r="S3" s="60" t="s">
        <v>104</v>
      </c>
      <c r="T3" s="18" t="s">
        <v>111</v>
      </c>
      <c r="U3" s="61"/>
      <c r="V3" s="61"/>
      <c r="W3" s="61"/>
      <c r="X3" s="18" t="s">
        <v>146</v>
      </c>
      <c r="Y3" s="61"/>
      <c r="Z3" s="61"/>
      <c r="AA3" s="61"/>
      <c r="AB3" s="62" t="s">
        <v>98</v>
      </c>
      <c r="AC3" s="63" t="s">
        <v>98</v>
      </c>
      <c r="AD3" s="63" t="s">
        <v>104</v>
      </c>
      <c r="AE3" s="63" t="s">
        <v>107</v>
      </c>
      <c r="AF3" s="63" t="s">
        <v>107</v>
      </c>
      <c r="AG3" s="63" t="s">
        <v>107</v>
      </c>
      <c r="AH3" s="64" t="s">
        <v>179</v>
      </c>
      <c r="AI3" s="64" t="s">
        <v>189</v>
      </c>
      <c r="AJ3" s="64" t="s">
        <v>98</v>
      </c>
      <c r="AK3" s="64" t="s">
        <v>192</v>
      </c>
      <c r="AL3" s="64" t="s">
        <v>107</v>
      </c>
      <c r="AM3" s="64" t="s">
        <v>98</v>
      </c>
      <c r="AN3" s="64" t="s">
        <v>98</v>
      </c>
      <c r="AO3" s="64" t="s">
        <v>98</v>
      </c>
      <c r="AP3" s="64" t="s">
        <v>98</v>
      </c>
      <c r="AQ3" s="65"/>
      <c r="AR3" s="66"/>
      <c r="AS3" s="67"/>
    </row>
    <row r="4" ht="36.75" customHeight="1">
      <c r="A4" s="68"/>
      <c r="B4" s="69" t="s">
        <v>238</v>
      </c>
      <c r="C4" s="70">
        <v>43425.0</v>
      </c>
      <c r="D4" s="71" t="s">
        <v>258</v>
      </c>
      <c r="E4" s="72">
        <v>43575.0</v>
      </c>
      <c r="F4" s="73" t="s">
        <v>280</v>
      </c>
      <c r="G4" s="72">
        <v>43581.0</v>
      </c>
      <c r="H4" s="73" t="s">
        <v>282</v>
      </c>
      <c r="I4" s="74" t="s">
        <v>284</v>
      </c>
      <c r="J4" s="76" t="s">
        <v>285</v>
      </c>
      <c r="K4" s="77" t="s">
        <v>286</v>
      </c>
      <c r="L4" s="79" t="s">
        <v>290</v>
      </c>
      <c r="M4" s="81" t="s">
        <v>291</v>
      </c>
      <c r="N4" s="82" t="s">
        <v>293</v>
      </c>
      <c r="O4" s="82" t="s">
        <v>301</v>
      </c>
      <c r="P4" s="83"/>
      <c r="Q4" s="84" t="s">
        <v>315</v>
      </c>
      <c r="R4" s="81" t="s">
        <v>324</v>
      </c>
      <c r="S4" s="81" t="s">
        <v>324</v>
      </c>
      <c r="T4" s="81" t="s">
        <v>324</v>
      </c>
      <c r="U4" s="81" t="s">
        <v>327</v>
      </c>
      <c r="V4" s="81" t="s">
        <v>282</v>
      </c>
      <c r="W4" s="81" t="s">
        <v>282</v>
      </c>
      <c r="X4" s="81" t="s">
        <v>282</v>
      </c>
      <c r="Y4" s="81" t="s">
        <v>282</v>
      </c>
      <c r="Z4" s="81" t="s">
        <v>282</v>
      </c>
      <c r="AA4" s="81" t="s">
        <v>329</v>
      </c>
      <c r="AB4" s="85"/>
      <c r="AC4" s="86" t="s">
        <v>329</v>
      </c>
      <c r="AD4" s="87" t="s">
        <v>301</v>
      </c>
      <c r="AE4" s="88" t="s">
        <v>315</v>
      </c>
      <c r="AF4" s="81" t="s">
        <v>315</v>
      </c>
      <c r="AG4" s="81" t="s">
        <v>315</v>
      </c>
      <c r="AH4" s="82" t="s">
        <v>352</v>
      </c>
      <c r="AI4" s="81" t="s">
        <v>364</v>
      </c>
      <c r="AJ4" s="81" t="s">
        <v>324</v>
      </c>
      <c r="AK4" s="89" t="s">
        <v>366</v>
      </c>
      <c r="AL4" s="81" t="s">
        <v>369</v>
      </c>
      <c r="AM4" s="81" t="s">
        <v>370</v>
      </c>
      <c r="AN4" s="90" t="s">
        <v>324</v>
      </c>
      <c r="AO4" s="81" t="s">
        <v>374</v>
      </c>
      <c r="AR4" s="92"/>
      <c r="AS4" s="67"/>
    </row>
    <row r="5" ht="36.75" customHeight="1">
      <c r="A5" s="94"/>
      <c r="B5" s="69"/>
      <c r="C5" s="70"/>
      <c r="D5" s="71"/>
      <c r="E5" s="96"/>
      <c r="F5" s="96"/>
      <c r="G5" s="96"/>
      <c r="H5" s="96"/>
      <c r="I5" s="74"/>
      <c r="J5" s="98"/>
      <c r="K5" s="100"/>
      <c r="L5" s="79"/>
      <c r="M5" s="81"/>
      <c r="N5" s="102"/>
      <c r="O5" s="102"/>
      <c r="P5" s="85"/>
      <c r="Q5" s="104"/>
      <c r="R5" s="81"/>
      <c r="S5" s="81"/>
      <c r="T5" s="81" t="s">
        <v>282</v>
      </c>
      <c r="U5" s="81" t="s">
        <v>282</v>
      </c>
      <c r="V5" s="81"/>
      <c r="W5" s="81"/>
      <c r="X5" s="81"/>
      <c r="Y5" s="81"/>
      <c r="Z5" s="81"/>
      <c r="AA5" s="81" t="s">
        <v>324</v>
      </c>
      <c r="AB5" s="85"/>
      <c r="AC5" s="108"/>
      <c r="AD5" s="81"/>
      <c r="AE5" s="81" t="s">
        <v>369</v>
      </c>
      <c r="AF5" s="81"/>
      <c r="AG5" s="81"/>
      <c r="AH5" s="81"/>
      <c r="AI5" s="81"/>
      <c r="AJ5" s="81"/>
      <c r="AK5" s="104"/>
      <c r="AL5" s="81"/>
      <c r="AM5" s="110"/>
      <c r="AN5" s="112"/>
      <c r="AO5" s="81"/>
      <c r="AP5" s="81"/>
      <c r="AQ5" s="81"/>
      <c r="AR5" s="79"/>
      <c r="AS5" s="67"/>
    </row>
    <row r="6" ht="36.75" customHeight="1">
      <c r="A6" s="94"/>
      <c r="B6" s="69"/>
      <c r="C6" s="70"/>
      <c r="D6" s="71"/>
      <c r="E6" s="96"/>
      <c r="F6" s="96"/>
      <c r="G6" s="96"/>
      <c r="H6" s="73" t="s">
        <v>391</v>
      </c>
      <c r="I6" s="74"/>
      <c r="J6" s="98"/>
      <c r="K6" s="100"/>
      <c r="L6" s="79" t="s">
        <v>290</v>
      </c>
      <c r="M6" s="114" t="s">
        <v>291</v>
      </c>
      <c r="N6" s="115" t="s">
        <v>293</v>
      </c>
      <c r="O6" s="115" t="s">
        <v>301</v>
      </c>
      <c r="P6" s="116"/>
      <c r="Q6" s="117" t="s">
        <v>315</v>
      </c>
      <c r="R6" s="114" t="s">
        <v>324</v>
      </c>
      <c r="S6" s="114" t="s">
        <v>324</v>
      </c>
      <c r="T6" s="114" t="s">
        <v>324</v>
      </c>
      <c r="U6" s="114" t="s">
        <v>324</v>
      </c>
      <c r="V6" s="114" t="s">
        <v>324</v>
      </c>
      <c r="W6" s="114" t="s">
        <v>324</v>
      </c>
      <c r="X6" s="114" t="s">
        <v>324</v>
      </c>
      <c r="Y6" s="114" t="s">
        <v>324</v>
      </c>
      <c r="Z6" s="114" t="s">
        <v>324</v>
      </c>
      <c r="AA6" s="114" t="s">
        <v>324</v>
      </c>
      <c r="AB6" s="118"/>
      <c r="AC6" s="119" t="s">
        <v>405</v>
      </c>
      <c r="AD6" s="120" t="s">
        <v>301</v>
      </c>
      <c r="AE6" s="114" t="s">
        <v>369</v>
      </c>
      <c r="AF6" s="114" t="s">
        <v>315</v>
      </c>
      <c r="AG6" s="114" t="s">
        <v>315</v>
      </c>
      <c r="AH6" s="122" t="s">
        <v>352</v>
      </c>
      <c r="AI6" s="114" t="s">
        <v>364</v>
      </c>
      <c r="AJ6" s="114" t="s">
        <v>324</v>
      </c>
      <c r="AK6" s="123" t="s">
        <v>366</v>
      </c>
      <c r="AL6" s="114" t="s">
        <v>369</v>
      </c>
      <c r="AM6" s="125" t="s">
        <v>370</v>
      </c>
      <c r="AN6" s="126" t="s">
        <v>324</v>
      </c>
      <c r="AO6" s="114" t="s">
        <v>374</v>
      </c>
      <c r="AP6" s="114"/>
      <c r="AQ6" s="114"/>
      <c r="AR6" s="127"/>
      <c r="AS6" s="67"/>
    </row>
    <row r="7" ht="15.75" customHeight="1">
      <c r="A7" s="68"/>
      <c r="B7" s="69" t="s">
        <v>238</v>
      </c>
      <c r="C7" s="70">
        <v>43426.0</v>
      </c>
      <c r="D7" s="71" t="s">
        <v>258</v>
      </c>
      <c r="E7" s="72">
        <v>43575.0</v>
      </c>
      <c r="F7" s="73" t="s">
        <v>280</v>
      </c>
      <c r="G7" s="72">
        <v>43581.0</v>
      </c>
      <c r="H7" s="73" t="s">
        <v>282</v>
      </c>
      <c r="I7" s="128" t="s">
        <v>415</v>
      </c>
      <c r="J7" s="76" t="s">
        <v>101</v>
      </c>
      <c r="K7" s="129" t="s">
        <v>416</v>
      </c>
      <c r="L7" s="79" t="s">
        <v>294</v>
      </c>
      <c r="M7" s="81" t="s">
        <v>420</v>
      </c>
      <c r="N7" s="82" t="s">
        <v>421</v>
      </c>
      <c r="O7" s="85"/>
      <c r="P7" s="81" t="s">
        <v>324</v>
      </c>
      <c r="Q7" s="81" t="s">
        <v>315</v>
      </c>
      <c r="R7" s="81" t="s">
        <v>423</v>
      </c>
      <c r="S7" s="82" t="s">
        <v>421</v>
      </c>
      <c r="T7" s="81" t="s">
        <v>324</v>
      </c>
      <c r="U7" s="81" t="s">
        <v>327</v>
      </c>
      <c r="V7" s="81" t="s">
        <v>315</v>
      </c>
      <c r="W7" s="81" t="s">
        <v>424</v>
      </c>
      <c r="X7" s="81" t="s">
        <v>329</v>
      </c>
      <c r="Y7" s="81" t="s">
        <v>324</v>
      </c>
      <c r="Z7" s="81" t="s">
        <v>282</v>
      </c>
      <c r="AA7" s="81" t="s">
        <v>282</v>
      </c>
      <c r="AB7" s="85"/>
      <c r="AC7" s="130" t="s">
        <v>425</v>
      </c>
      <c r="AD7" s="81" t="s">
        <v>315</v>
      </c>
      <c r="AE7" s="81" t="s">
        <v>427</v>
      </c>
      <c r="AF7" s="81" t="s">
        <v>427</v>
      </c>
      <c r="AG7" s="81" t="s">
        <v>427</v>
      </c>
      <c r="AH7" s="82" t="s">
        <v>421</v>
      </c>
      <c r="AI7" s="81" t="s">
        <v>429</v>
      </c>
      <c r="AJ7" s="81" t="s">
        <v>430</v>
      </c>
      <c r="AL7" s="81" t="s">
        <v>431</v>
      </c>
      <c r="AM7" s="81" t="s">
        <v>324</v>
      </c>
      <c r="AN7" s="81" t="s">
        <v>432</v>
      </c>
      <c r="AO7" s="81" t="s">
        <v>324</v>
      </c>
      <c r="AP7" s="81" t="s">
        <v>433</v>
      </c>
      <c r="AQ7" s="81" t="s">
        <v>434</v>
      </c>
      <c r="AR7" s="131" t="s">
        <v>435</v>
      </c>
      <c r="AS7" s="67"/>
    </row>
    <row r="8" ht="15.75" customHeight="1">
      <c r="A8" s="94"/>
      <c r="B8" s="69"/>
      <c r="C8" s="70"/>
      <c r="D8" s="71"/>
      <c r="E8" s="96"/>
      <c r="F8" s="96"/>
      <c r="G8" s="96"/>
      <c r="H8" s="96"/>
      <c r="I8" s="132"/>
      <c r="J8" s="98"/>
      <c r="K8" s="100"/>
      <c r="L8" s="79"/>
      <c r="M8" s="81" t="s">
        <v>392</v>
      </c>
      <c r="N8" s="20" t="s">
        <v>438</v>
      </c>
      <c r="O8" s="85"/>
      <c r="P8" s="81" t="s">
        <v>439</v>
      </c>
      <c r="Q8" s="81"/>
      <c r="R8" s="81"/>
      <c r="S8" s="81"/>
      <c r="T8" s="81" t="s">
        <v>282</v>
      </c>
      <c r="U8" s="81" t="s">
        <v>282</v>
      </c>
      <c r="V8" s="81" t="s">
        <v>282</v>
      </c>
      <c r="W8" s="81" t="s">
        <v>282</v>
      </c>
      <c r="X8" s="81" t="s">
        <v>282</v>
      </c>
      <c r="Y8" s="81" t="s">
        <v>282</v>
      </c>
      <c r="Z8" s="81" t="s">
        <v>282</v>
      </c>
      <c r="AA8" s="81" t="s">
        <v>282</v>
      </c>
      <c r="AB8" s="85"/>
      <c r="AC8" s="108" t="s">
        <v>439</v>
      </c>
      <c r="AD8" s="81" t="s">
        <v>441</v>
      </c>
      <c r="AE8" s="81"/>
      <c r="AF8" s="81"/>
      <c r="AG8" s="81"/>
      <c r="AH8" s="91" t="s">
        <v>442</v>
      </c>
      <c r="AI8" s="133" t="s">
        <v>443</v>
      </c>
      <c r="AJ8" s="133"/>
      <c r="AK8" s="81" t="s">
        <v>315</v>
      </c>
      <c r="AL8" s="81" t="s">
        <v>282</v>
      </c>
      <c r="AM8" s="81" t="s">
        <v>445</v>
      </c>
      <c r="AN8" s="81" t="s">
        <v>445</v>
      </c>
      <c r="AO8" s="81" t="s">
        <v>445</v>
      </c>
      <c r="AP8" s="81" t="s">
        <v>445</v>
      </c>
      <c r="AQ8" s="81"/>
      <c r="AR8" s="131"/>
      <c r="AS8" s="25" t="s">
        <v>446</v>
      </c>
    </row>
    <row r="9" ht="15.75" customHeight="1">
      <c r="A9" s="94"/>
      <c r="B9" s="69"/>
      <c r="C9" s="70"/>
      <c r="D9" s="71"/>
      <c r="E9" s="96"/>
      <c r="F9" s="96"/>
      <c r="G9" s="96"/>
      <c r="H9" s="73" t="s">
        <v>447</v>
      </c>
      <c r="I9" s="132"/>
      <c r="J9" s="98"/>
      <c r="K9" s="100"/>
      <c r="L9" s="79" t="s">
        <v>294</v>
      </c>
      <c r="M9" s="114" t="s">
        <v>392</v>
      </c>
      <c r="N9" s="134" t="s">
        <v>413</v>
      </c>
      <c r="O9" s="118"/>
      <c r="P9" s="114"/>
      <c r="Q9" s="114" t="s">
        <v>315</v>
      </c>
      <c r="R9" s="114" t="s">
        <v>423</v>
      </c>
      <c r="S9" s="122" t="s">
        <v>421</v>
      </c>
      <c r="T9" s="114" t="s">
        <v>324</v>
      </c>
      <c r="U9" s="114" t="s">
        <v>324</v>
      </c>
      <c r="V9" s="114" t="s">
        <v>324</v>
      </c>
      <c r="W9" s="114" t="s">
        <v>324</v>
      </c>
      <c r="X9" s="114" t="s">
        <v>282</v>
      </c>
      <c r="Y9" s="114" t="s">
        <v>329</v>
      </c>
      <c r="Z9" s="114" t="s">
        <v>324</v>
      </c>
      <c r="AA9" s="114" t="s">
        <v>324</v>
      </c>
      <c r="AB9" s="114" t="s">
        <v>451</v>
      </c>
      <c r="AC9" s="119"/>
      <c r="AD9" s="114"/>
      <c r="AE9" s="114" t="s">
        <v>315</v>
      </c>
      <c r="AF9" s="114" t="s">
        <v>315</v>
      </c>
      <c r="AG9" s="114" t="s">
        <v>315</v>
      </c>
      <c r="AH9" s="134" t="s">
        <v>442</v>
      </c>
      <c r="AI9" s="135" t="s">
        <v>443</v>
      </c>
      <c r="AJ9" s="135"/>
      <c r="AK9" s="114" t="s">
        <v>315</v>
      </c>
      <c r="AL9" s="114" t="s">
        <v>282</v>
      </c>
      <c r="AM9" s="114"/>
      <c r="AN9" s="114"/>
      <c r="AO9" s="114"/>
      <c r="AP9" s="114"/>
      <c r="AQ9" s="114"/>
      <c r="AR9" s="131"/>
      <c r="AS9" s="25"/>
    </row>
    <row r="10" ht="15.75" customHeight="1">
      <c r="A10" s="68"/>
      <c r="B10" s="69" t="s">
        <v>238</v>
      </c>
      <c r="C10" s="70">
        <v>43426.0</v>
      </c>
      <c r="D10" s="71" t="s">
        <v>258</v>
      </c>
      <c r="E10" s="72">
        <v>43575.0</v>
      </c>
      <c r="F10" s="73" t="s">
        <v>280</v>
      </c>
      <c r="G10" s="72">
        <v>43581.0</v>
      </c>
      <c r="H10" s="73" t="s">
        <v>282</v>
      </c>
      <c r="I10" s="128" t="s">
        <v>454</v>
      </c>
      <c r="J10" s="76" t="s">
        <v>102</v>
      </c>
      <c r="K10" s="129" t="s">
        <v>455</v>
      </c>
      <c r="L10" s="79" t="s">
        <v>294</v>
      </c>
      <c r="M10" s="81" t="s">
        <v>392</v>
      </c>
      <c r="N10" s="82" t="s">
        <v>414</v>
      </c>
      <c r="O10" s="85"/>
      <c r="P10" s="81" t="s">
        <v>324</v>
      </c>
      <c r="Q10" s="81" t="s">
        <v>282</v>
      </c>
      <c r="R10" s="81" t="s">
        <v>457</v>
      </c>
      <c r="S10" s="82" t="s">
        <v>458</v>
      </c>
      <c r="T10" s="81" t="s">
        <v>324</v>
      </c>
      <c r="U10" s="81" t="s">
        <v>327</v>
      </c>
      <c r="V10" s="81" t="s">
        <v>282</v>
      </c>
      <c r="W10" s="81" t="s">
        <v>282</v>
      </c>
      <c r="X10" s="81" t="s">
        <v>282</v>
      </c>
      <c r="Y10" s="81" t="s">
        <v>324</v>
      </c>
      <c r="Z10" s="81" t="s">
        <v>282</v>
      </c>
      <c r="AA10" s="81" t="s">
        <v>282</v>
      </c>
      <c r="AB10" s="85"/>
      <c r="AC10" s="86" t="s">
        <v>425</v>
      </c>
      <c r="AD10" s="136" t="s">
        <v>427</v>
      </c>
      <c r="AE10" s="137" t="s">
        <v>427</v>
      </c>
      <c r="AF10" s="81" t="s">
        <v>427</v>
      </c>
      <c r="AG10" s="81" t="s">
        <v>427</v>
      </c>
      <c r="AH10" s="82" t="s">
        <v>414</v>
      </c>
      <c r="AI10" s="81" t="s">
        <v>464</v>
      </c>
      <c r="AJ10" s="81" t="s">
        <v>465</v>
      </c>
      <c r="AK10" s="138" t="s">
        <v>466</v>
      </c>
      <c r="AL10" s="81" t="s">
        <v>369</v>
      </c>
      <c r="AM10" s="81" t="s">
        <v>465</v>
      </c>
      <c r="AN10" s="81" t="s">
        <v>432</v>
      </c>
      <c r="AO10" s="81" t="s">
        <v>315</v>
      </c>
      <c r="AP10" s="85"/>
      <c r="AQ10" s="81" t="s">
        <v>434</v>
      </c>
      <c r="AR10" s="131" t="s">
        <v>435</v>
      </c>
      <c r="AS10" s="67"/>
    </row>
    <row r="11" ht="15.75" customHeight="1">
      <c r="A11" s="94"/>
      <c r="B11" s="69"/>
      <c r="C11" s="70"/>
      <c r="D11" s="71"/>
      <c r="E11" s="96"/>
      <c r="F11" s="96"/>
      <c r="G11" s="96"/>
      <c r="H11" s="96"/>
      <c r="I11" s="132"/>
      <c r="J11" s="98"/>
      <c r="K11" s="100"/>
      <c r="L11" s="79"/>
      <c r="M11" s="81"/>
      <c r="N11" s="102"/>
      <c r="O11" s="85"/>
      <c r="P11" s="81" t="s">
        <v>439</v>
      </c>
      <c r="Q11" s="81" t="s">
        <v>315</v>
      </c>
      <c r="R11" s="81" t="s">
        <v>468</v>
      </c>
      <c r="S11" s="133" t="s">
        <v>469</v>
      </c>
      <c r="T11" s="81" t="s">
        <v>282</v>
      </c>
      <c r="U11" s="81" t="s">
        <v>282</v>
      </c>
      <c r="V11" s="81"/>
      <c r="W11" s="81"/>
      <c r="X11" s="81"/>
      <c r="Y11" s="81" t="s">
        <v>282</v>
      </c>
      <c r="Z11" s="81"/>
      <c r="AA11" s="81"/>
      <c r="AB11" s="85"/>
      <c r="AC11" s="108" t="s">
        <v>445</v>
      </c>
      <c r="AD11" s="81" t="s">
        <v>445</v>
      </c>
      <c r="AE11" s="137" t="s">
        <v>315</v>
      </c>
      <c r="AF11" s="81" t="s">
        <v>315</v>
      </c>
      <c r="AG11" s="81" t="s">
        <v>315</v>
      </c>
      <c r="AI11" s="133"/>
      <c r="AJ11" s="91" t="s">
        <v>471</v>
      </c>
      <c r="AK11" s="139" t="s">
        <v>315</v>
      </c>
      <c r="AL11" s="81" t="s">
        <v>282</v>
      </c>
      <c r="AM11" s="81" t="s">
        <v>445</v>
      </c>
      <c r="AN11" s="81" t="s">
        <v>445</v>
      </c>
      <c r="AO11" s="81" t="s">
        <v>445</v>
      </c>
      <c r="AP11" s="81" t="s">
        <v>445</v>
      </c>
      <c r="AQ11" s="81"/>
      <c r="AR11" s="131"/>
      <c r="AS11" s="67"/>
    </row>
    <row r="12" ht="15.75" customHeight="1">
      <c r="A12" s="94"/>
      <c r="B12" s="69"/>
      <c r="C12" s="70"/>
      <c r="D12" s="71"/>
      <c r="E12" s="96"/>
      <c r="F12" s="96"/>
      <c r="G12" s="96"/>
      <c r="H12" s="133" t="s">
        <v>473</v>
      </c>
      <c r="I12" s="132"/>
      <c r="J12" s="98"/>
      <c r="K12" s="100"/>
      <c r="L12" s="79" t="s">
        <v>294</v>
      </c>
      <c r="M12" s="114" t="s">
        <v>392</v>
      </c>
      <c r="N12" s="115" t="s">
        <v>414</v>
      </c>
      <c r="O12" s="118"/>
      <c r="P12" s="114"/>
      <c r="Q12" s="114" t="s">
        <v>315</v>
      </c>
      <c r="R12" s="114" t="s">
        <v>468</v>
      </c>
      <c r="S12" s="135" t="s">
        <v>469</v>
      </c>
      <c r="T12" s="114" t="s">
        <v>324</v>
      </c>
      <c r="U12" s="114" t="s">
        <v>324</v>
      </c>
      <c r="V12" s="114" t="s">
        <v>324</v>
      </c>
      <c r="W12" s="114" t="s">
        <v>324</v>
      </c>
      <c r="X12" s="114" t="s">
        <v>282</v>
      </c>
      <c r="Y12" s="114" t="s">
        <v>329</v>
      </c>
      <c r="Z12" s="114" t="s">
        <v>324</v>
      </c>
      <c r="AA12" s="114" t="s">
        <v>324</v>
      </c>
      <c r="AB12" s="114" t="s">
        <v>474</v>
      </c>
      <c r="AC12" s="119"/>
      <c r="AD12" s="114"/>
      <c r="AE12" s="140" t="s">
        <v>315</v>
      </c>
      <c r="AF12" s="114" t="s">
        <v>315</v>
      </c>
      <c r="AG12" s="114" t="s">
        <v>315</v>
      </c>
      <c r="AH12" s="122" t="s">
        <v>414</v>
      </c>
      <c r="AI12" s="114" t="s">
        <v>464</v>
      </c>
      <c r="AJ12" s="134" t="s">
        <v>471</v>
      </c>
      <c r="AK12" s="141" t="s">
        <v>315</v>
      </c>
      <c r="AL12" s="114" t="s">
        <v>282</v>
      </c>
      <c r="AM12" s="114"/>
      <c r="AN12" s="114"/>
      <c r="AO12" s="114"/>
      <c r="AP12" s="114"/>
      <c r="AQ12" s="114"/>
      <c r="AR12" s="142"/>
      <c r="AS12" s="143"/>
    </row>
    <row r="13" ht="15.75" customHeight="1">
      <c r="A13" s="144"/>
      <c r="B13" s="145" t="s">
        <v>238</v>
      </c>
      <c r="C13" s="146">
        <v>43426.0</v>
      </c>
      <c r="D13" s="147" t="s">
        <v>479</v>
      </c>
      <c r="E13" s="148">
        <v>43574.0</v>
      </c>
      <c r="F13" s="149" t="s">
        <v>280</v>
      </c>
      <c r="G13" s="148">
        <v>43581.0</v>
      </c>
      <c r="H13" s="149" t="s">
        <v>282</v>
      </c>
      <c r="I13" s="150" t="s">
        <v>481</v>
      </c>
      <c r="J13" s="151" t="s">
        <v>103</v>
      </c>
      <c r="K13" s="129"/>
      <c r="L13" s="152" t="s">
        <v>294</v>
      </c>
      <c r="M13" s="153" t="s">
        <v>291</v>
      </c>
      <c r="N13" s="154" t="s">
        <v>485</v>
      </c>
      <c r="O13" s="155"/>
      <c r="P13" s="153" t="s">
        <v>324</v>
      </c>
      <c r="Q13" s="153" t="s">
        <v>315</v>
      </c>
      <c r="R13" s="153" t="s">
        <v>457</v>
      </c>
      <c r="S13" s="154" t="s">
        <v>458</v>
      </c>
      <c r="T13" s="153" t="s">
        <v>324</v>
      </c>
      <c r="U13" s="153" t="s">
        <v>324</v>
      </c>
      <c r="V13" s="153" t="s">
        <v>315</v>
      </c>
      <c r="W13" s="153" t="s">
        <v>487</v>
      </c>
      <c r="X13" s="153" t="s">
        <v>282</v>
      </c>
      <c r="Y13" s="153" t="s">
        <v>324</v>
      </c>
      <c r="Z13" s="153" t="s">
        <v>282</v>
      </c>
      <c r="AA13" s="153" t="s">
        <v>282</v>
      </c>
      <c r="AB13" s="155"/>
      <c r="AC13" s="156" t="s">
        <v>425</v>
      </c>
      <c r="AD13" s="157" t="s">
        <v>315</v>
      </c>
      <c r="AE13" s="158"/>
      <c r="AF13" s="155"/>
      <c r="AG13" s="155"/>
      <c r="AH13" s="154" t="s">
        <v>491</v>
      </c>
      <c r="AI13" s="153" t="s">
        <v>494</v>
      </c>
      <c r="AJ13" s="153" t="s">
        <v>495</v>
      </c>
      <c r="AK13" s="153" t="s">
        <v>496</v>
      </c>
      <c r="AL13" s="153" t="s">
        <v>315</v>
      </c>
      <c r="AM13" s="153" t="s">
        <v>497</v>
      </c>
      <c r="AN13" s="153" t="s">
        <v>498</v>
      </c>
      <c r="AO13" s="153" t="s">
        <v>324</v>
      </c>
      <c r="AP13" s="155"/>
      <c r="AQ13" s="153" t="s">
        <v>499</v>
      </c>
      <c r="AR13" s="159" t="s">
        <v>435</v>
      </c>
      <c r="AS13" s="160"/>
    </row>
    <row r="14" ht="15.75" customHeight="1">
      <c r="A14" s="94"/>
      <c r="B14" s="69"/>
      <c r="C14" s="70"/>
      <c r="D14" s="71"/>
      <c r="I14" s="132"/>
      <c r="J14" s="98"/>
      <c r="K14" s="100"/>
      <c r="L14" s="79"/>
      <c r="M14" s="81"/>
      <c r="N14" s="91" t="s">
        <v>417</v>
      </c>
      <c r="O14" s="81" t="s">
        <v>324</v>
      </c>
      <c r="P14" s="81"/>
      <c r="Q14" s="81"/>
      <c r="R14" s="81"/>
      <c r="S14" s="102"/>
      <c r="T14" s="81" t="s">
        <v>282</v>
      </c>
      <c r="U14" s="81"/>
      <c r="V14" s="81" t="s">
        <v>324</v>
      </c>
      <c r="W14" s="81" t="s">
        <v>324</v>
      </c>
      <c r="X14" s="81"/>
      <c r="Y14" s="81" t="s">
        <v>282</v>
      </c>
      <c r="Z14" s="81" t="s">
        <v>324</v>
      </c>
      <c r="AA14" s="81" t="s">
        <v>324</v>
      </c>
      <c r="AB14" s="81"/>
      <c r="AC14" s="161" t="s">
        <v>324</v>
      </c>
      <c r="AD14" s="81" t="s">
        <v>504</v>
      </c>
      <c r="AE14" s="88" t="s">
        <v>315</v>
      </c>
      <c r="AF14" s="81" t="s">
        <v>315</v>
      </c>
      <c r="AG14" s="81" t="s">
        <v>315</v>
      </c>
      <c r="AH14" s="102"/>
      <c r="AI14" s="81"/>
      <c r="AJ14" s="81"/>
      <c r="AK14" s="162" t="s">
        <v>505</v>
      </c>
      <c r="AL14" s="81"/>
      <c r="AM14" s="81" t="s">
        <v>507</v>
      </c>
      <c r="AN14" s="81" t="s">
        <v>508</v>
      </c>
      <c r="AO14" s="81"/>
      <c r="AP14" s="81" t="s">
        <v>324</v>
      </c>
      <c r="AQ14" s="81" t="s">
        <v>509</v>
      </c>
      <c r="AR14" s="131"/>
      <c r="AS14" s="67"/>
    </row>
    <row r="15" ht="15.75" customHeight="1">
      <c r="A15" s="94"/>
      <c r="B15" s="69"/>
      <c r="C15" s="70"/>
      <c r="D15" s="71"/>
      <c r="H15" s="91" t="s">
        <v>510</v>
      </c>
      <c r="I15" s="132"/>
      <c r="J15" s="98"/>
      <c r="K15" s="100"/>
      <c r="L15" s="79" t="s">
        <v>294</v>
      </c>
      <c r="M15" s="114" t="s">
        <v>291</v>
      </c>
      <c r="N15" s="134" t="s">
        <v>417</v>
      </c>
      <c r="O15" s="114"/>
      <c r="P15" s="114" t="s">
        <v>324</v>
      </c>
      <c r="Q15" s="114" t="s">
        <v>315</v>
      </c>
      <c r="R15" s="114" t="s">
        <v>457</v>
      </c>
      <c r="S15" s="115" t="s">
        <v>458</v>
      </c>
      <c r="T15" s="114" t="s">
        <v>324</v>
      </c>
      <c r="U15" s="114" t="s">
        <v>324</v>
      </c>
      <c r="V15" s="114" t="s">
        <v>324</v>
      </c>
      <c r="W15" s="114" t="s">
        <v>324</v>
      </c>
      <c r="X15" s="114" t="s">
        <v>282</v>
      </c>
      <c r="Y15" s="114" t="s">
        <v>329</v>
      </c>
      <c r="Z15" s="114" t="s">
        <v>324</v>
      </c>
      <c r="AA15" s="114" t="s">
        <v>324</v>
      </c>
      <c r="AB15" s="114" t="s">
        <v>474</v>
      </c>
      <c r="AC15" s="163" t="s">
        <v>324</v>
      </c>
      <c r="AD15" s="114"/>
      <c r="AE15" s="164" t="s">
        <v>315</v>
      </c>
      <c r="AF15" s="114" t="s">
        <v>315</v>
      </c>
      <c r="AG15" s="114" t="s">
        <v>315</v>
      </c>
      <c r="AH15" s="115" t="s">
        <v>491</v>
      </c>
      <c r="AI15" s="114" t="s">
        <v>515</v>
      </c>
      <c r="AJ15" s="114" t="s">
        <v>516</v>
      </c>
      <c r="AK15" s="114" t="s">
        <v>315</v>
      </c>
      <c r="AL15" s="114" t="s">
        <v>315</v>
      </c>
      <c r="AM15" s="114" t="s">
        <v>507</v>
      </c>
      <c r="AN15" s="114"/>
      <c r="AO15" s="114"/>
      <c r="AP15" s="114"/>
      <c r="AQ15" s="114"/>
      <c r="AR15" s="142"/>
      <c r="AS15" s="143"/>
    </row>
    <row r="16" ht="15.75" customHeight="1">
      <c r="A16" s="68"/>
      <c r="B16" s="69" t="s">
        <v>238</v>
      </c>
      <c r="C16" s="70">
        <v>43425.0</v>
      </c>
      <c r="D16" s="71" t="s">
        <v>258</v>
      </c>
      <c r="E16" s="72">
        <v>43575.0</v>
      </c>
      <c r="F16" s="73" t="s">
        <v>280</v>
      </c>
      <c r="G16" s="72">
        <v>43581.0</v>
      </c>
      <c r="H16" s="73" t="s">
        <v>282</v>
      </c>
      <c r="I16" s="128" t="s">
        <v>518</v>
      </c>
      <c r="J16" s="76" t="s">
        <v>105</v>
      </c>
      <c r="K16" s="129" t="s">
        <v>519</v>
      </c>
      <c r="L16" s="79" t="s">
        <v>295</v>
      </c>
      <c r="M16" s="81" t="s">
        <v>393</v>
      </c>
      <c r="N16" s="82" t="s">
        <v>520</v>
      </c>
      <c r="O16" s="85"/>
      <c r="P16" s="82" t="s">
        <v>520</v>
      </c>
      <c r="Q16" s="165" t="s">
        <v>282</v>
      </c>
      <c r="R16" s="81" t="s">
        <v>324</v>
      </c>
      <c r="S16" s="85"/>
      <c r="T16" s="81" t="s">
        <v>282</v>
      </c>
      <c r="U16" s="81" t="s">
        <v>327</v>
      </c>
      <c r="V16" s="81" t="s">
        <v>522</v>
      </c>
      <c r="W16" s="81" t="s">
        <v>282</v>
      </c>
      <c r="X16" s="81" t="s">
        <v>282</v>
      </c>
      <c r="Y16" s="81" t="s">
        <v>282</v>
      </c>
      <c r="Z16" s="81" t="s">
        <v>282</v>
      </c>
      <c r="AA16" s="81" t="s">
        <v>282</v>
      </c>
      <c r="AB16" s="85"/>
      <c r="AC16" s="130" t="s">
        <v>425</v>
      </c>
      <c r="AD16" s="82" t="s">
        <v>520</v>
      </c>
      <c r="AE16" s="88" t="s">
        <v>282</v>
      </c>
      <c r="AF16" s="81" t="s">
        <v>282</v>
      </c>
      <c r="AG16" s="81" t="s">
        <v>282</v>
      </c>
      <c r="AH16" s="81" t="s">
        <v>324</v>
      </c>
      <c r="AI16" s="81" t="s">
        <v>523</v>
      </c>
      <c r="AJ16" s="81" t="s">
        <v>524</v>
      </c>
      <c r="AK16" s="138" t="s">
        <v>324</v>
      </c>
      <c r="AL16" s="81" t="s">
        <v>524</v>
      </c>
      <c r="AM16" s="85"/>
      <c r="AN16" s="85"/>
      <c r="AO16" s="85"/>
      <c r="AP16" s="85"/>
      <c r="AQ16" s="81" t="s">
        <v>434</v>
      </c>
      <c r="AR16" s="131" t="s">
        <v>435</v>
      </c>
      <c r="AS16" s="67"/>
    </row>
    <row r="17" ht="15.75" customHeight="1">
      <c r="A17" s="94"/>
      <c r="B17" s="69"/>
      <c r="C17" s="70"/>
      <c r="D17" s="71"/>
      <c r="E17" s="96"/>
      <c r="F17" s="96"/>
      <c r="G17" s="96"/>
      <c r="H17" s="96"/>
      <c r="I17" s="132"/>
      <c r="J17" s="98"/>
      <c r="K17" s="100"/>
      <c r="L17" s="79"/>
      <c r="M17" s="81"/>
      <c r="N17" s="81" t="s">
        <v>418</v>
      </c>
      <c r="O17" s="20" t="s">
        <v>525</v>
      </c>
      <c r="P17" s="81" t="s">
        <v>445</v>
      </c>
      <c r="Q17" s="81" t="s">
        <v>315</v>
      </c>
      <c r="R17" s="81" t="s">
        <v>445</v>
      </c>
      <c r="S17" s="85"/>
      <c r="T17" s="81" t="s">
        <v>282</v>
      </c>
      <c r="U17" s="81" t="s">
        <v>282</v>
      </c>
      <c r="V17" s="81" t="s">
        <v>282</v>
      </c>
      <c r="W17" s="81"/>
      <c r="X17" s="81"/>
      <c r="Y17" s="81"/>
      <c r="Z17" s="81"/>
      <c r="AA17" s="81"/>
      <c r="AB17" s="85"/>
      <c r="AC17" s="108" t="s">
        <v>526</v>
      </c>
      <c r="AD17" s="81"/>
      <c r="AE17" s="81"/>
      <c r="AF17" s="81"/>
      <c r="AG17" s="81"/>
      <c r="AH17" s="82" t="s">
        <v>527</v>
      </c>
      <c r="AI17" s="81" t="s">
        <v>523</v>
      </c>
      <c r="AJ17" s="81" t="s">
        <v>529</v>
      </c>
      <c r="AK17" s="139"/>
      <c r="AL17" s="81" t="s">
        <v>282</v>
      </c>
      <c r="AM17" s="85"/>
      <c r="AN17" s="85"/>
      <c r="AO17" s="85"/>
      <c r="AP17" s="85"/>
      <c r="AQ17" s="81"/>
      <c r="AR17" s="131"/>
      <c r="AS17" s="25" t="s">
        <v>530</v>
      </c>
    </row>
    <row r="18" ht="15.75" customHeight="1">
      <c r="A18" s="166"/>
      <c r="B18" s="167"/>
      <c r="C18" s="168"/>
      <c r="D18" s="169"/>
      <c r="E18" s="170"/>
      <c r="F18" s="170"/>
      <c r="G18" s="170"/>
      <c r="H18" s="133" t="s">
        <v>531</v>
      </c>
      <c r="I18" s="171"/>
      <c r="J18" s="172"/>
      <c r="K18" s="173"/>
      <c r="L18" s="79" t="s">
        <v>295</v>
      </c>
      <c r="M18" s="114" t="s">
        <v>393</v>
      </c>
      <c r="N18" s="114" t="s">
        <v>418</v>
      </c>
      <c r="O18" s="174" t="s">
        <v>525</v>
      </c>
      <c r="P18" s="114"/>
      <c r="Q18" s="114" t="s">
        <v>315</v>
      </c>
      <c r="R18" s="114"/>
      <c r="S18" s="118"/>
      <c r="T18" s="114" t="s">
        <v>324</v>
      </c>
      <c r="U18" s="114" t="s">
        <v>324</v>
      </c>
      <c r="V18" s="114" t="s">
        <v>324</v>
      </c>
      <c r="W18" s="114" t="s">
        <v>324</v>
      </c>
      <c r="X18" s="114" t="s">
        <v>324</v>
      </c>
      <c r="Y18" s="114" t="s">
        <v>324</v>
      </c>
      <c r="Z18" s="114" t="s">
        <v>324</v>
      </c>
      <c r="AA18" s="114" t="s">
        <v>324</v>
      </c>
      <c r="AB18" s="118"/>
      <c r="AC18" s="119" t="s">
        <v>526</v>
      </c>
      <c r="AD18" s="122" t="s">
        <v>520</v>
      </c>
      <c r="AE18" s="164" t="s">
        <v>282</v>
      </c>
      <c r="AF18" s="164" t="s">
        <v>282</v>
      </c>
      <c r="AG18" s="164" t="s">
        <v>282</v>
      </c>
      <c r="AH18" s="122" t="s">
        <v>527</v>
      </c>
      <c r="AI18" s="114" t="s">
        <v>523</v>
      </c>
      <c r="AJ18" s="114" t="s">
        <v>529</v>
      </c>
      <c r="AK18" s="175" t="s">
        <v>324</v>
      </c>
      <c r="AL18" s="114" t="s">
        <v>282</v>
      </c>
      <c r="AM18" s="118"/>
      <c r="AN18" s="118"/>
      <c r="AO18" s="118"/>
      <c r="AP18" s="118"/>
      <c r="AQ18" s="114"/>
      <c r="AR18" s="142"/>
      <c r="AS18" s="176"/>
    </row>
    <row r="19" ht="15.75" customHeight="1">
      <c r="A19" s="68"/>
      <c r="B19" s="69" t="s">
        <v>238</v>
      </c>
      <c r="C19" s="70">
        <v>43433.0</v>
      </c>
      <c r="D19" s="71" t="s">
        <v>479</v>
      </c>
      <c r="E19" s="72">
        <v>43574.0</v>
      </c>
      <c r="F19" s="73" t="s">
        <v>280</v>
      </c>
      <c r="G19" s="72">
        <v>43581.0</v>
      </c>
      <c r="H19" s="73" t="s">
        <v>282</v>
      </c>
      <c r="I19" s="128" t="s">
        <v>538</v>
      </c>
      <c r="J19" s="76" t="s">
        <v>106</v>
      </c>
      <c r="K19" s="129" t="s">
        <v>416</v>
      </c>
      <c r="L19" s="79" t="s">
        <v>294</v>
      </c>
      <c r="M19" s="81" t="s">
        <v>539</v>
      </c>
      <c r="N19" s="82" t="s">
        <v>540</v>
      </c>
      <c r="O19" s="85"/>
      <c r="P19" s="81" t="s">
        <v>324</v>
      </c>
      <c r="Q19" s="81" t="s">
        <v>282</v>
      </c>
      <c r="R19" s="81" t="s">
        <v>542</v>
      </c>
      <c r="S19" s="82" t="s">
        <v>543</v>
      </c>
      <c r="T19" s="81" t="s">
        <v>324</v>
      </c>
      <c r="U19" s="81" t="s">
        <v>324</v>
      </c>
      <c r="V19" s="81" t="s">
        <v>315</v>
      </c>
      <c r="W19" s="81" t="s">
        <v>324</v>
      </c>
      <c r="X19" s="81" t="s">
        <v>282</v>
      </c>
      <c r="Y19" s="81" t="s">
        <v>282</v>
      </c>
      <c r="Z19" s="81" t="s">
        <v>282</v>
      </c>
      <c r="AA19" s="81" t="s">
        <v>282</v>
      </c>
      <c r="AB19" s="85"/>
      <c r="AC19" s="86" t="s">
        <v>425</v>
      </c>
      <c r="AD19" s="81" t="s">
        <v>315</v>
      </c>
      <c r="AE19" s="81" t="s">
        <v>315</v>
      </c>
      <c r="AF19" s="81" t="s">
        <v>427</v>
      </c>
      <c r="AG19" s="81" t="s">
        <v>282</v>
      </c>
      <c r="AH19" s="82" t="s">
        <v>545</v>
      </c>
      <c r="AI19" s="177" t="s">
        <v>546</v>
      </c>
      <c r="AJ19" s="81" t="s">
        <v>547</v>
      </c>
      <c r="AK19" s="81" t="s">
        <v>324</v>
      </c>
      <c r="AL19" s="81" t="s">
        <v>369</v>
      </c>
      <c r="AM19" s="81" t="s">
        <v>549</v>
      </c>
      <c r="AN19" s="81" t="s">
        <v>550</v>
      </c>
      <c r="AO19" s="81" t="s">
        <v>549</v>
      </c>
      <c r="AP19" s="81" t="s">
        <v>551</v>
      </c>
      <c r="AR19" s="131" t="s">
        <v>435</v>
      </c>
      <c r="AS19" s="67"/>
    </row>
    <row r="20" ht="15.75" customHeight="1">
      <c r="A20" s="94"/>
      <c r="B20" s="69"/>
      <c r="C20" s="70"/>
      <c r="D20" s="71"/>
      <c r="E20" s="96"/>
      <c r="F20" s="96"/>
      <c r="G20" s="96"/>
      <c r="H20" s="96"/>
      <c r="I20" s="132"/>
      <c r="J20" s="98"/>
      <c r="K20" s="100"/>
      <c r="L20" s="79"/>
      <c r="M20" s="81" t="s">
        <v>291</v>
      </c>
      <c r="N20" s="20" t="s">
        <v>419</v>
      </c>
      <c r="O20" s="20" t="s">
        <v>552</v>
      </c>
      <c r="P20" s="81"/>
      <c r="Q20" s="81" t="s">
        <v>315</v>
      </c>
      <c r="R20" s="81" t="s">
        <v>554</v>
      </c>
      <c r="S20" s="20" t="s">
        <v>458</v>
      </c>
      <c r="T20" s="81" t="s">
        <v>282</v>
      </c>
      <c r="U20" s="81"/>
      <c r="V20" s="81"/>
      <c r="W20" s="81"/>
      <c r="X20" s="81"/>
      <c r="Y20" s="81"/>
      <c r="Z20" s="81" t="s">
        <v>324</v>
      </c>
      <c r="AA20" s="81" t="s">
        <v>324</v>
      </c>
      <c r="AB20" s="85"/>
      <c r="AC20" s="178" t="s">
        <v>324</v>
      </c>
      <c r="AD20" s="81" t="s">
        <v>504</v>
      </c>
      <c r="AE20" s="81"/>
      <c r="AF20" s="81" t="s">
        <v>315</v>
      </c>
      <c r="AG20" s="81" t="s">
        <v>315</v>
      </c>
      <c r="AH20" s="102"/>
      <c r="AI20" s="133" t="s">
        <v>443</v>
      </c>
      <c r="AJ20" s="81" t="s">
        <v>324</v>
      </c>
      <c r="AK20" s="81"/>
      <c r="AL20" s="81" t="s">
        <v>315</v>
      </c>
      <c r="AM20" s="81" t="s">
        <v>507</v>
      </c>
      <c r="AN20" s="81" t="s">
        <v>324</v>
      </c>
      <c r="AO20" s="81" t="s">
        <v>324</v>
      </c>
      <c r="AP20" s="81" t="s">
        <v>324</v>
      </c>
      <c r="AQ20" s="81" t="s">
        <v>556</v>
      </c>
      <c r="AR20" s="131"/>
      <c r="AS20" s="67"/>
    </row>
    <row r="21" ht="15.75" customHeight="1">
      <c r="A21" s="94"/>
      <c r="B21" s="167"/>
      <c r="C21" s="168"/>
      <c r="D21" s="169"/>
      <c r="E21" s="170"/>
      <c r="F21" s="170"/>
      <c r="G21" s="170"/>
      <c r="H21" s="91" t="s">
        <v>557</v>
      </c>
      <c r="I21" s="171"/>
      <c r="J21" s="172"/>
      <c r="K21" s="173"/>
      <c r="L21" s="79" t="s">
        <v>294</v>
      </c>
      <c r="M21" s="114" t="s">
        <v>291</v>
      </c>
      <c r="N21" s="174" t="s">
        <v>419</v>
      </c>
      <c r="O21" s="174" t="s">
        <v>552</v>
      </c>
      <c r="P21" s="81" t="s">
        <v>324</v>
      </c>
      <c r="Q21" s="114" t="s">
        <v>315</v>
      </c>
      <c r="R21" s="114" t="s">
        <v>554</v>
      </c>
      <c r="S21" s="174" t="s">
        <v>458</v>
      </c>
      <c r="T21" s="114" t="s">
        <v>324</v>
      </c>
      <c r="U21" s="114" t="s">
        <v>324</v>
      </c>
      <c r="V21" s="114" t="s">
        <v>324</v>
      </c>
      <c r="W21" s="114" t="s">
        <v>324</v>
      </c>
      <c r="X21" s="114" t="s">
        <v>324</v>
      </c>
      <c r="Y21" s="114" t="s">
        <v>329</v>
      </c>
      <c r="Z21" s="114" t="s">
        <v>324</v>
      </c>
      <c r="AA21" s="114" t="s">
        <v>324</v>
      </c>
      <c r="AB21" s="114" t="s">
        <v>474</v>
      </c>
      <c r="AC21" s="179"/>
      <c r="AD21" s="114"/>
      <c r="AE21" s="114" t="s">
        <v>315</v>
      </c>
      <c r="AF21" s="114" t="s">
        <v>315</v>
      </c>
      <c r="AG21" s="114" t="s">
        <v>315</v>
      </c>
      <c r="AH21" s="115" t="s">
        <v>545</v>
      </c>
      <c r="AI21" s="135" t="s">
        <v>443</v>
      </c>
      <c r="AJ21" s="114"/>
      <c r="AK21" s="81" t="s">
        <v>324</v>
      </c>
      <c r="AL21" s="114" t="s">
        <v>315</v>
      </c>
      <c r="AM21" s="114" t="s">
        <v>507</v>
      </c>
      <c r="AN21" s="114" t="s">
        <v>324</v>
      </c>
      <c r="AO21" s="114" t="s">
        <v>324</v>
      </c>
      <c r="AP21" s="114" t="s">
        <v>324</v>
      </c>
      <c r="AQ21" s="114"/>
      <c r="AR21" s="142"/>
      <c r="AS21" s="143"/>
    </row>
    <row r="22">
      <c r="A22" s="68"/>
      <c r="B22" s="69" t="s">
        <v>238</v>
      </c>
      <c r="C22" s="70">
        <v>43433.0</v>
      </c>
      <c r="D22" s="71" t="s">
        <v>479</v>
      </c>
      <c r="E22" s="72">
        <v>43574.0</v>
      </c>
      <c r="F22" s="73" t="s">
        <v>280</v>
      </c>
      <c r="G22" s="72">
        <v>43581.0</v>
      </c>
      <c r="H22" s="73" t="s">
        <v>282</v>
      </c>
      <c r="I22" s="128" t="s">
        <v>563</v>
      </c>
      <c r="J22" s="76" t="s">
        <v>108</v>
      </c>
      <c r="K22" s="129" t="s">
        <v>416</v>
      </c>
      <c r="L22" s="79" t="s">
        <v>296</v>
      </c>
      <c r="M22" s="81" t="s">
        <v>539</v>
      </c>
      <c r="N22" s="82" t="s">
        <v>564</v>
      </c>
      <c r="P22" s="81" t="s">
        <v>324</v>
      </c>
      <c r="Q22" s="81" t="s">
        <v>315</v>
      </c>
      <c r="R22" s="81" t="s">
        <v>324</v>
      </c>
      <c r="S22" s="85"/>
      <c r="T22" s="81" t="s">
        <v>324</v>
      </c>
      <c r="U22" s="81" t="s">
        <v>324</v>
      </c>
      <c r="V22" s="81" t="s">
        <v>315</v>
      </c>
      <c r="W22" s="81" t="s">
        <v>282</v>
      </c>
      <c r="X22" s="81" t="s">
        <v>282</v>
      </c>
      <c r="Y22" s="81" t="s">
        <v>282</v>
      </c>
      <c r="Z22" s="81" t="s">
        <v>282</v>
      </c>
      <c r="AA22" s="81" t="s">
        <v>282</v>
      </c>
      <c r="AB22" s="85"/>
      <c r="AC22" s="81" t="s">
        <v>565</v>
      </c>
      <c r="AD22" s="82" t="s">
        <v>564</v>
      </c>
      <c r="AE22" s="81" t="s">
        <v>369</v>
      </c>
      <c r="AF22" s="81" t="s">
        <v>282</v>
      </c>
      <c r="AG22" s="81" t="s">
        <v>282</v>
      </c>
      <c r="AH22" s="82" t="s">
        <v>567</v>
      </c>
      <c r="AI22" s="81" t="s">
        <v>569</v>
      </c>
      <c r="AJ22" s="81" t="s">
        <v>570</v>
      </c>
      <c r="AK22" s="81" t="s">
        <v>324</v>
      </c>
      <c r="AL22" s="81" t="s">
        <v>369</v>
      </c>
      <c r="AM22" s="81" t="s">
        <v>571</v>
      </c>
      <c r="AN22" s="81" t="s">
        <v>324</v>
      </c>
      <c r="AO22" s="81" t="s">
        <v>324</v>
      </c>
      <c r="AP22" s="81" t="s">
        <v>572</v>
      </c>
      <c r="AQ22" s="81" t="s">
        <v>573</v>
      </c>
      <c r="AR22" s="131" t="s">
        <v>435</v>
      </c>
      <c r="AS22" s="67"/>
    </row>
    <row r="23">
      <c r="A23" s="94"/>
      <c r="B23" s="69"/>
      <c r="C23" s="70"/>
      <c r="D23" s="71"/>
      <c r="E23" s="96"/>
      <c r="F23" s="96"/>
      <c r="G23" s="96"/>
      <c r="H23" s="96"/>
      <c r="I23" s="132"/>
      <c r="J23" s="98"/>
      <c r="K23" s="100"/>
      <c r="L23" s="79"/>
      <c r="M23" s="81" t="s">
        <v>315</v>
      </c>
      <c r="N23" s="20" t="s">
        <v>422</v>
      </c>
      <c r="O23" s="81" t="s">
        <v>575</v>
      </c>
      <c r="P23" s="81"/>
      <c r="Q23" s="81"/>
      <c r="R23" s="81"/>
      <c r="S23" s="81" t="s">
        <v>504</v>
      </c>
      <c r="T23" s="81"/>
      <c r="U23" s="81"/>
      <c r="V23" s="81" t="s">
        <v>324</v>
      </c>
      <c r="W23" s="81" t="s">
        <v>324</v>
      </c>
      <c r="X23" s="81"/>
      <c r="Y23" s="81" t="s">
        <v>324</v>
      </c>
      <c r="Z23" s="81" t="s">
        <v>324</v>
      </c>
      <c r="AA23" s="81" t="s">
        <v>324</v>
      </c>
      <c r="AB23" s="85"/>
      <c r="AC23" s="81" t="s">
        <v>324</v>
      </c>
      <c r="AD23" s="81" t="s">
        <v>324</v>
      </c>
      <c r="AE23" s="81" t="s">
        <v>315</v>
      </c>
      <c r="AF23" s="81" t="s">
        <v>315</v>
      </c>
      <c r="AG23" s="81" t="s">
        <v>315</v>
      </c>
      <c r="AH23" s="91" t="s">
        <v>576</v>
      </c>
      <c r="AI23" s="81" t="s">
        <v>464</v>
      </c>
      <c r="AJ23" s="81" t="s">
        <v>577</v>
      </c>
      <c r="AK23" s="81"/>
      <c r="AL23" s="81" t="s">
        <v>577</v>
      </c>
      <c r="AM23" s="81" t="s">
        <v>577</v>
      </c>
      <c r="AN23" s="81" t="s">
        <v>577</v>
      </c>
      <c r="AO23" s="81" t="s">
        <v>577</v>
      </c>
      <c r="AP23" s="81" t="s">
        <v>577</v>
      </c>
      <c r="AQ23" s="81" t="s">
        <v>578</v>
      </c>
      <c r="AR23" s="131"/>
      <c r="AS23" s="67"/>
    </row>
    <row r="24">
      <c r="A24" s="166"/>
      <c r="B24" s="167"/>
      <c r="C24" s="168"/>
      <c r="D24" s="169"/>
      <c r="E24" s="170"/>
      <c r="F24" s="170"/>
      <c r="G24" s="170"/>
      <c r="H24" s="180" t="s">
        <v>580</v>
      </c>
      <c r="I24" s="171"/>
      <c r="J24" s="172"/>
      <c r="K24" s="173"/>
      <c r="L24" s="79" t="s">
        <v>296</v>
      </c>
      <c r="M24" s="114" t="s">
        <v>394</v>
      </c>
      <c r="N24" s="174" t="s">
        <v>422</v>
      </c>
      <c r="O24" s="114"/>
      <c r="P24" s="114"/>
      <c r="Q24" s="114" t="s">
        <v>315</v>
      </c>
      <c r="R24" s="114"/>
      <c r="S24" s="118"/>
      <c r="T24" s="114" t="s">
        <v>324</v>
      </c>
      <c r="U24" s="114" t="s">
        <v>324</v>
      </c>
      <c r="V24" s="114" t="s">
        <v>324</v>
      </c>
      <c r="W24" s="114" t="s">
        <v>324</v>
      </c>
      <c r="X24" s="114" t="s">
        <v>282</v>
      </c>
      <c r="Y24" s="114" t="s">
        <v>324</v>
      </c>
      <c r="Z24" s="114" t="s">
        <v>324</v>
      </c>
      <c r="AA24" s="114" t="s">
        <v>324</v>
      </c>
      <c r="AB24" s="118"/>
      <c r="AC24" s="114"/>
      <c r="AD24" s="114"/>
      <c r="AE24" s="114" t="s">
        <v>315</v>
      </c>
      <c r="AF24" s="114" t="s">
        <v>315</v>
      </c>
      <c r="AG24" s="114" t="s">
        <v>315</v>
      </c>
      <c r="AH24" s="134" t="s">
        <v>576</v>
      </c>
      <c r="AI24" s="114" t="s">
        <v>464</v>
      </c>
      <c r="AJ24" s="114"/>
      <c r="AK24" s="114" t="s">
        <v>324</v>
      </c>
      <c r="AL24" s="114"/>
      <c r="AM24" s="114"/>
      <c r="AN24" s="114"/>
      <c r="AO24" s="114"/>
      <c r="AP24" s="114"/>
      <c r="AQ24" s="114" t="s">
        <v>578</v>
      </c>
      <c r="AR24" s="142"/>
      <c r="AS24" s="143"/>
    </row>
    <row r="25">
      <c r="A25" s="68"/>
      <c r="B25" s="69" t="s">
        <v>238</v>
      </c>
      <c r="C25" s="70">
        <v>43433.0</v>
      </c>
      <c r="D25" s="71" t="s">
        <v>479</v>
      </c>
      <c r="E25" s="72">
        <v>43574.0</v>
      </c>
      <c r="F25" s="73" t="s">
        <v>280</v>
      </c>
      <c r="G25" s="72">
        <v>43581.0</v>
      </c>
      <c r="H25" s="73" t="s">
        <v>282</v>
      </c>
      <c r="I25" s="128" t="s">
        <v>583</v>
      </c>
      <c r="J25" s="76" t="s">
        <v>109</v>
      </c>
      <c r="K25" s="129" t="s">
        <v>416</v>
      </c>
      <c r="L25" s="79" t="s">
        <v>296</v>
      </c>
      <c r="M25" s="81" t="s">
        <v>539</v>
      </c>
      <c r="N25" s="82" t="s">
        <v>584</v>
      </c>
      <c r="P25" s="81" t="s">
        <v>324</v>
      </c>
      <c r="Q25" s="81" t="s">
        <v>315</v>
      </c>
      <c r="R25" s="81" t="s">
        <v>324</v>
      </c>
      <c r="S25" s="85"/>
      <c r="T25" s="81" t="s">
        <v>324</v>
      </c>
      <c r="U25" s="81" t="s">
        <v>324</v>
      </c>
      <c r="V25" s="81" t="s">
        <v>315</v>
      </c>
      <c r="W25" s="81" t="s">
        <v>282</v>
      </c>
      <c r="X25" s="81" t="s">
        <v>282</v>
      </c>
      <c r="Y25" s="81" t="s">
        <v>282</v>
      </c>
      <c r="Z25" s="81" t="s">
        <v>282</v>
      </c>
      <c r="AA25" s="81" t="s">
        <v>282</v>
      </c>
      <c r="AB25" s="85"/>
      <c r="AC25" s="81" t="s">
        <v>565</v>
      </c>
      <c r="AD25" s="82" t="s">
        <v>564</v>
      </c>
      <c r="AE25" s="81" t="s">
        <v>369</v>
      </c>
      <c r="AF25" s="81" t="s">
        <v>282</v>
      </c>
      <c r="AG25" s="81" t="s">
        <v>282</v>
      </c>
      <c r="AH25" s="82" t="s">
        <v>567</v>
      </c>
      <c r="AI25" s="81" t="s">
        <v>569</v>
      </c>
      <c r="AJ25" s="81" t="s">
        <v>570</v>
      </c>
      <c r="AK25" s="81" t="s">
        <v>324</v>
      </c>
      <c r="AL25" s="81" t="s">
        <v>369</v>
      </c>
      <c r="AM25" s="81" t="s">
        <v>571</v>
      </c>
      <c r="AN25" s="81" t="s">
        <v>324</v>
      </c>
      <c r="AO25" s="81" t="s">
        <v>324</v>
      </c>
      <c r="AP25" s="81" t="s">
        <v>572</v>
      </c>
      <c r="AQ25" s="81" t="s">
        <v>573</v>
      </c>
      <c r="AR25" s="131" t="s">
        <v>435</v>
      </c>
      <c r="AS25" s="67"/>
    </row>
    <row r="26">
      <c r="A26" s="94"/>
      <c r="B26" s="69"/>
      <c r="C26" s="70"/>
      <c r="D26" s="71"/>
      <c r="E26" s="96"/>
      <c r="F26" s="96"/>
      <c r="G26" s="96"/>
      <c r="H26" s="96"/>
      <c r="I26" s="132"/>
      <c r="J26" s="98"/>
      <c r="K26" s="100"/>
      <c r="L26" s="79"/>
      <c r="M26" s="81" t="s">
        <v>315</v>
      </c>
      <c r="N26" s="20" t="s">
        <v>422</v>
      </c>
      <c r="O26" s="81" t="s">
        <v>575</v>
      </c>
      <c r="P26" s="81"/>
      <c r="Q26" s="81"/>
      <c r="R26" s="81"/>
      <c r="S26" s="81" t="s">
        <v>504</v>
      </c>
      <c r="T26" s="81"/>
      <c r="U26" s="81"/>
      <c r="V26" s="81" t="s">
        <v>324</v>
      </c>
      <c r="W26" s="81" t="s">
        <v>324</v>
      </c>
      <c r="X26" s="81"/>
      <c r="Y26" s="81" t="s">
        <v>324</v>
      </c>
      <c r="Z26" s="81" t="s">
        <v>324</v>
      </c>
      <c r="AA26" s="81" t="s">
        <v>324</v>
      </c>
      <c r="AB26" s="85"/>
      <c r="AC26" s="81" t="s">
        <v>324</v>
      </c>
      <c r="AD26" s="81" t="s">
        <v>324</v>
      </c>
      <c r="AE26" s="81" t="s">
        <v>315</v>
      </c>
      <c r="AF26" s="81" t="s">
        <v>315</v>
      </c>
      <c r="AG26" s="81" t="s">
        <v>315</v>
      </c>
      <c r="AH26" s="20" t="s">
        <v>584</v>
      </c>
      <c r="AI26" s="81" t="s">
        <v>464</v>
      </c>
      <c r="AJ26" s="81" t="s">
        <v>577</v>
      </c>
      <c r="AK26" s="81"/>
      <c r="AL26" s="81" t="s">
        <v>577</v>
      </c>
      <c r="AM26" s="81" t="s">
        <v>577</v>
      </c>
      <c r="AN26" s="81" t="s">
        <v>577</v>
      </c>
      <c r="AO26" s="81" t="s">
        <v>577</v>
      </c>
      <c r="AP26" s="81" t="s">
        <v>577</v>
      </c>
      <c r="AQ26" s="81"/>
      <c r="AR26" s="131"/>
      <c r="AS26" s="67"/>
    </row>
    <row r="27">
      <c r="A27" s="166"/>
      <c r="B27" s="167"/>
      <c r="C27" s="168"/>
      <c r="D27" s="169"/>
      <c r="E27" s="170"/>
      <c r="F27" s="170"/>
      <c r="G27" s="170"/>
      <c r="H27" s="180" t="s">
        <v>580</v>
      </c>
      <c r="I27" s="171"/>
      <c r="J27" s="172"/>
      <c r="K27" s="173"/>
      <c r="L27" s="79" t="s">
        <v>296</v>
      </c>
      <c r="M27" s="114" t="s">
        <v>395</v>
      </c>
      <c r="N27" s="174" t="s">
        <v>422</v>
      </c>
      <c r="O27" s="114"/>
      <c r="P27" s="114"/>
      <c r="Q27" s="114" t="s">
        <v>315</v>
      </c>
      <c r="R27" s="114"/>
      <c r="S27" s="118"/>
      <c r="T27" s="114" t="s">
        <v>324</v>
      </c>
      <c r="U27" s="114" t="s">
        <v>324</v>
      </c>
      <c r="V27" s="114" t="s">
        <v>324</v>
      </c>
      <c r="W27" s="114" t="s">
        <v>324</v>
      </c>
      <c r="X27" s="114" t="s">
        <v>282</v>
      </c>
      <c r="Y27" s="114" t="s">
        <v>324</v>
      </c>
      <c r="Z27" s="114" t="s">
        <v>324</v>
      </c>
      <c r="AA27" s="114" t="s">
        <v>324</v>
      </c>
      <c r="AB27" s="118"/>
      <c r="AC27" s="114"/>
      <c r="AD27" s="114"/>
      <c r="AE27" s="114" t="s">
        <v>315</v>
      </c>
      <c r="AF27" s="114" t="s">
        <v>315</v>
      </c>
      <c r="AG27" s="114" t="s">
        <v>315</v>
      </c>
      <c r="AH27" s="174" t="s">
        <v>584</v>
      </c>
      <c r="AI27" s="81" t="s">
        <v>464</v>
      </c>
      <c r="AJ27" s="114"/>
      <c r="AK27" s="114" t="s">
        <v>324</v>
      </c>
      <c r="AL27" s="114"/>
      <c r="AM27" s="114"/>
      <c r="AN27" s="114"/>
      <c r="AO27" s="114"/>
      <c r="AP27" s="114"/>
      <c r="AQ27" s="114"/>
      <c r="AR27" s="142"/>
      <c r="AS27" s="143"/>
    </row>
    <row r="28">
      <c r="A28" s="94"/>
      <c r="B28" s="69" t="s">
        <v>238</v>
      </c>
      <c r="C28" s="70">
        <v>43433.0</v>
      </c>
      <c r="D28" s="71" t="s">
        <v>280</v>
      </c>
      <c r="E28" s="72">
        <v>43572.0</v>
      </c>
      <c r="F28" s="73" t="s">
        <v>258</v>
      </c>
      <c r="G28" s="72">
        <v>43579.0</v>
      </c>
      <c r="H28" s="73" t="s">
        <v>282</v>
      </c>
      <c r="I28" s="132" t="s">
        <v>593</v>
      </c>
      <c r="J28" s="98" t="s">
        <v>110</v>
      </c>
      <c r="K28" s="129" t="s">
        <v>416</v>
      </c>
      <c r="L28" s="79" t="s">
        <v>296</v>
      </c>
      <c r="M28" s="81" t="s">
        <v>539</v>
      </c>
      <c r="N28" s="82" t="s">
        <v>584</v>
      </c>
      <c r="O28" s="81"/>
      <c r="P28" s="81" t="s">
        <v>324</v>
      </c>
      <c r="Q28" s="81" t="s">
        <v>315</v>
      </c>
      <c r="R28" s="81" t="s">
        <v>324</v>
      </c>
      <c r="S28" s="85"/>
      <c r="T28" s="81" t="s">
        <v>324</v>
      </c>
      <c r="U28" s="81" t="s">
        <v>324</v>
      </c>
      <c r="V28" s="81" t="s">
        <v>315</v>
      </c>
      <c r="W28" s="81" t="s">
        <v>282</v>
      </c>
      <c r="X28" s="81" t="s">
        <v>282</v>
      </c>
      <c r="Y28" s="81" t="s">
        <v>282</v>
      </c>
      <c r="Z28" s="81" t="s">
        <v>282</v>
      </c>
      <c r="AA28" s="81" t="s">
        <v>282</v>
      </c>
      <c r="AB28" s="85"/>
      <c r="AC28" s="81" t="s">
        <v>565</v>
      </c>
      <c r="AD28" s="82" t="s">
        <v>564</v>
      </c>
      <c r="AE28" s="81" t="s">
        <v>369</v>
      </c>
      <c r="AF28" s="81" t="s">
        <v>282</v>
      </c>
      <c r="AG28" s="81" t="s">
        <v>282</v>
      </c>
      <c r="AH28" s="82" t="s">
        <v>567</v>
      </c>
      <c r="AI28" s="81" t="s">
        <v>569</v>
      </c>
      <c r="AJ28" s="81" t="s">
        <v>570</v>
      </c>
      <c r="AK28" s="81" t="s">
        <v>324</v>
      </c>
      <c r="AL28" s="81" t="s">
        <v>369</v>
      </c>
      <c r="AM28" s="81" t="s">
        <v>571</v>
      </c>
      <c r="AN28" s="81" t="s">
        <v>324</v>
      </c>
      <c r="AO28" s="81" t="s">
        <v>324</v>
      </c>
      <c r="AP28" s="81" t="s">
        <v>572</v>
      </c>
      <c r="AQ28" s="81" t="s">
        <v>573</v>
      </c>
      <c r="AR28" s="131" t="s">
        <v>435</v>
      </c>
      <c r="AS28" s="25" t="s">
        <v>598</v>
      </c>
    </row>
    <row r="29">
      <c r="A29" s="94"/>
      <c r="B29" s="69"/>
      <c r="C29" s="70"/>
      <c r="D29" s="71"/>
      <c r="E29" s="96"/>
      <c r="F29" s="96"/>
      <c r="G29" s="96"/>
      <c r="H29" s="96"/>
      <c r="I29" s="132"/>
      <c r="J29" s="98"/>
      <c r="K29" s="100"/>
      <c r="L29" s="79"/>
      <c r="M29" s="81" t="s">
        <v>427</v>
      </c>
      <c r="N29" s="82" t="s">
        <v>426</v>
      </c>
      <c r="O29" s="81"/>
      <c r="P29" s="81"/>
      <c r="Q29" s="81"/>
      <c r="R29" s="81"/>
      <c r="S29" s="85"/>
      <c r="T29" s="81" t="s">
        <v>324</v>
      </c>
      <c r="U29" s="81" t="s">
        <v>324</v>
      </c>
      <c r="V29" s="81" t="s">
        <v>324</v>
      </c>
      <c r="W29" s="81" t="s">
        <v>324</v>
      </c>
      <c r="X29" s="81" t="s">
        <v>324</v>
      </c>
      <c r="Y29" s="81" t="s">
        <v>324</v>
      </c>
      <c r="Z29" s="81" t="s">
        <v>324</v>
      </c>
      <c r="AA29" s="81" t="s">
        <v>324</v>
      </c>
      <c r="AB29" s="85"/>
      <c r="AC29" s="81"/>
      <c r="AD29" s="81" t="s">
        <v>599</v>
      </c>
      <c r="AE29" s="81" t="s">
        <v>427</v>
      </c>
      <c r="AF29" s="81" t="s">
        <v>427</v>
      </c>
      <c r="AG29" s="81" t="s">
        <v>427</v>
      </c>
      <c r="AH29" s="20" t="s">
        <v>600</v>
      </c>
      <c r="AI29" s="81" t="s">
        <v>601</v>
      </c>
      <c r="AJ29" s="81" t="s">
        <v>577</v>
      </c>
      <c r="AK29" s="81" t="s">
        <v>324</v>
      </c>
      <c r="AL29" s="81" t="s">
        <v>282</v>
      </c>
      <c r="AM29" s="81"/>
      <c r="AN29" s="81"/>
      <c r="AO29" s="81"/>
      <c r="AP29" s="81"/>
      <c r="AQ29" s="81"/>
      <c r="AR29" s="131"/>
      <c r="AS29" s="67"/>
    </row>
    <row r="30">
      <c r="A30" s="166"/>
      <c r="B30" s="167"/>
      <c r="C30" s="168"/>
      <c r="D30" s="169"/>
      <c r="E30" s="170"/>
      <c r="F30" s="170"/>
      <c r="G30" s="170"/>
      <c r="H30" s="170"/>
      <c r="I30" s="171"/>
      <c r="J30" s="172" t="s">
        <v>110</v>
      </c>
      <c r="K30" s="173"/>
      <c r="L30" s="127" t="s">
        <v>296</v>
      </c>
      <c r="M30" s="114" t="s">
        <v>315</v>
      </c>
      <c r="N30" s="122" t="s">
        <v>426</v>
      </c>
      <c r="O30" s="114"/>
      <c r="P30" s="114" t="s">
        <v>324</v>
      </c>
      <c r="Q30" s="114" t="s">
        <v>315</v>
      </c>
      <c r="R30" s="114"/>
      <c r="S30" s="118"/>
      <c r="T30" s="114" t="s">
        <v>324</v>
      </c>
      <c r="U30" s="114" t="s">
        <v>324</v>
      </c>
      <c r="V30" s="114" t="s">
        <v>324</v>
      </c>
      <c r="W30" s="114" t="s">
        <v>324</v>
      </c>
      <c r="X30" s="114" t="s">
        <v>324</v>
      </c>
      <c r="Y30" s="114" t="s">
        <v>324</v>
      </c>
      <c r="Z30" s="114" t="s">
        <v>324</v>
      </c>
      <c r="AA30" s="114" t="s">
        <v>324</v>
      </c>
      <c r="AB30" s="118"/>
      <c r="AC30" s="114" t="s">
        <v>565</v>
      </c>
      <c r="AD30" s="114"/>
      <c r="AE30" s="114" t="s">
        <v>427</v>
      </c>
      <c r="AF30" s="114" t="s">
        <v>427</v>
      </c>
      <c r="AG30" s="114" t="s">
        <v>427</v>
      </c>
      <c r="AH30" s="174" t="s">
        <v>600</v>
      </c>
      <c r="AI30" s="114" t="s">
        <v>601</v>
      </c>
      <c r="AJ30" s="114"/>
      <c r="AK30" s="114" t="s">
        <v>324</v>
      </c>
      <c r="AL30" s="114" t="s">
        <v>282</v>
      </c>
      <c r="AM30" s="114"/>
      <c r="AN30" s="114" t="s">
        <v>324</v>
      </c>
      <c r="AO30" s="114" t="s">
        <v>324</v>
      </c>
      <c r="AP30" s="114"/>
      <c r="AQ30" s="114" t="s">
        <v>573</v>
      </c>
      <c r="AR30" s="142"/>
      <c r="AS30" s="143"/>
    </row>
    <row r="31">
      <c r="A31" s="68"/>
      <c r="B31" s="69" t="s">
        <v>238</v>
      </c>
      <c r="C31" s="70">
        <v>43433.0</v>
      </c>
      <c r="D31" s="71" t="s">
        <v>280</v>
      </c>
      <c r="E31" s="72">
        <v>43572.0</v>
      </c>
      <c r="F31" s="73" t="s">
        <v>258</v>
      </c>
      <c r="G31" s="72">
        <v>43579.0</v>
      </c>
      <c r="H31" s="73" t="s">
        <v>282</v>
      </c>
      <c r="I31" s="128" t="s">
        <v>602</v>
      </c>
      <c r="J31" s="76" t="s">
        <v>112</v>
      </c>
      <c r="K31" s="129" t="s">
        <v>519</v>
      </c>
      <c r="L31" s="79" t="s">
        <v>297</v>
      </c>
      <c r="M31" s="81" t="s">
        <v>393</v>
      </c>
      <c r="N31" s="82" t="s">
        <v>428</v>
      </c>
      <c r="P31" s="81" t="s">
        <v>324</v>
      </c>
      <c r="Q31" s="81" t="s">
        <v>315</v>
      </c>
      <c r="R31" s="81" t="s">
        <v>324</v>
      </c>
      <c r="S31" s="85"/>
      <c r="T31" s="81" t="s">
        <v>324</v>
      </c>
      <c r="U31" s="81" t="s">
        <v>324</v>
      </c>
      <c r="V31" s="81" t="s">
        <v>315</v>
      </c>
      <c r="W31" s="81" t="s">
        <v>282</v>
      </c>
      <c r="X31" s="81" t="s">
        <v>282</v>
      </c>
      <c r="Y31" s="81" t="s">
        <v>282</v>
      </c>
      <c r="Z31" s="81" t="s">
        <v>282</v>
      </c>
      <c r="AA31" s="81" t="s">
        <v>282</v>
      </c>
      <c r="AB31" s="85"/>
      <c r="AC31" s="81" t="s">
        <v>324</v>
      </c>
      <c r="AD31" s="82" t="s">
        <v>603</v>
      </c>
      <c r="AE31" s="81" t="s">
        <v>315</v>
      </c>
      <c r="AF31" s="81" t="s">
        <v>315</v>
      </c>
      <c r="AG31" s="81" t="s">
        <v>315</v>
      </c>
      <c r="AH31" s="82" t="s">
        <v>604</v>
      </c>
      <c r="AI31" s="81" t="s">
        <v>605</v>
      </c>
      <c r="AJ31" s="81" t="s">
        <v>324</v>
      </c>
      <c r="AK31" s="81" t="s">
        <v>606</v>
      </c>
      <c r="AL31" s="81" t="s">
        <v>282</v>
      </c>
      <c r="AM31" s="81" t="s">
        <v>324</v>
      </c>
      <c r="AN31" s="81" t="s">
        <v>324</v>
      </c>
      <c r="AO31" s="81" t="s">
        <v>324</v>
      </c>
      <c r="AP31" s="81" t="s">
        <v>572</v>
      </c>
      <c r="AQ31" s="85"/>
      <c r="AR31" s="131" t="s">
        <v>435</v>
      </c>
      <c r="AS31" s="25" t="s">
        <v>607</v>
      </c>
    </row>
    <row r="32">
      <c r="A32" s="94"/>
      <c r="B32" s="69"/>
      <c r="C32" s="70"/>
      <c r="D32" s="71"/>
      <c r="E32" s="96"/>
      <c r="F32" s="96"/>
      <c r="G32" s="96"/>
      <c r="H32" s="96"/>
      <c r="I32" s="132"/>
      <c r="J32" s="98"/>
      <c r="K32" s="100"/>
      <c r="L32" s="79"/>
      <c r="M32" s="81"/>
      <c r="N32" s="81"/>
      <c r="O32" s="81"/>
      <c r="P32" s="81"/>
      <c r="Q32" s="81"/>
      <c r="R32" s="81"/>
      <c r="S32" s="85"/>
      <c r="T32" s="81"/>
      <c r="U32" s="81"/>
      <c r="V32" s="81" t="s">
        <v>324</v>
      </c>
      <c r="W32" s="81"/>
      <c r="X32" s="81"/>
      <c r="Y32" s="81"/>
      <c r="Z32" s="81"/>
      <c r="AA32" s="81"/>
      <c r="AB32" s="85"/>
      <c r="AC32" s="81"/>
      <c r="AD32" s="81"/>
      <c r="AE32" s="81"/>
      <c r="AF32" s="81"/>
      <c r="AG32" s="81"/>
      <c r="AH32" s="81"/>
      <c r="AI32" s="181"/>
      <c r="AJ32" s="81"/>
      <c r="AK32" s="181"/>
      <c r="AL32" s="81"/>
      <c r="AM32" s="81"/>
      <c r="AN32" s="81"/>
      <c r="AO32" s="81"/>
      <c r="AP32" s="81"/>
      <c r="AQ32" s="85"/>
      <c r="AR32" s="131"/>
      <c r="AS32" s="67"/>
    </row>
    <row r="33">
      <c r="A33" s="166"/>
      <c r="B33" s="167"/>
      <c r="C33" s="168"/>
      <c r="D33" s="169"/>
      <c r="E33" s="170"/>
      <c r="F33" s="170"/>
      <c r="G33" s="170"/>
      <c r="H33" s="180"/>
      <c r="I33" s="171"/>
      <c r="J33" s="172"/>
      <c r="K33" s="173"/>
      <c r="L33" s="127" t="s">
        <v>297</v>
      </c>
      <c r="M33" s="114" t="s">
        <v>393</v>
      </c>
      <c r="N33" s="122" t="s">
        <v>428</v>
      </c>
      <c r="O33" s="114"/>
      <c r="P33" s="114" t="s">
        <v>324</v>
      </c>
      <c r="Q33" s="114" t="s">
        <v>315</v>
      </c>
      <c r="R33" s="114"/>
      <c r="S33" s="118"/>
      <c r="T33" s="114" t="s">
        <v>324</v>
      </c>
      <c r="U33" s="114" t="s">
        <v>324</v>
      </c>
      <c r="V33" s="114" t="s">
        <v>324</v>
      </c>
      <c r="W33" s="114" t="s">
        <v>324</v>
      </c>
      <c r="X33" s="114" t="s">
        <v>324</v>
      </c>
      <c r="Y33" s="114" t="s">
        <v>324</v>
      </c>
      <c r="Z33" s="114" t="s">
        <v>324</v>
      </c>
      <c r="AA33" s="114" t="s">
        <v>324</v>
      </c>
      <c r="AB33" s="118"/>
      <c r="AC33" s="114"/>
      <c r="AD33" s="122" t="s">
        <v>603</v>
      </c>
      <c r="AE33" s="114" t="s">
        <v>315</v>
      </c>
      <c r="AF33" s="114" t="s">
        <v>315</v>
      </c>
      <c r="AG33" s="114" t="s">
        <v>315</v>
      </c>
      <c r="AH33" s="174" t="s">
        <v>608</v>
      </c>
      <c r="AI33" s="135" t="s">
        <v>609</v>
      </c>
      <c r="AJ33" s="114"/>
      <c r="AK33" s="182" t="s">
        <v>324</v>
      </c>
      <c r="AL33" s="114" t="s">
        <v>315</v>
      </c>
      <c r="AM33" s="114"/>
      <c r="AN33" s="114"/>
      <c r="AO33" s="114"/>
      <c r="AP33" s="114"/>
      <c r="AQ33" s="118"/>
      <c r="AR33" s="142"/>
      <c r="AS33" s="143"/>
    </row>
    <row r="34">
      <c r="A34" s="94"/>
      <c r="B34" s="69" t="s">
        <v>238</v>
      </c>
      <c r="C34" s="70">
        <v>43433.0</v>
      </c>
      <c r="D34" s="71" t="s">
        <v>280</v>
      </c>
      <c r="E34" s="72">
        <v>43572.0</v>
      </c>
      <c r="F34" s="73" t="s">
        <v>258</v>
      </c>
      <c r="G34" s="72">
        <v>43579.0</v>
      </c>
      <c r="H34" s="73" t="s">
        <v>282</v>
      </c>
      <c r="I34" s="132" t="s">
        <v>610</v>
      </c>
      <c r="J34" s="98" t="s">
        <v>113</v>
      </c>
      <c r="K34" s="129" t="s">
        <v>286</v>
      </c>
      <c r="L34" s="79" t="s">
        <v>298</v>
      </c>
      <c r="M34" s="81" t="s">
        <v>393</v>
      </c>
      <c r="N34" s="82" t="s">
        <v>436</v>
      </c>
      <c r="P34" s="81" t="s">
        <v>324</v>
      </c>
      <c r="Q34" s="81" t="s">
        <v>315</v>
      </c>
      <c r="R34" s="81" t="s">
        <v>324</v>
      </c>
      <c r="S34" s="85"/>
      <c r="T34" s="81" t="s">
        <v>324</v>
      </c>
      <c r="U34" s="81" t="s">
        <v>324</v>
      </c>
      <c r="V34" s="81" t="s">
        <v>315</v>
      </c>
      <c r="W34" s="81" t="s">
        <v>282</v>
      </c>
      <c r="X34" s="81" t="s">
        <v>282</v>
      </c>
      <c r="Y34" s="81" t="s">
        <v>282</v>
      </c>
      <c r="Z34" s="81" t="s">
        <v>282</v>
      </c>
      <c r="AA34" s="81" t="s">
        <v>282</v>
      </c>
      <c r="AB34" s="85"/>
      <c r="AC34" s="81" t="s">
        <v>324</v>
      </c>
      <c r="AD34" s="82" t="s">
        <v>611</v>
      </c>
      <c r="AE34" s="81" t="s">
        <v>315</v>
      </c>
      <c r="AF34" s="81" t="s">
        <v>315</v>
      </c>
      <c r="AG34" s="81" t="s">
        <v>315</v>
      </c>
      <c r="AH34" s="82" t="s">
        <v>612</v>
      </c>
      <c r="AI34" s="183" t="s">
        <v>613</v>
      </c>
      <c r="AJ34" s="81" t="s">
        <v>613</v>
      </c>
      <c r="AK34" s="81" t="s">
        <v>324</v>
      </c>
      <c r="AL34" s="81" t="s">
        <v>315</v>
      </c>
      <c r="AM34" s="81" t="s">
        <v>324</v>
      </c>
      <c r="AN34" s="81" t="s">
        <v>324</v>
      </c>
      <c r="AO34" s="81" t="s">
        <v>324</v>
      </c>
      <c r="AP34" s="81" t="s">
        <v>614</v>
      </c>
      <c r="AQ34" s="85"/>
      <c r="AR34" s="131" t="s">
        <v>435</v>
      </c>
      <c r="AS34" s="67"/>
    </row>
    <row r="35">
      <c r="A35" s="94"/>
      <c r="B35" s="69"/>
      <c r="C35" s="70"/>
      <c r="D35" s="71"/>
      <c r="E35" s="96"/>
      <c r="F35" s="96"/>
      <c r="G35" s="96"/>
      <c r="H35" s="96"/>
      <c r="I35" s="132"/>
      <c r="J35" s="98"/>
      <c r="K35" s="100"/>
      <c r="L35" s="79"/>
      <c r="M35" s="81"/>
      <c r="N35" s="81"/>
      <c r="O35" s="81" t="s">
        <v>611</v>
      </c>
      <c r="P35" s="81"/>
      <c r="Q35" s="81"/>
      <c r="R35" s="81"/>
      <c r="S35" s="85"/>
      <c r="T35" s="81"/>
      <c r="U35" s="81"/>
      <c r="V35" s="81"/>
      <c r="W35" s="81"/>
      <c r="X35" s="81"/>
      <c r="Y35" s="81"/>
      <c r="Z35" s="81"/>
      <c r="AA35" s="81"/>
      <c r="AB35" s="85"/>
      <c r="AC35" s="81"/>
      <c r="AD35" s="81"/>
      <c r="AE35" s="81"/>
      <c r="AF35" s="81"/>
      <c r="AG35" s="81"/>
      <c r="AH35" s="81"/>
      <c r="AI35" s="133" t="s">
        <v>615</v>
      </c>
      <c r="AJ35" s="81"/>
      <c r="AK35" s="81"/>
      <c r="AL35" s="81"/>
      <c r="AM35" s="81"/>
      <c r="AN35" s="81"/>
      <c r="AO35" s="81"/>
      <c r="AP35" s="81"/>
      <c r="AQ35" s="81" t="s">
        <v>616</v>
      </c>
      <c r="AR35" s="131"/>
      <c r="AS35" s="67"/>
    </row>
    <row r="36">
      <c r="A36" s="166"/>
      <c r="B36" s="167"/>
      <c r="C36" s="168"/>
      <c r="D36" s="169"/>
      <c r="E36" s="170"/>
      <c r="F36" s="170"/>
      <c r="G36" s="170"/>
      <c r="H36" s="170"/>
      <c r="I36" s="171"/>
      <c r="J36" s="172"/>
      <c r="K36" s="173"/>
      <c r="L36" s="127" t="s">
        <v>298</v>
      </c>
      <c r="M36" s="114" t="s">
        <v>393</v>
      </c>
      <c r="N36" s="122" t="s">
        <v>436</v>
      </c>
      <c r="P36" s="114" t="s">
        <v>324</v>
      </c>
      <c r="Q36" s="114" t="s">
        <v>315</v>
      </c>
      <c r="R36" s="114"/>
      <c r="S36" s="118"/>
      <c r="T36" s="114" t="s">
        <v>324</v>
      </c>
      <c r="U36" s="114" t="s">
        <v>324</v>
      </c>
      <c r="V36" s="114" t="s">
        <v>324</v>
      </c>
      <c r="W36" s="114" t="s">
        <v>324</v>
      </c>
      <c r="X36" s="114" t="s">
        <v>324</v>
      </c>
      <c r="Y36" s="114" t="s">
        <v>324</v>
      </c>
      <c r="Z36" s="114" t="s">
        <v>324</v>
      </c>
      <c r="AA36" s="114" t="s">
        <v>324</v>
      </c>
      <c r="AB36" s="118"/>
      <c r="AC36" s="114"/>
      <c r="AD36" s="122" t="s">
        <v>611</v>
      </c>
      <c r="AE36" s="114" t="s">
        <v>315</v>
      </c>
      <c r="AF36" s="114" t="s">
        <v>315</v>
      </c>
      <c r="AG36" s="114" t="s">
        <v>315</v>
      </c>
      <c r="AH36" s="122" t="s">
        <v>612</v>
      </c>
      <c r="AI36" s="135" t="s">
        <v>615</v>
      </c>
      <c r="AJ36" s="114" t="s">
        <v>613</v>
      </c>
      <c r="AK36" s="114" t="s">
        <v>324</v>
      </c>
      <c r="AL36" s="114" t="s">
        <v>315</v>
      </c>
      <c r="AM36" s="114"/>
      <c r="AN36" s="114"/>
      <c r="AO36" s="114"/>
      <c r="AP36" s="114"/>
      <c r="AQ36" s="114" t="s">
        <v>616</v>
      </c>
      <c r="AR36" s="142"/>
      <c r="AS36" s="143"/>
    </row>
    <row r="37">
      <c r="A37" s="94"/>
      <c r="B37" s="69" t="s">
        <v>238</v>
      </c>
      <c r="C37" s="70">
        <v>43433.0</v>
      </c>
      <c r="D37" s="71" t="s">
        <v>280</v>
      </c>
      <c r="E37" s="72">
        <v>43572.0</v>
      </c>
      <c r="F37" s="73" t="s">
        <v>258</v>
      </c>
      <c r="G37" s="72">
        <v>43579.0</v>
      </c>
      <c r="H37" s="73" t="s">
        <v>282</v>
      </c>
      <c r="I37" s="132" t="s">
        <v>619</v>
      </c>
      <c r="J37" s="98" t="s">
        <v>114</v>
      </c>
      <c r="K37" s="129" t="s">
        <v>286</v>
      </c>
      <c r="L37" s="79" t="s">
        <v>620</v>
      </c>
      <c r="M37" s="81" t="s">
        <v>393</v>
      </c>
      <c r="N37" s="82" t="s">
        <v>437</v>
      </c>
      <c r="O37" s="81"/>
      <c r="P37" s="81" t="s">
        <v>324</v>
      </c>
      <c r="Q37" s="81" t="s">
        <v>315</v>
      </c>
      <c r="R37" s="81" t="s">
        <v>324</v>
      </c>
      <c r="S37" s="85"/>
      <c r="T37" s="81" t="s">
        <v>324</v>
      </c>
      <c r="U37" s="81" t="s">
        <v>324</v>
      </c>
      <c r="V37" s="81" t="s">
        <v>315</v>
      </c>
      <c r="W37" s="81" t="s">
        <v>282</v>
      </c>
      <c r="X37" s="81" t="s">
        <v>282</v>
      </c>
      <c r="Y37" s="81" t="s">
        <v>282</v>
      </c>
      <c r="Z37" s="81" t="s">
        <v>282</v>
      </c>
      <c r="AA37" s="81" t="s">
        <v>282</v>
      </c>
      <c r="AB37" s="85"/>
      <c r="AC37" s="81" t="s">
        <v>324</v>
      </c>
      <c r="AD37" s="82" t="s">
        <v>437</v>
      </c>
      <c r="AE37" s="81" t="s">
        <v>315</v>
      </c>
      <c r="AF37" s="81" t="s">
        <v>315</v>
      </c>
      <c r="AG37" s="81" t="s">
        <v>315</v>
      </c>
      <c r="AH37" s="85"/>
      <c r="AI37" s="133" t="s">
        <v>621</v>
      </c>
      <c r="AJ37" s="136" t="s">
        <v>324</v>
      </c>
      <c r="AK37" s="184"/>
      <c r="AL37" s="136" t="s">
        <v>282</v>
      </c>
      <c r="AM37" s="81" t="s">
        <v>324</v>
      </c>
      <c r="AN37" s="81" t="s">
        <v>324</v>
      </c>
      <c r="AO37" s="81" t="s">
        <v>324</v>
      </c>
      <c r="AP37" s="81" t="s">
        <v>324</v>
      </c>
      <c r="AQ37" s="184"/>
      <c r="AR37" s="131" t="s">
        <v>435</v>
      </c>
      <c r="AS37" s="67"/>
    </row>
    <row r="38">
      <c r="A38" s="94"/>
      <c r="B38" s="69"/>
      <c r="C38" s="70"/>
      <c r="D38" s="71"/>
      <c r="E38" s="96"/>
      <c r="F38" s="96"/>
      <c r="G38" s="96"/>
      <c r="H38" s="96"/>
      <c r="I38" s="132"/>
      <c r="J38" s="98"/>
      <c r="K38" s="100"/>
      <c r="L38" s="79"/>
      <c r="M38" s="81"/>
      <c r="N38" s="81"/>
      <c r="O38" s="81"/>
      <c r="P38" s="81"/>
      <c r="Q38" s="81"/>
      <c r="R38" s="81"/>
      <c r="S38" s="85"/>
      <c r="T38" s="81"/>
      <c r="U38" s="81"/>
      <c r="V38" s="81"/>
      <c r="W38" s="81"/>
      <c r="X38" s="81"/>
      <c r="Y38" s="81"/>
      <c r="Z38" s="81"/>
      <c r="AA38" s="81"/>
      <c r="AB38" s="85"/>
      <c r="AC38" s="81"/>
      <c r="AD38" s="81"/>
      <c r="AE38" s="81"/>
      <c r="AF38" s="81"/>
      <c r="AG38" s="81"/>
      <c r="AH38" s="85"/>
      <c r="AI38" s="136" t="s">
        <v>524</v>
      </c>
      <c r="AJ38" s="81"/>
      <c r="AK38" s="85"/>
      <c r="AL38" s="81"/>
      <c r="AM38" s="81"/>
      <c r="AN38" s="81"/>
      <c r="AO38" s="81"/>
      <c r="AP38" s="81"/>
      <c r="AQ38" s="85"/>
      <c r="AR38" s="131"/>
      <c r="AS38" s="67"/>
    </row>
    <row r="39">
      <c r="A39" s="166"/>
      <c r="B39" s="167"/>
      <c r="C39" s="168"/>
      <c r="D39" s="169"/>
      <c r="E39" s="170"/>
      <c r="F39" s="170"/>
      <c r="G39" s="170"/>
      <c r="H39" s="170"/>
      <c r="I39" s="171"/>
      <c r="J39" s="172"/>
      <c r="K39" s="173"/>
      <c r="L39" s="127"/>
      <c r="M39" s="114" t="s">
        <v>393</v>
      </c>
      <c r="N39" s="122" t="s">
        <v>437</v>
      </c>
      <c r="P39" s="114"/>
      <c r="Q39" s="114" t="s">
        <v>315</v>
      </c>
      <c r="R39" s="114"/>
      <c r="S39" s="118"/>
      <c r="T39" s="114" t="s">
        <v>324</v>
      </c>
      <c r="U39" s="114" t="s">
        <v>324</v>
      </c>
      <c r="V39" s="114" t="s">
        <v>324</v>
      </c>
      <c r="W39" s="114" t="s">
        <v>324</v>
      </c>
      <c r="X39" s="114" t="s">
        <v>324</v>
      </c>
      <c r="Y39" s="114" t="s">
        <v>324</v>
      </c>
      <c r="Z39" s="114" t="s">
        <v>324</v>
      </c>
      <c r="AA39" s="114" t="s">
        <v>324</v>
      </c>
      <c r="AB39" s="118"/>
      <c r="AC39" s="114"/>
      <c r="AD39" s="122" t="s">
        <v>437</v>
      </c>
      <c r="AE39" s="114" t="s">
        <v>315</v>
      </c>
      <c r="AF39" s="114" t="s">
        <v>315</v>
      </c>
      <c r="AG39" s="114" t="s">
        <v>315</v>
      </c>
      <c r="AH39" s="118"/>
      <c r="AI39" s="185" t="s">
        <v>524</v>
      </c>
      <c r="AJ39" s="185" t="s">
        <v>324</v>
      </c>
      <c r="AK39" s="114" t="s">
        <v>324</v>
      </c>
      <c r="AL39" s="185" t="s">
        <v>282</v>
      </c>
      <c r="AM39" s="114"/>
      <c r="AN39" s="114"/>
      <c r="AO39" s="114"/>
      <c r="AP39" s="114"/>
      <c r="AQ39" s="118"/>
      <c r="AR39" s="142"/>
      <c r="AS39" s="143"/>
    </row>
    <row r="40">
      <c r="A40" s="94"/>
      <c r="B40" s="69" t="s">
        <v>238</v>
      </c>
      <c r="C40" s="70">
        <v>43433.0</v>
      </c>
      <c r="D40" s="71" t="s">
        <v>626</v>
      </c>
      <c r="E40" s="186">
        <v>43569.0</v>
      </c>
      <c r="F40" s="73" t="s">
        <v>258</v>
      </c>
      <c r="G40" s="72">
        <v>43579.0</v>
      </c>
      <c r="H40" s="73" t="s">
        <v>282</v>
      </c>
      <c r="I40" s="132" t="s">
        <v>627</v>
      </c>
      <c r="J40" s="98" t="s">
        <v>115</v>
      </c>
      <c r="K40" s="129" t="s">
        <v>286</v>
      </c>
      <c r="L40" s="79" t="s">
        <v>628</v>
      </c>
      <c r="M40" s="81" t="s">
        <v>315</v>
      </c>
      <c r="N40" s="82" t="s">
        <v>629</v>
      </c>
      <c r="P40" s="82" t="s">
        <v>629</v>
      </c>
      <c r="Q40" s="81" t="s">
        <v>315</v>
      </c>
      <c r="R40" s="81" t="s">
        <v>324</v>
      </c>
      <c r="S40" s="85"/>
      <c r="T40" s="81" t="s">
        <v>324</v>
      </c>
      <c r="U40" s="81" t="s">
        <v>324</v>
      </c>
      <c r="V40" s="81" t="s">
        <v>324</v>
      </c>
      <c r="W40" s="81" t="s">
        <v>324</v>
      </c>
      <c r="X40" s="81" t="s">
        <v>324</v>
      </c>
      <c r="Y40" s="81" t="s">
        <v>324</v>
      </c>
      <c r="Z40" s="81" t="s">
        <v>324</v>
      </c>
      <c r="AA40" s="81" t="s">
        <v>324</v>
      </c>
      <c r="AB40" s="85"/>
      <c r="AC40" s="81" t="s">
        <v>324</v>
      </c>
      <c r="AD40" s="81" t="s">
        <v>324</v>
      </c>
      <c r="AE40" s="81" t="s">
        <v>315</v>
      </c>
      <c r="AF40" s="81" t="s">
        <v>315</v>
      </c>
      <c r="AG40" s="81" t="s">
        <v>315</v>
      </c>
      <c r="AH40" s="85"/>
      <c r="AI40" s="187"/>
      <c r="AJ40" s="81" t="s">
        <v>324</v>
      </c>
      <c r="AK40" s="85"/>
      <c r="AL40" s="85"/>
      <c r="AM40" s="81" t="s">
        <v>324</v>
      </c>
      <c r="AN40" s="81" t="s">
        <v>324</v>
      </c>
      <c r="AO40" s="81" t="s">
        <v>324</v>
      </c>
      <c r="AP40" s="81" t="s">
        <v>324</v>
      </c>
      <c r="AQ40" s="81" t="s">
        <v>632</v>
      </c>
      <c r="AR40" s="131" t="s">
        <v>435</v>
      </c>
      <c r="AS40" s="67"/>
    </row>
    <row r="41">
      <c r="A41" s="94"/>
      <c r="B41" s="69"/>
      <c r="C41" s="70"/>
      <c r="D41" s="71"/>
      <c r="E41" s="96"/>
      <c r="F41" s="96"/>
      <c r="G41" s="96"/>
      <c r="H41" s="96"/>
      <c r="I41" s="132"/>
      <c r="J41" s="98"/>
      <c r="K41" s="100"/>
      <c r="L41" s="79"/>
      <c r="M41" s="81" t="s">
        <v>633</v>
      </c>
      <c r="N41" s="82" t="s">
        <v>440</v>
      </c>
      <c r="O41" s="81"/>
      <c r="P41" s="81" t="s">
        <v>635</v>
      </c>
      <c r="Q41" s="81" t="s">
        <v>635</v>
      </c>
      <c r="R41" s="81"/>
      <c r="S41" s="85"/>
      <c r="T41" s="81"/>
      <c r="U41" s="81"/>
      <c r="V41" s="81"/>
      <c r="W41" s="81"/>
      <c r="X41" s="81"/>
      <c r="Y41" s="81"/>
      <c r="Z41" s="81"/>
      <c r="AA41" s="81" t="s">
        <v>636</v>
      </c>
      <c r="AB41" s="85"/>
      <c r="AC41" s="81"/>
      <c r="AD41" s="81"/>
      <c r="AE41" s="81"/>
      <c r="AF41" s="81"/>
      <c r="AG41" s="81"/>
      <c r="AH41" s="81"/>
      <c r="AI41" s="81" t="s">
        <v>315</v>
      </c>
      <c r="AJ41" s="81"/>
      <c r="AK41" s="81" t="s">
        <v>637</v>
      </c>
      <c r="AL41" s="81" t="s">
        <v>315</v>
      </c>
      <c r="AM41" s="81"/>
      <c r="AN41" s="81"/>
      <c r="AO41" s="81"/>
      <c r="AP41" s="81"/>
      <c r="AQ41" s="81"/>
      <c r="AR41" s="131" t="s">
        <v>639</v>
      </c>
      <c r="AS41" s="25" t="s">
        <v>640</v>
      </c>
    </row>
    <row r="42">
      <c r="A42" s="166"/>
      <c r="B42" s="167"/>
      <c r="C42" s="168"/>
      <c r="D42" s="169"/>
      <c r="E42" s="170"/>
      <c r="F42" s="170"/>
      <c r="G42" s="170"/>
      <c r="H42" s="170"/>
      <c r="I42" s="171"/>
      <c r="J42" s="172"/>
      <c r="K42" s="173"/>
      <c r="L42" s="127" t="s">
        <v>299</v>
      </c>
      <c r="M42" s="114" t="s">
        <v>393</v>
      </c>
      <c r="N42" s="122" t="s">
        <v>440</v>
      </c>
      <c r="O42" s="114"/>
      <c r="P42" s="114"/>
      <c r="Q42" s="114" t="s">
        <v>315</v>
      </c>
      <c r="R42" s="114"/>
      <c r="S42" s="118"/>
      <c r="T42" s="114" t="s">
        <v>324</v>
      </c>
      <c r="U42" s="114" t="s">
        <v>324</v>
      </c>
      <c r="V42" s="114" t="s">
        <v>324</v>
      </c>
      <c r="W42" s="114" t="s">
        <v>324</v>
      </c>
      <c r="X42" s="114" t="s">
        <v>324</v>
      </c>
      <c r="Y42" s="114" t="s">
        <v>324</v>
      </c>
      <c r="Z42" s="114" t="s">
        <v>324</v>
      </c>
      <c r="AA42" s="114" t="s">
        <v>324</v>
      </c>
      <c r="AB42" s="118"/>
      <c r="AC42" s="114"/>
      <c r="AD42" s="114"/>
      <c r="AE42" s="114" t="s">
        <v>315</v>
      </c>
      <c r="AF42" s="114" t="s">
        <v>315</v>
      </c>
      <c r="AG42" s="114" t="s">
        <v>315</v>
      </c>
      <c r="AH42" s="114"/>
      <c r="AI42" s="114" t="s">
        <v>315</v>
      </c>
      <c r="AJ42" s="114"/>
      <c r="AK42" s="114" t="s">
        <v>315</v>
      </c>
      <c r="AL42" s="114" t="s">
        <v>315</v>
      </c>
      <c r="AM42" s="114"/>
      <c r="AN42" s="114"/>
      <c r="AO42" s="114"/>
      <c r="AP42" s="114"/>
      <c r="AQ42" s="114" t="s">
        <v>642</v>
      </c>
      <c r="AR42" s="142"/>
      <c r="AS42" s="176"/>
    </row>
    <row r="43">
      <c r="A43" s="94"/>
      <c r="B43" s="69" t="s">
        <v>238</v>
      </c>
      <c r="C43" s="70">
        <v>43434.0</v>
      </c>
      <c r="D43" s="71" t="s">
        <v>626</v>
      </c>
      <c r="E43" s="186">
        <v>43569.0</v>
      </c>
      <c r="F43" s="73" t="s">
        <v>258</v>
      </c>
      <c r="G43" s="72">
        <v>43579.0</v>
      </c>
      <c r="H43" s="73" t="s">
        <v>282</v>
      </c>
      <c r="I43" s="132" t="s">
        <v>643</v>
      </c>
      <c r="J43" s="98" t="s">
        <v>116</v>
      </c>
      <c r="K43" s="129" t="s">
        <v>286</v>
      </c>
      <c r="L43" s="79" t="s">
        <v>300</v>
      </c>
      <c r="M43" s="81" t="s">
        <v>393</v>
      </c>
      <c r="N43" s="82" t="s">
        <v>644</v>
      </c>
      <c r="P43" s="82" t="s">
        <v>646</v>
      </c>
      <c r="Q43" s="81" t="s">
        <v>315</v>
      </c>
      <c r="R43" s="81" t="s">
        <v>324</v>
      </c>
      <c r="S43" s="85"/>
      <c r="T43" s="81" t="s">
        <v>324</v>
      </c>
      <c r="U43" s="81" t="s">
        <v>324</v>
      </c>
      <c r="V43" s="81" t="s">
        <v>324</v>
      </c>
      <c r="W43" s="81" t="s">
        <v>324</v>
      </c>
      <c r="X43" s="81" t="s">
        <v>324</v>
      </c>
      <c r="Y43" s="81" t="s">
        <v>324</v>
      </c>
      <c r="Z43" s="81" t="s">
        <v>324</v>
      </c>
      <c r="AA43" s="81" t="s">
        <v>324</v>
      </c>
      <c r="AB43" s="85"/>
      <c r="AC43" s="81" t="s">
        <v>648</v>
      </c>
      <c r="AD43" s="82" t="s">
        <v>646</v>
      </c>
      <c r="AE43" s="81" t="s">
        <v>369</v>
      </c>
      <c r="AF43" s="81" t="s">
        <v>315</v>
      </c>
      <c r="AG43" s="81" t="s">
        <v>315</v>
      </c>
      <c r="AH43" s="82" t="s">
        <v>649</v>
      </c>
      <c r="AI43" s="81" t="s">
        <v>651</v>
      </c>
      <c r="AJ43" s="110" t="s">
        <v>652</v>
      </c>
      <c r="AK43" s="81" t="s">
        <v>366</v>
      </c>
      <c r="AL43" s="81" t="s">
        <v>369</v>
      </c>
      <c r="AM43" s="81" t="s">
        <v>324</v>
      </c>
      <c r="AN43" s="81" t="s">
        <v>324</v>
      </c>
      <c r="AO43" s="81" t="s">
        <v>324</v>
      </c>
      <c r="AP43" s="81" t="s">
        <v>324</v>
      </c>
      <c r="AQ43" s="85"/>
      <c r="AR43" s="131" t="s">
        <v>435</v>
      </c>
      <c r="AS43" s="67"/>
    </row>
    <row r="44">
      <c r="A44" s="94"/>
      <c r="B44" s="69"/>
      <c r="C44" s="70"/>
      <c r="D44" s="71"/>
      <c r="E44" s="96"/>
      <c r="F44" s="96"/>
      <c r="G44" s="96"/>
      <c r="H44" s="96"/>
      <c r="I44" s="132"/>
      <c r="J44" s="98"/>
      <c r="K44" s="100"/>
      <c r="L44" s="79"/>
      <c r="M44" s="81"/>
      <c r="N44" s="82" t="s">
        <v>444</v>
      </c>
      <c r="O44" s="81"/>
      <c r="P44" s="20" t="s">
        <v>654</v>
      </c>
      <c r="Q44" s="81" t="s">
        <v>656</v>
      </c>
      <c r="R44" s="81"/>
      <c r="S44" s="85"/>
      <c r="T44" s="81"/>
      <c r="U44" s="81"/>
      <c r="V44" s="81"/>
      <c r="W44" s="81"/>
      <c r="X44" s="81"/>
      <c r="Y44" s="81"/>
      <c r="Z44" s="81"/>
      <c r="AA44" s="81"/>
      <c r="AB44" s="85"/>
      <c r="AC44" s="81"/>
      <c r="AD44" s="81"/>
      <c r="AE44" s="81"/>
      <c r="AF44" s="81"/>
      <c r="AG44" s="81"/>
      <c r="AH44" s="20" t="s">
        <v>657</v>
      </c>
      <c r="AI44" s="81" t="s">
        <v>443</v>
      </c>
      <c r="AJ44" s="110" t="s">
        <v>659</v>
      </c>
      <c r="AK44" s="81" t="s">
        <v>324</v>
      </c>
      <c r="AL44" s="81" t="s">
        <v>315</v>
      </c>
      <c r="AM44" s="81"/>
      <c r="AN44" s="81"/>
      <c r="AO44" s="81"/>
      <c r="AP44" s="81"/>
      <c r="AQ44" s="85"/>
      <c r="AR44" s="131" t="s">
        <v>660</v>
      </c>
      <c r="AS44" s="25" t="s">
        <v>661</v>
      </c>
    </row>
    <row r="45">
      <c r="A45" s="166"/>
      <c r="B45" s="167"/>
      <c r="C45" s="168"/>
      <c r="D45" s="169"/>
      <c r="E45" s="170"/>
      <c r="F45" s="170"/>
      <c r="G45" s="170"/>
      <c r="H45" s="170"/>
      <c r="I45" s="171"/>
      <c r="J45" s="172"/>
      <c r="K45" s="173"/>
      <c r="L45" s="127" t="s">
        <v>300</v>
      </c>
      <c r="M45" s="114" t="s">
        <v>393</v>
      </c>
      <c r="N45" s="188" t="s">
        <v>444</v>
      </c>
      <c r="O45" s="114"/>
      <c r="P45" s="174" t="s">
        <v>654</v>
      </c>
      <c r="Q45" s="114" t="s">
        <v>369</v>
      </c>
      <c r="R45" s="114"/>
      <c r="S45" s="118"/>
      <c r="T45" s="114" t="s">
        <v>324</v>
      </c>
      <c r="U45" s="114" t="s">
        <v>324</v>
      </c>
      <c r="V45" s="114" t="s">
        <v>324</v>
      </c>
      <c r="W45" s="114" t="s">
        <v>324</v>
      </c>
      <c r="X45" s="114" t="s">
        <v>324</v>
      </c>
      <c r="Y45" s="114" t="s">
        <v>324</v>
      </c>
      <c r="Z45" s="114" t="s">
        <v>324</v>
      </c>
      <c r="AA45" s="114" t="s">
        <v>324</v>
      </c>
      <c r="AB45" s="118"/>
      <c r="AC45" s="114" t="s">
        <v>648</v>
      </c>
      <c r="AD45" s="122" t="s">
        <v>646</v>
      </c>
      <c r="AE45" s="114" t="s">
        <v>369</v>
      </c>
      <c r="AF45" s="114" t="s">
        <v>315</v>
      </c>
      <c r="AG45" s="114" t="s">
        <v>315</v>
      </c>
      <c r="AH45" s="174" t="s">
        <v>657</v>
      </c>
      <c r="AI45" s="114" t="s">
        <v>443</v>
      </c>
      <c r="AJ45" s="125" t="s">
        <v>659</v>
      </c>
      <c r="AK45" s="114" t="s">
        <v>366</v>
      </c>
      <c r="AL45" s="114" t="s">
        <v>315</v>
      </c>
      <c r="AM45" s="114"/>
      <c r="AN45" s="114"/>
      <c r="AO45" s="114"/>
      <c r="AP45" s="114"/>
      <c r="AQ45" s="114" t="s">
        <v>666</v>
      </c>
      <c r="AR45" s="142"/>
      <c r="AS45" s="176"/>
    </row>
    <row r="46">
      <c r="A46" s="94"/>
      <c r="B46" s="69" t="s">
        <v>238</v>
      </c>
      <c r="C46" s="70">
        <v>43434.0</v>
      </c>
      <c r="D46" s="71" t="s">
        <v>626</v>
      </c>
      <c r="E46" s="186">
        <v>43569.0</v>
      </c>
      <c r="F46" s="73" t="s">
        <v>258</v>
      </c>
      <c r="G46" s="72">
        <v>43579.0</v>
      </c>
      <c r="H46" s="73" t="s">
        <v>282</v>
      </c>
      <c r="I46" s="132" t="s">
        <v>667</v>
      </c>
      <c r="J46" s="98" t="s">
        <v>117</v>
      </c>
      <c r="K46" s="129" t="s">
        <v>455</v>
      </c>
      <c r="L46" s="79" t="s">
        <v>296</v>
      </c>
      <c r="M46" s="81" t="s">
        <v>539</v>
      </c>
      <c r="N46" s="82" t="s">
        <v>668</v>
      </c>
      <c r="P46" s="81" t="s">
        <v>324</v>
      </c>
      <c r="Q46" s="81" t="s">
        <v>315</v>
      </c>
      <c r="R46" s="81" t="s">
        <v>324</v>
      </c>
      <c r="S46" s="85"/>
      <c r="T46" s="81" t="s">
        <v>324</v>
      </c>
      <c r="U46" s="81" t="s">
        <v>324</v>
      </c>
      <c r="V46" s="81" t="s">
        <v>324</v>
      </c>
      <c r="W46" s="81" t="s">
        <v>324</v>
      </c>
      <c r="X46" s="81" t="s">
        <v>324</v>
      </c>
      <c r="Y46" s="81" t="s">
        <v>324</v>
      </c>
      <c r="Z46" s="81" t="s">
        <v>324</v>
      </c>
      <c r="AA46" s="81" t="s">
        <v>324</v>
      </c>
      <c r="AB46" s="85"/>
      <c r="AC46" s="81" t="s">
        <v>324</v>
      </c>
      <c r="AD46" s="81" t="s">
        <v>324</v>
      </c>
      <c r="AE46" s="81" t="s">
        <v>324</v>
      </c>
      <c r="AF46" s="81" t="s">
        <v>324</v>
      </c>
      <c r="AG46" s="81" t="s">
        <v>324</v>
      </c>
      <c r="AH46" s="82" t="s">
        <v>671</v>
      </c>
      <c r="AI46" s="189" t="s">
        <v>673</v>
      </c>
      <c r="AJ46" s="190" t="s">
        <v>324</v>
      </c>
      <c r="AK46" s="189" t="s">
        <v>675</v>
      </c>
      <c r="AL46" s="191" t="s">
        <v>676</v>
      </c>
      <c r="AM46" s="189" t="s">
        <v>678</v>
      </c>
      <c r="AN46" s="81" t="s">
        <v>679</v>
      </c>
      <c r="AO46" s="81" t="s">
        <v>324</v>
      </c>
      <c r="AP46" s="81" t="s">
        <v>324</v>
      </c>
      <c r="AQ46" s="81" t="s">
        <v>680</v>
      </c>
      <c r="AR46" s="131" t="s">
        <v>435</v>
      </c>
      <c r="AS46" s="67"/>
    </row>
    <row r="47">
      <c r="A47" s="94"/>
      <c r="B47" s="69"/>
      <c r="C47" s="70"/>
      <c r="D47" s="71"/>
      <c r="E47" s="96"/>
      <c r="F47" s="96"/>
      <c r="G47" s="96"/>
      <c r="H47" s="96"/>
      <c r="I47" s="132"/>
      <c r="J47" s="98"/>
      <c r="K47" s="100"/>
      <c r="L47" s="79"/>
      <c r="M47" s="81" t="s">
        <v>291</v>
      </c>
      <c r="N47" s="20" t="s">
        <v>681</v>
      </c>
      <c r="O47" s="81"/>
      <c r="P47" s="20" t="s">
        <v>683</v>
      </c>
      <c r="Q47" s="81"/>
      <c r="R47" s="81"/>
      <c r="S47" s="85"/>
      <c r="T47" s="81"/>
      <c r="U47" s="81"/>
      <c r="V47" s="81"/>
      <c r="W47" s="81"/>
      <c r="X47" s="81"/>
      <c r="Y47" s="81"/>
      <c r="Z47" s="81"/>
      <c r="AA47" s="81"/>
      <c r="AB47" s="85"/>
      <c r="AC47" s="81"/>
      <c r="AD47" s="81"/>
      <c r="AE47" s="81"/>
      <c r="AF47" s="81"/>
      <c r="AG47" s="81"/>
      <c r="AH47" s="20" t="s">
        <v>668</v>
      </c>
      <c r="AI47" s="81" t="s">
        <v>443</v>
      </c>
      <c r="AJ47" s="190" t="s">
        <v>686</v>
      </c>
      <c r="AK47" s="189" t="s">
        <v>366</v>
      </c>
      <c r="AL47" s="191" t="s">
        <v>315</v>
      </c>
      <c r="AM47" s="189" t="s">
        <v>687</v>
      </c>
      <c r="AN47" s="81" t="s">
        <v>688</v>
      </c>
      <c r="AO47" s="81"/>
      <c r="AP47" s="81"/>
      <c r="AQ47" s="81"/>
      <c r="AR47" s="131" t="s">
        <v>689</v>
      </c>
      <c r="AS47" s="133" t="s">
        <v>690</v>
      </c>
    </row>
    <row r="48">
      <c r="A48" s="166"/>
      <c r="B48" s="167"/>
      <c r="C48" s="168"/>
      <c r="D48" s="169"/>
      <c r="E48" s="170"/>
      <c r="F48" s="170"/>
      <c r="G48" s="170"/>
      <c r="H48" s="170"/>
      <c r="I48" s="171"/>
      <c r="J48" s="172"/>
      <c r="K48" s="173"/>
      <c r="L48" s="127" t="s">
        <v>296</v>
      </c>
      <c r="M48" s="114" t="s">
        <v>291</v>
      </c>
      <c r="N48" s="134" t="s">
        <v>448</v>
      </c>
      <c r="O48" s="114"/>
      <c r="P48" s="134"/>
      <c r="Q48" s="114" t="s">
        <v>315</v>
      </c>
      <c r="R48" s="114"/>
      <c r="S48" s="118"/>
      <c r="T48" s="114" t="s">
        <v>324</v>
      </c>
      <c r="U48" s="114" t="s">
        <v>324</v>
      </c>
      <c r="V48" s="114" t="s">
        <v>324</v>
      </c>
      <c r="W48" s="114" t="s">
        <v>324</v>
      </c>
      <c r="X48" s="114" t="s">
        <v>324</v>
      </c>
      <c r="Y48" s="114" t="s">
        <v>324</v>
      </c>
      <c r="Z48" s="114" t="s">
        <v>324</v>
      </c>
      <c r="AA48" s="114" t="s">
        <v>324</v>
      </c>
      <c r="AB48" s="118"/>
      <c r="AC48" s="114"/>
      <c r="AD48" s="114"/>
      <c r="AE48" s="114" t="s">
        <v>315</v>
      </c>
      <c r="AF48" s="114" t="s">
        <v>315</v>
      </c>
      <c r="AG48" s="114" t="s">
        <v>315</v>
      </c>
      <c r="AH48" s="174" t="s">
        <v>668</v>
      </c>
      <c r="AI48" s="114" t="s">
        <v>443</v>
      </c>
      <c r="AJ48" s="192" t="s">
        <v>686</v>
      </c>
      <c r="AK48" s="193" t="s">
        <v>366</v>
      </c>
      <c r="AL48" s="194" t="s">
        <v>315</v>
      </c>
      <c r="AM48" s="193" t="s">
        <v>687</v>
      </c>
      <c r="AN48" s="114"/>
      <c r="AO48" s="114"/>
      <c r="AP48" s="114"/>
      <c r="AQ48" s="114" t="s">
        <v>680</v>
      </c>
      <c r="AR48" s="142"/>
      <c r="AS48" s="135"/>
    </row>
    <row r="49">
      <c r="A49" s="94"/>
      <c r="B49" s="69" t="s">
        <v>238</v>
      </c>
      <c r="C49" s="70">
        <v>43434.0</v>
      </c>
      <c r="D49" s="71" t="s">
        <v>626</v>
      </c>
      <c r="E49" s="186">
        <v>43569.0</v>
      </c>
      <c r="F49" s="73" t="s">
        <v>258</v>
      </c>
      <c r="G49" s="72">
        <v>43580.0</v>
      </c>
      <c r="H49" s="73" t="s">
        <v>282</v>
      </c>
      <c r="I49" s="132" t="s">
        <v>694</v>
      </c>
      <c r="J49" s="98" t="s">
        <v>118</v>
      </c>
      <c r="K49" s="100"/>
      <c r="L49" s="79" t="s">
        <v>302</v>
      </c>
      <c r="M49" s="81" t="s">
        <v>291</v>
      </c>
      <c r="N49" s="82" t="s">
        <v>449</v>
      </c>
      <c r="P49" s="82" t="s">
        <v>449</v>
      </c>
      <c r="Q49" s="81" t="s">
        <v>315</v>
      </c>
      <c r="R49" s="81" t="s">
        <v>324</v>
      </c>
      <c r="S49" s="85"/>
      <c r="T49" s="81" t="s">
        <v>282</v>
      </c>
      <c r="U49" s="81" t="s">
        <v>315</v>
      </c>
      <c r="V49" s="81" t="s">
        <v>282</v>
      </c>
      <c r="W49" s="81" t="s">
        <v>282</v>
      </c>
      <c r="X49" s="81" t="s">
        <v>282</v>
      </c>
      <c r="Y49" s="81" t="s">
        <v>327</v>
      </c>
      <c r="Z49" s="81" t="s">
        <v>282</v>
      </c>
      <c r="AA49" s="81" t="s">
        <v>282</v>
      </c>
      <c r="AB49" s="85"/>
      <c r="AC49" s="195" t="s">
        <v>696</v>
      </c>
      <c r="AD49" s="82" t="s">
        <v>449</v>
      </c>
      <c r="AE49" s="81" t="s">
        <v>282</v>
      </c>
      <c r="AF49" s="81" t="s">
        <v>282</v>
      </c>
      <c r="AG49" s="81" t="s">
        <v>282</v>
      </c>
      <c r="AH49" s="82" t="s">
        <v>449</v>
      </c>
      <c r="AI49" s="81" t="s">
        <v>524</v>
      </c>
      <c r="AJ49" s="189" t="s">
        <v>324</v>
      </c>
      <c r="AK49" s="81" t="s">
        <v>366</v>
      </c>
      <c r="AL49" s="81" t="s">
        <v>282</v>
      </c>
      <c r="AM49" s="81" t="s">
        <v>324</v>
      </c>
      <c r="AN49" s="81" t="s">
        <v>523</v>
      </c>
      <c r="AO49" s="81" t="s">
        <v>324</v>
      </c>
      <c r="AP49" s="81" t="s">
        <v>324</v>
      </c>
      <c r="AQ49" s="81" t="s">
        <v>698</v>
      </c>
      <c r="AR49" s="131" t="s">
        <v>435</v>
      </c>
      <c r="AS49" s="67"/>
    </row>
    <row r="50">
      <c r="A50" s="94"/>
      <c r="B50" s="69"/>
      <c r="C50" s="70"/>
      <c r="D50" s="71"/>
      <c r="E50" s="96"/>
      <c r="F50" s="96"/>
      <c r="G50" s="96"/>
      <c r="H50" s="96"/>
      <c r="I50" s="132"/>
      <c r="J50" s="98"/>
      <c r="K50" s="100"/>
      <c r="L50" s="79"/>
      <c r="M50" s="81"/>
      <c r="N50" s="81"/>
      <c r="O50" s="81"/>
      <c r="P50" s="81"/>
      <c r="Q50" s="81"/>
      <c r="R50" s="81"/>
      <c r="S50" s="85"/>
      <c r="T50" s="81"/>
      <c r="U50" s="81" t="s">
        <v>324</v>
      </c>
      <c r="V50" s="81"/>
      <c r="W50" s="81"/>
      <c r="X50" s="81"/>
      <c r="Y50" s="81"/>
      <c r="Z50" s="81"/>
      <c r="AA50" s="81"/>
      <c r="AB50" s="85"/>
      <c r="AC50" s="195"/>
      <c r="AD50" s="81"/>
      <c r="AE50" s="81"/>
      <c r="AF50" s="81"/>
      <c r="AG50" s="81"/>
      <c r="AH50" s="81"/>
      <c r="AI50" s="81"/>
      <c r="AJ50" s="189"/>
      <c r="AK50" s="81" t="s">
        <v>700</v>
      </c>
      <c r="AL50" s="81" t="s">
        <v>315</v>
      </c>
      <c r="AM50" s="81" t="s">
        <v>702</v>
      </c>
      <c r="AN50" s="81"/>
      <c r="AO50" s="81"/>
      <c r="AP50" s="81"/>
      <c r="AQ50" s="81"/>
      <c r="AR50" s="131" t="s">
        <v>703</v>
      </c>
      <c r="AS50" s="25" t="s">
        <v>704</v>
      </c>
    </row>
    <row r="51">
      <c r="A51" s="166"/>
      <c r="B51" s="167"/>
      <c r="C51" s="168"/>
      <c r="D51" s="169"/>
      <c r="E51" s="170"/>
      <c r="F51" s="170"/>
      <c r="G51" s="170"/>
      <c r="H51" s="170"/>
      <c r="I51" s="171"/>
      <c r="J51" s="172"/>
      <c r="K51" s="173"/>
      <c r="L51" s="127" t="s">
        <v>302</v>
      </c>
      <c r="M51" s="114" t="s">
        <v>291</v>
      </c>
      <c r="N51" s="122" t="s">
        <v>449</v>
      </c>
      <c r="P51" s="122" t="s">
        <v>449</v>
      </c>
      <c r="Q51" s="114" t="s">
        <v>315</v>
      </c>
      <c r="R51" s="114"/>
      <c r="S51" s="118"/>
      <c r="T51" s="114" t="s">
        <v>324</v>
      </c>
      <c r="U51" s="114" t="s">
        <v>324</v>
      </c>
      <c r="V51" s="114" t="s">
        <v>324</v>
      </c>
      <c r="W51" s="114" t="s">
        <v>324</v>
      </c>
      <c r="X51" s="114" t="s">
        <v>324</v>
      </c>
      <c r="Y51" s="114" t="s">
        <v>327</v>
      </c>
      <c r="Z51" s="114" t="s">
        <v>324</v>
      </c>
      <c r="AA51" s="114" t="s">
        <v>324</v>
      </c>
      <c r="AB51" s="118"/>
      <c r="AC51" s="196" t="s">
        <v>696</v>
      </c>
      <c r="AD51" s="122" t="s">
        <v>449</v>
      </c>
      <c r="AE51" s="114" t="s">
        <v>282</v>
      </c>
      <c r="AF51" s="114" t="s">
        <v>282</v>
      </c>
      <c r="AG51" s="114" t="s">
        <v>282</v>
      </c>
      <c r="AH51" s="122" t="s">
        <v>449</v>
      </c>
      <c r="AI51" s="114" t="s">
        <v>524</v>
      </c>
      <c r="AJ51" s="193"/>
      <c r="AK51" s="135" t="s">
        <v>706</v>
      </c>
      <c r="AL51" s="114" t="s">
        <v>315</v>
      </c>
      <c r="AM51" s="114"/>
      <c r="AN51" s="114"/>
      <c r="AO51" s="114"/>
      <c r="AP51" s="114"/>
      <c r="AQ51" s="135" t="s">
        <v>707</v>
      </c>
      <c r="AR51" s="142"/>
      <c r="AS51" s="176"/>
    </row>
    <row r="52">
      <c r="A52" s="94"/>
      <c r="B52" s="69" t="s">
        <v>238</v>
      </c>
      <c r="C52" s="70">
        <v>43434.0</v>
      </c>
      <c r="D52" s="71" t="s">
        <v>280</v>
      </c>
      <c r="E52" s="72">
        <v>43566.0</v>
      </c>
      <c r="F52" s="73" t="s">
        <v>258</v>
      </c>
      <c r="G52" s="72">
        <v>43580.0</v>
      </c>
      <c r="H52" s="73" t="s">
        <v>282</v>
      </c>
      <c r="I52" s="132" t="s">
        <v>708</v>
      </c>
      <c r="J52" s="98" t="s">
        <v>119</v>
      </c>
      <c r="K52" s="100"/>
      <c r="L52" s="79" t="s">
        <v>303</v>
      </c>
      <c r="M52" s="81" t="s">
        <v>315</v>
      </c>
      <c r="N52" s="82" t="s">
        <v>450</v>
      </c>
      <c r="O52" s="81"/>
      <c r="P52" s="85"/>
      <c r="Q52" s="81" t="s">
        <v>315</v>
      </c>
      <c r="R52" s="81" t="s">
        <v>324</v>
      </c>
      <c r="S52" s="85"/>
      <c r="T52" s="81" t="s">
        <v>324</v>
      </c>
      <c r="U52" s="81" t="s">
        <v>324</v>
      </c>
      <c r="V52" s="81" t="s">
        <v>324</v>
      </c>
      <c r="W52" s="81" t="s">
        <v>324</v>
      </c>
      <c r="X52" s="81" t="s">
        <v>324</v>
      </c>
      <c r="Y52" s="81" t="s">
        <v>324</v>
      </c>
      <c r="Z52" s="81" t="s">
        <v>324</v>
      </c>
      <c r="AA52" s="81" t="s">
        <v>324</v>
      </c>
      <c r="AB52" s="85"/>
      <c r="AC52" s="81" t="s">
        <v>324</v>
      </c>
      <c r="AD52" s="81" t="s">
        <v>324</v>
      </c>
      <c r="AE52" s="81" t="s">
        <v>324</v>
      </c>
      <c r="AF52" s="81" t="s">
        <v>324</v>
      </c>
      <c r="AG52" s="81" t="s">
        <v>324</v>
      </c>
      <c r="AH52" s="102" t="s">
        <v>710</v>
      </c>
      <c r="AI52" s="81" t="s">
        <v>711</v>
      </c>
      <c r="AJ52" s="81" t="s">
        <v>712</v>
      </c>
      <c r="AK52" s="81" t="s">
        <v>713</v>
      </c>
      <c r="AL52" s="81" t="s">
        <v>315</v>
      </c>
      <c r="AM52" s="81" t="s">
        <v>714</v>
      </c>
      <c r="AN52" s="81" t="s">
        <v>715</v>
      </c>
      <c r="AO52" s="81" t="s">
        <v>324</v>
      </c>
      <c r="AP52" s="81" t="s">
        <v>324</v>
      </c>
      <c r="AQ52" s="81" t="s">
        <v>716</v>
      </c>
      <c r="AR52" s="131" t="s">
        <v>435</v>
      </c>
      <c r="AS52" s="25"/>
    </row>
    <row r="53" ht="68.25" customHeight="1">
      <c r="A53" s="94"/>
      <c r="B53" s="69"/>
      <c r="C53" s="70"/>
      <c r="D53" s="71"/>
      <c r="E53" s="72"/>
      <c r="F53" s="72"/>
      <c r="G53" s="72"/>
      <c r="H53" s="72"/>
      <c r="I53" s="132"/>
      <c r="J53" s="98"/>
      <c r="K53" s="100"/>
      <c r="L53" s="79"/>
      <c r="M53" s="81"/>
      <c r="N53" s="81"/>
      <c r="O53" s="81"/>
      <c r="P53" s="85"/>
      <c r="Q53" s="81"/>
      <c r="R53" s="81"/>
      <c r="S53" s="85"/>
      <c r="T53" s="81"/>
      <c r="U53" s="81"/>
      <c r="V53" s="81"/>
      <c r="W53" s="81"/>
      <c r="X53" s="81"/>
      <c r="Y53" s="81"/>
      <c r="Z53" s="81"/>
      <c r="AA53" s="81"/>
      <c r="AB53" s="85"/>
      <c r="AC53" s="81"/>
      <c r="AD53" s="81"/>
      <c r="AE53" s="81"/>
      <c r="AF53" s="81"/>
      <c r="AG53" s="81"/>
      <c r="AH53" s="102"/>
      <c r="AI53" s="81" t="s">
        <v>718</v>
      </c>
      <c r="AJ53" s="81" t="s">
        <v>719</v>
      </c>
      <c r="AK53" s="81" t="s">
        <v>720</v>
      </c>
      <c r="AL53" s="81"/>
      <c r="AM53" s="81"/>
      <c r="AN53" s="81" t="s">
        <v>721</v>
      </c>
      <c r="AO53" s="81"/>
      <c r="AP53" s="81"/>
      <c r="AQ53" s="81"/>
      <c r="AR53" s="131"/>
      <c r="AS53" s="25"/>
    </row>
    <row r="54">
      <c r="A54" s="166"/>
      <c r="B54" s="167"/>
      <c r="C54" s="168"/>
      <c r="D54" s="169"/>
      <c r="E54" s="197"/>
      <c r="F54" s="197"/>
      <c r="G54" s="197"/>
      <c r="H54" s="197"/>
      <c r="I54" s="171"/>
      <c r="J54" s="172"/>
      <c r="K54" s="173"/>
      <c r="L54" s="127" t="s">
        <v>303</v>
      </c>
      <c r="M54" s="114" t="s">
        <v>315</v>
      </c>
      <c r="N54" s="122" t="s">
        <v>450</v>
      </c>
      <c r="O54" s="114"/>
      <c r="P54" s="118"/>
      <c r="Q54" s="114" t="s">
        <v>315</v>
      </c>
      <c r="R54" s="114"/>
      <c r="S54" s="118"/>
      <c r="T54" s="114" t="s">
        <v>324</v>
      </c>
      <c r="U54" s="114" t="s">
        <v>324</v>
      </c>
      <c r="V54" s="114" t="s">
        <v>324</v>
      </c>
      <c r="W54" s="114" t="s">
        <v>324</v>
      </c>
      <c r="X54" s="114" t="s">
        <v>324</v>
      </c>
      <c r="Y54" s="114" t="s">
        <v>324</v>
      </c>
      <c r="Z54" s="114" t="s">
        <v>324</v>
      </c>
      <c r="AA54" s="114" t="s">
        <v>324</v>
      </c>
      <c r="AB54" s="118"/>
      <c r="AC54" s="114"/>
      <c r="AD54" s="114"/>
      <c r="AE54" s="114" t="s">
        <v>315</v>
      </c>
      <c r="AF54" s="114" t="s">
        <v>315</v>
      </c>
      <c r="AG54" s="114" t="s">
        <v>315</v>
      </c>
      <c r="AH54" s="115" t="s">
        <v>710</v>
      </c>
      <c r="AI54" s="135" t="s">
        <v>443</v>
      </c>
      <c r="AJ54" s="135" t="s">
        <v>724</v>
      </c>
      <c r="AK54" s="114" t="s">
        <v>713</v>
      </c>
      <c r="AL54" s="114" t="s">
        <v>315</v>
      </c>
      <c r="AM54" s="114"/>
      <c r="AN54" s="114"/>
      <c r="AO54" s="114"/>
      <c r="AP54" s="114"/>
      <c r="AQ54" s="114" t="s">
        <v>716</v>
      </c>
      <c r="AR54" s="142"/>
      <c r="AS54" s="176"/>
    </row>
    <row r="55">
      <c r="A55" s="94"/>
      <c r="B55" s="69" t="s">
        <v>238</v>
      </c>
      <c r="C55" s="70">
        <v>43437.0</v>
      </c>
      <c r="D55" s="71" t="s">
        <v>280</v>
      </c>
      <c r="E55" s="72">
        <v>43566.0</v>
      </c>
      <c r="F55" s="73" t="s">
        <v>258</v>
      </c>
      <c r="G55" s="72">
        <v>43580.0</v>
      </c>
      <c r="H55" s="73" t="s">
        <v>282</v>
      </c>
      <c r="I55" s="132" t="s">
        <v>725</v>
      </c>
      <c r="J55" s="98" t="s">
        <v>120</v>
      </c>
      <c r="K55" s="100"/>
      <c r="L55" s="79" t="s">
        <v>304</v>
      </c>
      <c r="M55" s="81" t="s">
        <v>291</v>
      </c>
      <c r="N55" s="82" t="s">
        <v>452</v>
      </c>
      <c r="P55" s="82" t="s">
        <v>503</v>
      </c>
      <c r="Q55" s="81" t="s">
        <v>315</v>
      </c>
      <c r="R55" s="85"/>
      <c r="S55" s="102" t="s">
        <v>503</v>
      </c>
      <c r="T55" s="81" t="s">
        <v>282</v>
      </c>
      <c r="U55" s="81" t="s">
        <v>329</v>
      </c>
      <c r="V55" s="81" t="s">
        <v>324</v>
      </c>
      <c r="W55" s="81" t="s">
        <v>282</v>
      </c>
      <c r="X55" s="81" t="s">
        <v>282</v>
      </c>
      <c r="Y55" s="81" t="s">
        <v>329</v>
      </c>
      <c r="Z55" s="81" t="s">
        <v>282</v>
      </c>
      <c r="AA55" s="81" t="s">
        <v>282</v>
      </c>
      <c r="AB55" s="85"/>
      <c r="AC55" s="81" t="s">
        <v>729</v>
      </c>
      <c r="AD55" s="82" t="s">
        <v>503</v>
      </c>
      <c r="AE55" s="81" t="s">
        <v>369</v>
      </c>
      <c r="AF55" s="81" t="s">
        <v>315</v>
      </c>
      <c r="AG55" s="81" t="s">
        <v>315</v>
      </c>
      <c r="AH55" s="82" t="s">
        <v>730</v>
      </c>
      <c r="AI55" s="81" t="s">
        <v>523</v>
      </c>
      <c r="AJ55" s="85"/>
      <c r="AK55" s="81" t="s">
        <v>324</v>
      </c>
      <c r="AL55" s="81" t="s">
        <v>282</v>
      </c>
      <c r="AM55" s="81" t="s">
        <v>731</v>
      </c>
      <c r="AN55" s="85"/>
      <c r="AO55" s="81" t="s">
        <v>732</v>
      </c>
      <c r="AP55" s="81" t="s">
        <v>324</v>
      </c>
      <c r="AQ55" s="85"/>
      <c r="AR55" s="131" t="s">
        <v>733</v>
      </c>
      <c r="AS55" s="25"/>
    </row>
    <row r="56">
      <c r="A56" s="94"/>
      <c r="B56" s="69"/>
      <c r="C56" s="70"/>
      <c r="D56" s="71"/>
      <c r="E56" s="72"/>
      <c r="F56" s="72"/>
      <c r="G56" s="72"/>
      <c r="H56" s="72"/>
      <c r="I56" s="132"/>
      <c r="J56" s="98"/>
      <c r="K56" s="100"/>
      <c r="L56" s="79"/>
      <c r="M56" s="81"/>
      <c r="N56" s="81"/>
      <c r="O56" s="81"/>
      <c r="P56" s="81"/>
      <c r="Q56" s="81"/>
      <c r="R56" s="81" t="s">
        <v>734</v>
      </c>
      <c r="S56" s="102"/>
      <c r="T56" s="81"/>
      <c r="U56" s="81" t="s">
        <v>735</v>
      </c>
      <c r="V56" s="81"/>
      <c r="W56" s="81"/>
      <c r="X56" s="81" t="s">
        <v>736</v>
      </c>
      <c r="Y56" s="81" t="s">
        <v>736</v>
      </c>
      <c r="Z56" s="81"/>
      <c r="AA56" s="81"/>
      <c r="AB56" s="85"/>
      <c r="AC56" s="81"/>
      <c r="AD56" s="81"/>
      <c r="AE56" s="81"/>
      <c r="AF56" s="81"/>
      <c r="AG56" s="81"/>
      <c r="AH56" s="81" t="s">
        <v>737</v>
      </c>
      <c r="AI56" s="81" t="s">
        <v>738</v>
      </c>
      <c r="AJ56" s="81" t="s">
        <v>739</v>
      </c>
      <c r="AK56" s="81"/>
      <c r="AL56" s="81"/>
      <c r="AM56" s="81"/>
      <c r="AN56" s="81" t="s">
        <v>740</v>
      </c>
      <c r="AO56" s="81"/>
      <c r="AP56" s="81"/>
      <c r="AQ56" s="85"/>
      <c r="AR56" s="131"/>
      <c r="AS56" s="25"/>
    </row>
    <row r="57">
      <c r="A57" s="166"/>
      <c r="B57" s="167"/>
      <c r="C57" s="168"/>
      <c r="D57" s="169"/>
      <c r="E57" s="197"/>
      <c r="F57" s="197"/>
      <c r="G57" s="197"/>
      <c r="H57" s="197"/>
      <c r="I57" s="171"/>
      <c r="J57" s="172"/>
      <c r="K57" s="173"/>
      <c r="L57" s="127" t="s">
        <v>304</v>
      </c>
      <c r="M57" s="114" t="s">
        <v>291</v>
      </c>
      <c r="N57" s="122" t="s">
        <v>452</v>
      </c>
      <c r="P57" s="122" t="s">
        <v>503</v>
      </c>
      <c r="Q57" s="114" t="s">
        <v>315</v>
      </c>
      <c r="R57" s="135" t="s">
        <v>742</v>
      </c>
      <c r="S57" s="115" t="s">
        <v>503</v>
      </c>
      <c r="T57" s="114" t="s">
        <v>324</v>
      </c>
      <c r="U57" s="114" t="s">
        <v>324</v>
      </c>
      <c r="V57" s="114" t="s">
        <v>324</v>
      </c>
      <c r="W57" s="114" t="s">
        <v>324</v>
      </c>
      <c r="X57" s="114" t="s">
        <v>324</v>
      </c>
      <c r="Y57" s="114" t="s">
        <v>324</v>
      </c>
      <c r="Z57" s="114" t="s">
        <v>324</v>
      </c>
      <c r="AA57" s="114" t="s">
        <v>324</v>
      </c>
      <c r="AB57" s="118"/>
      <c r="AC57" s="114" t="s">
        <v>729</v>
      </c>
      <c r="AD57" s="122" t="s">
        <v>503</v>
      </c>
      <c r="AE57" s="114" t="s">
        <v>369</v>
      </c>
      <c r="AF57" s="114" t="s">
        <v>315</v>
      </c>
      <c r="AG57" s="114" t="s">
        <v>315</v>
      </c>
      <c r="AH57" s="188" t="s">
        <v>743</v>
      </c>
      <c r="AI57" s="135" t="s">
        <v>615</v>
      </c>
      <c r="AJ57" s="135" t="s">
        <v>744</v>
      </c>
      <c r="AK57" s="114" t="s">
        <v>324</v>
      </c>
      <c r="AL57" s="114" t="s">
        <v>282</v>
      </c>
      <c r="AM57" s="114" t="s">
        <v>731</v>
      </c>
      <c r="AN57" s="135" t="s">
        <v>745</v>
      </c>
      <c r="AO57" s="114"/>
      <c r="AP57" s="114"/>
      <c r="AQ57" s="135" t="s">
        <v>738</v>
      </c>
      <c r="AR57" s="142"/>
      <c r="AS57" s="176"/>
    </row>
    <row r="58">
      <c r="A58" s="94"/>
      <c r="B58" s="69" t="s">
        <v>238</v>
      </c>
      <c r="C58" s="70">
        <v>43437.0</v>
      </c>
      <c r="D58" s="71" t="s">
        <v>280</v>
      </c>
      <c r="E58" s="72">
        <v>43566.0</v>
      </c>
      <c r="F58" s="73" t="s">
        <v>258</v>
      </c>
      <c r="G58" s="72">
        <v>43580.0</v>
      </c>
      <c r="H58" s="73" t="s">
        <v>282</v>
      </c>
      <c r="I58" s="132" t="s">
        <v>746</v>
      </c>
      <c r="J58" s="98" t="s">
        <v>121</v>
      </c>
      <c r="K58" s="129" t="s">
        <v>286</v>
      </c>
      <c r="L58" s="79" t="s">
        <v>305</v>
      </c>
      <c r="M58" s="81" t="s">
        <v>393</v>
      </c>
      <c r="N58" s="82" t="s">
        <v>453</v>
      </c>
      <c r="P58" s="102" t="s">
        <v>747</v>
      </c>
      <c r="Q58" s="81" t="s">
        <v>369</v>
      </c>
      <c r="R58" s="81" t="s">
        <v>748</v>
      </c>
      <c r="S58" s="198" t="s">
        <v>749</v>
      </c>
      <c r="T58" s="199" t="s">
        <v>751</v>
      </c>
      <c r="U58" s="199" t="s">
        <v>324</v>
      </c>
      <c r="V58" s="81" t="s">
        <v>324</v>
      </c>
      <c r="W58" s="81" t="s">
        <v>324</v>
      </c>
      <c r="X58" s="81" t="s">
        <v>282</v>
      </c>
      <c r="Y58" s="81" t="s">
        <v>282</v>
      </c>
      <c r="Z58" s="81" t="s">
        <v>282</v>
      </c>
      <c r="AA58" s="81" t="s">
        <v>282</v>
      </c>
      <c r="AB58" s="85"/>
      <c r="AC58" s="81" t="s">
        <v>324</v>
      </c>
      <c r="AD58" s="85"/>
      <c r="AE58" s="81" t="s">
        <v>282</v>
      </c>
      <c r="AF58" s="81" t="s">
        <v>282</v>
      </c>
      <c r="AG58" s="81" t="s">
        <v>315</v>
      </c>
      <c r="AH58" s="102" t="s">
        <v>752</v>
      </c>
      <c r="AI58" s="181" t="s">
        <v>753</v>
      </c>
      <c r="AJ58" s="81" t="s">
        <v>324</v>
      </c>
      <c r="AK58" s="81" t="s">
        <v>324</v>
      </c>
      <c r="AL58" s="81" t="s">
        <v>282</v>
      </c>
      <c r="AM58" s="81" t="s">
        <v>324</v>
      </c>
      <c r="AN58" s="81" t="s">
        <v>754</v>
      </c>
      <c r="AO58" s="81" t="s">
        <v>324</v>
      </c>
      <c r="AP58" s="81" t="s">
        <v>324</v>
      </c>
      <c r="AQ58" s="81" t="s">
        <v>755</v>
      </c>
      <c r="AR58" s="131" t="s">
        <v>435</v>
      </c>
      <c r="AS58" s="25"/>
    </row>
    <row r="59">
      <c r="A59" s="94"/>
      <c r="B59" s="69"/>
      <c r="C59" s="70"/>
      <c r="D59" s="71"/>
      <c r="E59" s="72"/>
      <c r="F59" s="72"/>
      <c r="G59" s="72"/>
      <c r="H59" s="72"/>
      <c r="I59" s="132"/>
      <c r="J59" s="98"/>
      <c r="K59" s="100"/>
      <c r="L59" s="79"/>
      <c r="M59" s="81"/>
      <c r="N59" s="81"/>
      <c r="O59" s="81"/>
      <c r="P59" s="102"/>
      <c r="Q59" s="81"/>
      <c r="R59" s="81"/>
      <c r="S59" s="90"/>
      <c r="T59" s="199" t="s">
        <v>756</v>
      </c>
      <c r="U59" s="199" t="s">
        <v>756</v>
      </c>
      <c r="V59" s="81" t="s">
        <v>756</v>
      </c>
      <c r="W59" s="81" t="s">
        <v>756</v>
      </c>
      <c r="X59" s="81" t="s">
        <v>756</v>
      </c>
      <c r="Y59" s="81" t="s">
        <v>756</v>
      </c>
      <c r="Z59" s="81" t="s">
        <v>756</v>
      </c>
      <c r="AA59" s="81" t="s">
        <v>756</v>
      </c>
      <c r="AB59" s="81" t="s">
        <v>756</v>
      </c>
      <c r="AC59" s="81"/>
      <c r="AD59" s="81"/>
      <c r="AE59" s="81"/>
      <c r="AF59" s="81"/>
      <c r="AG59" s="81"/>
      <c r="AH59" s="102" t="s">
        <v>757</v>
      </c>
      <c r="AI59" s="181" t="s">
        <v>758</v>
      </c>
      <c r="AJ59" s="81"/>
      <c r="AK59" s="81"/>
      <c r="AL59" s="81"/>
      <c r="AM59" s="81"/>
      <c r="AN59" s="81" t="s">
        <v>759</v>
      </c>
      <c r="AO59" s="81"/>
      <c r="AP59" s="81"/>
      <c r="AQ59" s="81"/>
      <c r="AR59" s="131"/>
      <c r="AS59" s="25"/>
    </row>
    <row r="60">
      <c r="A60" s="94"/>
      <c r="B60" s="69"/>
      <c r="C60" s="70"/>
      <c r="D60" s="71"/>
      <c r="E60" s="72"/>
      <c r="F60" s="72"/>
      <c r="G60" s="72"/>
      <c r="H60" s="72"/>
      <c r="I60" s="132"/>
      <c r="J60" s="98"/>
      <c r="K60" s="100"/>
      <c r="L60" s="79" t="s">
        <v>305</v>
      </c>
      <c r="M60" s="81" t="s">
        <v>393</v>
      </c>
      <c r="N60" s="82" t="s">
        <v>453</v>
      </c>
      <c r="P60" s="102" t="s">
        <v>747</v>
      </c>
      <c r="Q60" s="81" t="s">
        <v>369</v>
      </c>
      <c r="R60" s="81" t="s">
        <v>748</v>
      </c>
      <c r="S60" s="198" t="s">
        <v>749</v>
      </c>
      <c r="T60" s="114" t="s">
        <v>324</v>
      </c>
      <c r="U60" s="114" t="s">
        <v>324</v>
      </c>
      <c r="V60" s="114" t="s">
        <v>324</v>
      </c>
      <c r="W60" s="114" t="s">
        <v>324</v>
      </c>
      <c r="X60" s="114" t="s">
        <v>324</v>
      </c>
      <c r="Y60" s="114" t="s">
        <v>324</v>
      </c>
      <c r="Z60" s="114" t="s">
        <v>324</v>
      </c>
      <c r="AA60" s="114" t="s">
        <v>324</v>
      </c>
      <c r="AB60" s="81"/>
      <c r="AC60" s="81"/>
      <c r="AD60" s="81"/>
      <c r="AE60" s="81" t="s">
        <v>315</v>
      </c>
      <c r="AF60" s="81" t="s">
        <v>315</v>
      </c>
      <c r="AG60" s="81" t="s">
        <v>315</v>
      </c>
      <c r="AH60" s="200" t="s">
        <v>761</v>
      </c>
      <c r="AI60" s="181" t="s">
        <v>621</v>
      </c>
      <c r="AJ60" s="81"/>
      <c r="AK60" s="81" t="s">
        <v>324</v>
      </c>
      <c r="AL60" s="81" t="s">
        <v>282</v>
      </c>
      <c r="AM60" s="81"/>
      <c r="AN60" s="81"/>
      <c r="AO60" s="81"/>
      <c r="AP60" s="81" t="s">
        <v>324</v>
      </c>
      <c r="AQ60" s="181" t="s">
        <v>762</v>
      </c>
      <c r="AR60" s="131"/>
      <c r="AS60" s="25"/>
    </row>
    <row r="61">
      <c r="A61" s="94"/>
      <c r="B61" s="69" t="s">
        <v>238</v>
      </c>
      <c r="C61" s="70">
        <v>43437.0</v>
      </c>
      <c r="D61" s="71" t="s">
        <v>280</v>
      </c>
      <c r="E61" s="72">
        <v>43566.0</v>
      </c>
      <c r="F61" s="73" t="s">
        <v>258</v>
      </c>
      <c r="G61" s="72">
        <v>43580.0</v>
      </c>
      <c r="H61" s="73" t="s">
        <v>282</v>
      </c>
      <c r="I61" s="132" t="s">
        <v>763</v>
      </c>
      <c r="J61" s="98" t="s">
        <v>122</v>
      </c>
      <c r="K61" s="100"/>
      <c r="L61" s="79" t="s">
        <v>305</v>
      </c>
      <c r="M61" s="81" t="s">
        <v>291</v>
      </c>
      <c r="N61" s="82" t="s">
        <v>456</v>
      </c>
      <c r="P61" s="102" t="s">
        <v>747</v>
      </c>
      <c r="Q61" s="81" t="s">
        <v>315</v>
      </c>
      <c r="R61" s="81" t="s">
        <v>748</v>
      </c>
      <c r="S61" s="82" t="s">
        <v>749</v>
      </c>
      <c r="T61" s="199" t="s">
        <v>282</v>
      </c>
      <c r="U61" s="199" t="s">
        <v>282</v>
      </c>
      <c r="V61" s="199" t="s">
        <v>282</v>
      </c>
      <c r="W61" s="199" t="s">
        <v>282</v>
      </c>
      <c r="X61" s="81" t="s">
        <v>282</v>
      </c>
      <c r="Y61" s="81" t="s">
        <v>282</v>
      </c>
      <c r="Z61" s="81" t="s">
        <v>282</v>
      </c>
      <c r="AA61" s="81" t="s">
        <v>282</v>
      </c>
      <c r="AB61" s="85"/>
      <c r="AC61" s="81" t="s">
        <v>764</v>
      </c>
      <c r="AD61" s="82" t="s">
        <v>456</v>
      </c>
      <c r="AE61" s="81" t="s">
        <v>282</v>
      </c>
      <c r="AF61" s="81" t="s">
        <v>282</v>
      </c>
      <c r="AG61" s="81" t="s">
        <v>315</v>
      </c>
      <c r="AH61" s="102" t="s">
        <v>752</v>
      </c>
      <c r="AI61" s="181" t="s">
        <v>753</v>
      </c>
      <c r="AJ61" s="81" t="s">
        <v>324</v>
      </c>
      <c r="AK61" s="81" t="s">
        <v>324</v>
      </c>
      <c r="AL61" s="81" t="s">
        <v>282</v>
      </c>
      <c r="AM61" s="81" t="s">
        <v>324</v>
      </c>
      <c r="AN61" s="81" t="s">
        <v>754</v>
      </c>
      <c r="AO61" s="81" t="s">
        <v>324</v>
      </c>
      <c r="AP61" s="81" t="s">
        <v>324</v>
      </c>
      <c r="AQ61" s="81" t="s">
        <v>755</v>
      </c>
      <c r="AR61" s="131" t="s">
        <v>733</v>
      </c>
      <c r="AS61" s="25"/>
    </row>
    <row r="62">
      <c r="A62" s="94"/>
      <c r="B62" s="69"/>
      <c r="C62" s="70"/>
      <c r="D62" s="71"/>
      <c r="E62" s="72"/>
      <c r="F62" s="72"/>
      <c r="G62" s="72"/>
      <c r="H62" s="72"/>
      <c r="I62" s="132"/>
      <c r="J62" s="98"/>
      <c r="K62" s="100"/>
      <c r="L62" s="79"/>
      <c r="M62" s="81"/>
      <c r="N62" s="81"/>
      <c r="O62" s="81"/>
      <c r="P62" s="102"/>
      <c r="Q62" s="81"/>
      <c r="R62" s="81"/>
      <c r="S62" s="81"/>
      <c r="T62" s="81" t="s">
        <v>756</v>
      </c>
      <c r="U62" s="81" t="s">
        <v>756</v>
      </c>
      <c r="V62" s="81" t="s">
        <v>756</v>
      </c>
      <c r="W62" s="81" t="s">
        <v>756</v>
      </c>
      <c r="X62" s="81" t="s">
        <v>756</v>
      </c>
      <c r="Y62" s="81" t="s">
        <v>756</v>
      </c>
      <c r="Z62" s="81" t="s">
        <v>756</v>
      </c>
      <c r="AA62" s="81" t="s">
        <v>756</v>
      </c>
      <c r="AB62" s="81" t="s">
        <v>756</v>
      </c>
      <c r="AC62" s="81"/>
      <c r="AD62" s="81"/>
      <c r="AE62" s="81"/>
      <c r="AF62" s="81"/>
      <c r="AG62" s="81"/>
      <c r="AH62" s="102" t="s">
        <v>757</v>
      </c>
      <c r="AI62" s="181" t="s">
        <v>758</v>
      </c>
      <c r="AJ62" s="81"/>
      <c r="AK62" s="81"/>
      <c r="AL62" s="81"/>
      <c r="AM62" s="81"/>
      <c r="AN62" s="81" t="s">
        <v>759</v>
      </c>
      <c r="AO62" s="81"/>
      <c r="AP62" s="81"/>
      <c r="AQ62" s="81"/>
      <c r="AR62" s="131"/>
      <c r="AS62" s="25"/>
    </row>
    <row r="63">
      <c r="A63" s="94"/>
      <c r="B63" s="69"/>
      <c r="C63" s="70"/>
      <c r="D63" s="71"/>
      <c r="E63" s="72"/>
      <c r="F63" s="72"/>
      <c r="G63" s="72"/>
      <c r="H63" s="72"/>
      <c r="I63" s="132"/>
      <c r="J63" s="98"/>
      <c r="K63" s="100"/>
      <c r="L63" s="79" t="s">
        <v>305</v>
      </c>
      <c r="M63" s="81" t="s">
        <v>291</v>
      </c>
      <c r="N63" s="82" t="s">
        <v>456</v>
      </c>
      <c r="P63" s="102" t="s">
        <v>747</v>
      </c>
      <c r="Q63" s="81" t="s">
        <v>315</v>
      </c>
      <c r="R63" s="81" t="s">
        <v>748</v>
      </c>
      <c r="S63" s="82" t="s">
        <v>749</v>
      </c>
      <c r="T63" s="81" t="s">
        <v>324</v>
      </c>
      <c r="U63" s="81" t="s">
        <v>324</v>
      </c>
      <c r="V63" s="81" t="s">
        <v>324</v>
      </c>
      <c r="W63" s="81" t="s">
        <v>324</v>
      </c>
      <c r="X63" s="81" t="s">
        <v>324</v>
      </c>
      <c r="Y63" s="81" t="s">
        <v>324</v>
      </c>
      <c r="Z63" s="81" t="s">
        <v>324</v>
      </c>
      <c r="AA63" s="81" t="s">
        <v>324</v>
      </c>
      <c r="AB63" s="81"/>
      <c r="AC63" s="81"/>
      <c r="AD63" s="81"/>
      <c r="AE63" s="81" t="s">
        <v>315</v>
      </c>
      <c r="AF63" s="81" t="s">
        <v>315</v>
      </c>
      <c r="AG63" s="81" t="s">
        <v>315</v>
      </c>
      <c r="AH63" s="200" t="s">
        <v>761</v>
      </c>
      <c r="AI63" s="181" t="s">
        <v>621</v>
      </c>
      <c r="AJ63" s="81"/>
      <c r="AK63" s="81" t="s">
        <v>324</v>
      </c>
      <c r="AL63" s="81" t="s">
        <v>282</v>
      </c>
      <c r="AM63" s="81"/>
      <c r="AN63" s="81"/>
      <c r="AO63" s="81"/>
      <c r="AP63" s="81"/>
      <c r="AQ63" s="81" t="s">
        <v>755</v>
      </c>
      <c r="AR63" s="131"/>
      <c r="AS63" s="25"/>
    </row>
    <row r="64">
      <c r="A64" s="68"/>
      <c r="B64" s="69" t="s">
        <v>238</v>
      </c>
      <c r="C64" s="70">
        <v>43437.0</v>
      </c>
      <c r="D64" s="71" t="s">
        <v>767</v>
      </c>
      <c r="E64" s="72">
        <v>43579.0</v>
      </c>
      <c r="F64" s="73" t="s">
        <v>280</v>
      </c>
      <c r="G64" s="72">
        <v>43583.0</v>
      </c>
      <c r="H64" s="73" t="s">
        <v>768</v>
      </c>
      <c r="I64" s="128" t="s">
        <v>769</v>
      </c>
      <c r="J64" s="76" t="s">
        <v>123</v>
      </c>
      <c r="K64" s="129" t="s">
        <v>770</v>
      </c>
      <c r="L64" s="201" t="s">
        <v>303</v>
      </c>
      <c r="M64" s="202" t="s">
        <v>393</v>
      </c>
      <c r="N64" s="203" t="s">
        <v>459</v>
      </c>
      <c r="P64" s="204"/>
      <c r="Q64" s="202" t="s">
        <v>315</v>
      </c>
      <c r="R64" s="202" t="s">
        <v>324</v>
      </c>
      <c r="S64" s="204"/>
      <c r="T64" s="202" t="s">
        <v>282</v>
      </c>
      <c r="U64" s="202" t="s">
        <v>324</v>
      </c>
      <c r="V64" s="202" t="s">
        <v>282</v>
      </c>
      <c r="W64" s="202" t="s">
        <v>282</v>
      </c>
      <c r="X64" s="202" t="s">
        <v>282</v>
      </c>
      <c r="Y64" s="202" t="s">
        <v>282</v>
      </c>
      <c r="Z64" s="202" t="s">
        <v>282</v>
      </c>
      <c r="AA64" s="202" t="s">
        <v>329</v>
      </c>
      <c r="AB64" s="204"/>
      <c r="AC64" s="202" t="s">
        <v>771</v>
      </c>
      <c r="AD64" s="203" t="s">
        <v>772</v>
      </c>
      <c r="AE64" s="202" t="s">
        <v>369</v>
      </c>
      <c r="AF64" s="202" t="s">
        <v>315</v>
      </c>
      <c r="AG64" s="202" t="s">
        <v>315</v>
      </c>
      <c r="AH64" s="203" t="s">
        <v>710</v>
      </c>
      <c r="AI64" s="202" t="s">
        <v>711</v>
      </c>
      <c r="AJ64" s="202" t="s">
        <v>712</v>
      </c>
      <c r="AK64" s="202" t="s">
        <v>713</v>
      </c>
      <c r="AL64" s="202" t="s">
        <v>315</v>
      </c>
      <c r="AM64" s="202" t="s">
        <v>714</v>
      </c>
      <c r="AN64" s="202" t="s">
        <v>715</v>
      </c>
      <c r="AO64" s="202" t="s">
        <v>324</v>
      </c>
      <c r="AP64" s="202" t="s">
        <v>324</v>
      </c>
      <c r="AQ64" s="202" t="s">
        <v>773</v>
      </c>
      <c r="AR64" s="205" t="s">
        <v>435</v>
      </c>
      <c r="AS64" s="204"/>
    </row>
    <row r="65">
      <c r="A65" s="94"/>
      <c r="B65" s="69"/>
      <c r="C65" s="70"/>
      <c r="D65" s="71"/>
      <c r="E65" s="96"/>
      <c r="F65" s="96"/>
      <c r="G65" s="96"/>
      <c r="H65" s="96"/>
      <c r="I65" s="132"/>
      <c r="J65" s="98"/>
      <c r="K65" s="98"/>
      <c r="L65" s="201"/>
      <c r="M65" s="202"/>
      <c r="N65" s="202"/>
      <c r="O65" s="202"/>
      <c r="P65" s="206"/>
      <c r="Q65" s="202"/>
      <c r="R65" s="202"/>
      <c r="S65" s="206"/>
      <c r="T65" s="202"/>
      <c r="U65" s="202"/>
      <c r="V65" s="202"/>
      <c r="W65" s="202"/>
      <c r="X65" s="202"/>
      <c r="Y65" s="202"/>
      <c r="Z65" s="202"/>
      <c r="AA65" s="202"/>
      <c r="AB65" s="206"/>
      <c r="AC65" s="207"/>
      <c r="AD65" s="202"/>
      <c r="AE65" s="202"/>
      <c r="AF65" s="202"/>
      <c r="AG65" s="202"/>
      <c r="AH65" s="202"/>
      <c r="AI65" s="202"/>
      <c r="AJ65" s="202"/>
      <c r="AK65" s="202"/>
      <c r="AL65" s="202"/>
      <c r="AM65" s="202"/>
      <c r="AN65" s="202"/>
      <c r="AO65" s="202"/>
      <c r="AP65" s="202"/>
      <c r="AQ65" s="202"/>
      <c r="AR65" s="205"/>
      <c r="AS65" s="206"/>
    </row>
    <row r="66">
      <c r="A66" s="208"/>
      <c r="B66" s="209"/>
      <c r="C66" s="210"/>
      <c r="D66" s="211"/>
      <c r="E66" s="212"/>
      <c r="F66" s="212"/>
      <c r="G66" s="212"/>
      <c r="H66" s="213" t="s">
        <v>777</v>
      </c>
      <c r="I66" s="214"/>
      <c r="J66" s="215"/>
      <c r="K66" s="215"/>
      <c r="L66" s="216" t="s">
        <v>303</v>
      </c>
      <c r="M66" s="217" t="s">
        <v>393</v>
      </c>
      <c r="N66" s="218" t="s">
        <v>459</v>
      </c>
      <c r="O66" s="218"/>
      <c r="P66" s="212"/>
      <c r="Q66" s="217" t="s">
        <v>315</v>
      </c>
      <c r="R66" s="217" t="s">
        <v>324</v>
      </c>
      <c r="S66" s="212"/>
      <c r="T66" s="217" t="s">
        <v>282</v>
      </c>
      <c r="U66" s="217" t="s">
        <v>324</v>
      </c>
      <c r="V66" s="217" t="s">
        <v>282</v>
      </c>
      <c r="W66" s="217" t="s">
        <v>282</v>
      </c>
      <c r="X66" s="217" t="s">
        <v>282</v>
      </c>
      <c r="Y66" s="217" t="s">
        <v>282</v>
      </c>
      <c r="Z66" s="217" t="s">
        <v>282</v>
      </c>
      <c r="AA66" s="217" t="s">
        <v>329</v>
      </c>
      <c r="AB66" s="212"/>
      <c r="AC66" s="217" t="s">
        <v>771</v>
      </c>
      <c r="AD66" s="218" t="s">
        <v>772</v>
      </c>
      <c r="AE66" s="217" t="s">
        <v>369</v>
      </c>
      <c r="AF66" s="217" t="s">
        <v>315</v>
      </c>
      <c r="AG66" s="217" t="s">
        <v>315</v>
      </c>
      <c r="AH66" s="218" t="s">
        <v>710</v>
      </c>
      <c r="AI66" s="219" t="s">
        <v>781</v>
      </c>
      <c r="AJ66" s="220" t="s">
        <v>724</v>
      </c>
      <c r="AK66" s="217" t="s">
        <v>713</v>
      </c>
      <c r="AL66" s="211" t="s">
        <v>315</v>
      </c>
      <c r="AM66" s="211"/>
      <c r="AN66" s="211"/>
      <c r="AO66" s="211"/>
      <c r="AP66" s="211"/>
      <c r="AQ66" s="211"/>
      <c r="AR66" s="215"/>
      <c r="AS66" s="212"/>
    </row>
    <row r="67">
      <c r="A67" s="94"/>
      <c r="B67" s="69" t="s">
        <v>238</v>
      </c>
      <c r="C67" s="70">
        <v>43437.0</v>
      </c>
      <c r="D67" s="71" t="s">
        <v>767</v>
      </c>
      <c r="E67" s="72">
        <v>43579.0</v>
      </c>
      <c r="F67" s="73" t="s">
        <v>280</v>
      </c>
      <c r="G67" s="72">
        <v>43583.0</v>
      </c>
      <c r="H67" s="73" t="s">
        <v>282</v>
      </c>
      <c r="I67" s="132" t="s">
        <v>783</v>
      </c>
      <c r="J67" s="98" t="s">
        <v>124</v>
      </c>
      <c r="K67" s="98"/>
      <c r="L67" s="221" t="s">
        <v>306</v>
      </c>
      <c r="M67" s="222" t="s">
        <v>315</v>
      </c>
      <c r="N67" s="223" t="s">
        <v>460</v>
      </c>
      <c r="P67" s="224"/>
      <c r="Q67" s="222" t="s">
        <v>315</v>
      </c>
      <c r="R67" s="222" t="s">
        <v>785</v>
      </c>
      <c r="S67" s="223" t="s">
        <v>460</v>
      </c>
      <c r="T67" s="222" t="s">
        <v>324</v>
      </c>
      <c r="U67" s="222" t="s">
        <v>324</v>
      </c>
      <c r="V67" s="222" t="s">
        <v>324</v>
      </c>
      <c r="W67" s="222" t="s">
        <v>324</v>
      </c>
      <c r="X67" s="222" t="s">
        <v>324</v>
      </c>
      <c r="Y67" s="222" t="s">
        <v>324</v>
      </c>
      <c r="Z67" s="222" t="s">
        <v>324</v>
      </c>
      <c r="AA67" s="222" t="s">
        <v>324</v>
      </c>
      <c r="AB67" s="224"/>
      <c r="AC67" s="222" t="s">
        <v>324</v>
      </c>
      <c r="AD67" s="224"/>
      <c r="AE67" s="222" t="s">
        <v>324</v>
      </c>
      <c r="AF67" s="222" t="s">
        <v>324</v>
      </c>
      <c r="AG67" s="222" t="s">
        <v>324</v>
      </c>
      <c r="AH67" s="224"/>
      <c r="AI67" s="225" t="s">
        <v>524</v>
      </c>
      <c r="AJ67" s="222" t="s">
        <v>324</v>
      </c>
      <c r="AK67" s="222" t="s">
        <v>324</v>
      </c>
      <c r="AL67" s="222" t="s">
        <v>315</v>
      </c>
      <c r="AM67" s="222" t="s">
        <v>324</v>
      </c>
      <c r="AN67" s="222" t="s">
        <v>324</v>
      </c>
      <c r="AO67" s="222" t="s">
        <v>324</v>
      </c>
      <c r="AP67" s="222" t="s">
        <v>324</v>
      </c>
      <c r="AQ67" s="222" t="s">
        <v>786</v>
      </c>
      <c r="AR67" s="226" t="s">
        <v>733</v>
      </c>
      <c r="AS67" s="227"/>
    </row>
    <row r="68">
      <c r="A68" s="94"/>
      <c r="B68" s="69"/>
      <c r="C68" s="70"/>
      <c r="D68" s="71"/>
      <c r="E68" s="96"/>
      <c r="F68" s="96"/>
      <c r="G68" s="96"/>
      <c r="H68" s="96"/>
      <c r="I68" s="132"/>
      <c r="J68" s="98"/>
      <c r="K68" s="98"/>
      <c r="L68" s="221"/>
      <c r="M68" s="222"/>
      <c r="N68" s="222"/>
      <c r="O68" s="222"/>
      <c r="P68" s="224"/>
      <c r="Q68" s="222"/>
      <c r="R68" s="222"/>
      <c r="S68" s="222"/>
      <c r="T68" s="222"/>
      <c r="U68" s="222"/>
      <c r="V68" s="222"/>
      <c r="W68" s="222"/>
      <c r="X68" s="222"/>
      <c r="Y68" s="222"/>
      <c r="Z68" s="222"/>
      <c r="AA68" s="222"/>
      <c r="AB68" s="224"/>
      <c r="AC68" s="222"/>
      <c r="AD68" s="224"/>
      <c r="AE68" s="222"/>
      <c r="AF68" s="222"/>
      <c r="AG68" s="222"/>
      <c r="AH68" s="224"/>
      <c r="AI68" s="222"/>
      <c r="AJ68" s="222"/>
      <c r="AK68" s="222"/>
      <c r="AL68" s="222"/>
      <c r="AM68" s="222"/>
      <c r="AN68" s="222"/>
      <c r="AO68" s="222"/>
      <c r="AP68" s="222"/>
      <c r="AQ68" s="222"/>
      <c r="AR68" s="226"/>
      <c r="AS68" s="227"/>
    </row>
    <row r="69">
      <c r="A69" s="228"/>
      <c r="B69" s="229"/>
      <c r="C69" s="230"/>
      <c r="D69" s="231"/>
      <c r="E69" s="232"/>
      <c r="F69" s="232"/>
      <c r="G69" s="232"/>
      <c r="H69" s="232"/>
      <c r="I69" s="233"/>
      <c r="J69" s="234"/>
      <c r="K69" s="234"/>
      <c r="L69" s="235" t="s">
        <v>306</v>
      </c>
      <c r="M69" s="236" t="s">
        <v>315</v>
      </c>
      <c r="N69" s="237" t="s">
        <v>460</v>
      </c>
      <c r="P69" s="224"/>
      <c r="Q69" s="236" t="s">
        <v>315</v>
      </c>
      <c r="R69" s="236" t="s">
        <v>785</v>
      </c>
      <c r="S69" s="237" t="s">
        <v>460</v>
      </c>
      <c r="T69" s="236" t="s">
        <v>324</v>
      </c>
      <c r="U69" s="236" t="s">
        <v>324</v>
      </c>
      <c r="V69" s="236" t="s">
        <v>324</v>
      </c>
      <c r="W69" s="236" t="s">
        <v>324</v>
      </c>
      <c r="X69" s="236" t="s">
        <v>324</v>
      </c>
      <c r="Y69" s="236" t="s">
        <v>324</v>
      </c>
      <c r="Z69" s="236" t="s">
        <v>324</v>
      </c>
      <c r="AA69" s="236" t="s">
        <v>324</v>
      </c>
      <c r="AB69" s="224"/>
      <c r="AC69" s="236" t="s">
        <v>324</v>
      </c>
      <c r="AD69" s="224"/>
      <c r="AE69" s="236" t="s">
        <v>324</v>
      </c>
      <c r="AF69" s="236" t="s">
        <v>324</v>
      </c>
      <c r="AG69" s="236" t="s">
        <v>324</v>
      </c>
      <c r="AH69" s="224"/>
      <c r="AI69" s="238" t="s">
        <v>524</v>
      </c>
      <c r="AJ69" s="236" t="s">
        <v>324</v>
      </c>
      <c r="AK69" s="236" t="s">
        <v>324</v>
      </c>
      <c r="AL69" s="236" t="s">
        <v>315</v>
      </c>
      <c r="AM69" s="236"/>
      <c r="AN69" s="236"/>
      <c r="AO69" s="236"/>
      <c r="AP69" s="236"/>
      <c r="AQ69" s="236" t="s">
        <v>786</v>
      </c>
      <c r="AR69" s="239" t="s">
        <v>733</v>
      </c>
      <c r="AS69" s="227"/>
    </row>
    <row r="70">
      <c r="A70" s="240"/>
      <c r="B70" s="69" t="s">
        <v>238</v>
      </c>
      <c r="C70" s="70">
        <v>43437.0</v>
      </c>
      <c r="D70" s="71" t="s">
        <v>767</v>
      </c>
      <c r="E70" s="72">
        <v>43579.0</v>
      </c>
      <c r="F70" s="73" t="s">
        <v>280</v>
      </c>
      <c r="G70" s="72">
        <v>43583.0</v>
      </c>
      <c r="H70" s="73" t="s">
        <v>282</v>
      </c>
      <c r="I70" s="132" t="s">
        <v>788</v>
      </c>
      <c r="J70" s="98" t="s">
        <v>125</v>
      </c>
      <c r="K70" s="129" t="s">
        <v>789</v>
      </c>
      <c r="L70" s="201" t="s">
        <v>307</v>
      </c>
      <c r="M70" s="202" t="s">
        <v>315</v>
      </c>
      <c r="N70" s="206"/>
      <c r="O70" s="206"/>
      <c r="P70" s="206"/>
      <c r="Q70" s="202" t="s">
        <v>315</v>
      </c>
      <c r="R70" s="202" t="s">
        <v>324</v>
      </c>
      <c r="S70" s="206"/>
      <c r="T70" s="202" t="s">
        <v>324</v>
      </c>
      <c r="U70" s="202" t="s">
        <v>324</v>
      </c>
      <c r="V70" s="202" t="s">
        <v>324</v>
      </c>
      <c r="W70" s="202" t="s">
        <v>324</v>
      </c>
      <c r="X70" s="202" t="s">
        <v>324</v>
      </c>
      <c r="Y70" s="202" t="s">
        <v>324</v>
      </c>
      <c r="Z70" s="202" t="s">
        <v>324</v>
      </c>
      <c r="AA70" s="202" t="s">
        <v>324</v>
      </c>
      <c r="AB70" s="206"/>
      <c r="AC70" s="202" t="s">
        <v>324</v>
      </c>
      <c r="AD70" s="206"/>
      <c r="AE70" s="202" t="s">
        <v>324</v>
      </c>
      <c r="AF70" s="202" t="s">
        <v>324</v>
      </c>
      <c r="AG70" s="202" t="s">
        <v>324</v>
      </c>
      <c r="AH70" s="203" t="s">
        <v>790</v>
      </c>
      <c r="AI70" s="202" t="s">
        <v>791</v>
      </c>
      <c r="AJ70" s="202" t="s">
        <v>324</v>
      </c>
      <c r="AK70" s="202" t="s">
        <v>324</v>
      </c>
      <c r="AL70" s="202" t="s">
        <v>315</v>
      </c>
      <c r="AM70" s="202" t="s">
        <v>324</v>
      </c>
      <c r="AN70" s="202" t="s">
        <v>324</v>
      </c>
      <c r="AO70" s="202" t="s">
        <v>324</v>
      </c>
      <c r="AP70" s="202" t="s">
        <v>324</v>
      </c>
      <c r="AQ70" s="202" t="s">
        <v>792</v>
      </c>
      <c r="AR70" s="205" t="s">
        <v>639</v>
      </c>
      <c r="AS70" s="241" t="s">
        <v>793</v>
      </c>
    </row>
    <row r="71">
      <c r="A71" s="240"/>
      <c r="B71" s="69"/>
      <c r="C71" s="70"/>
      <c r="D71" s="71"/>
      <c r="E71" s="96"/>
      <c r="F71" s="96"/>
      <c r="G71" s="96"/>
      <c r="H71" s="96"/>
      <c r="I71" s="132"/>
      <c r="J71" s="25" t="s">
        <v>793</v>
      </c>
      <c r="K71" s="25"/>
      <c r="L71" s="201"/>
      <c r="M71" s="202"/>
      <c r="N71" s="206"/>
      <c r="O71" s="206"/>
      <c r="P71" s="206"/>
      <c r="Q71" s="202"/>
      <c r="R71" s="202"/>
      <c r="S71" s="206"/>
      <c r="T71" s="202"/>
      <c r="U71" s="202"/>
      <c r="V71" s="202"/>
      <c r="W71" s="202"/>
      <c r="X71" s="202"/>
      <c r="Y71" s="202"/>
      <c r="Z71" s="202"/>
      <c r="AA71" s="202"/>
      <c r="AB71" s="206"/>
      <c r="AC71" s="202"/>
      <c r="AD71" s="206"/>
      <c r="AE71" s="202"/>
      <c r="AF71" s="202"/>
      <c r="AG71" s="202"/>
      <c r="AH71" s="202"/>
      <c r="AI71" s="202"/>
      <c r="AJ71" s="202"/>
      <c r="AK71" s="202"/>
      <c r="AL71" s="202"/>
      <c r="AM71" s="202"/>
      <c r="AN71" s="202"/>
      <c r="AO71" s="202"/>
      <c r="AP71" s="202"/>
      <c r="AQ71" s="202"/>
      <c r="AR71" s="205"/>
      <c r="AS71" s="206"/>
    </row>
    <row r="72">
      <c r="A72" s="242"/>
      <c r="B72" s="229"/>
      <c r="C72" s="230"/>
      <c r="D72" s="243"/>
      <c r="E72" s="206"/>
      <c r="F72" s="206"/>
      <c r="G72" s="206"/>
      <c r="H72" s="244" t="s">
        <v>794</v>
      </c>
      <c r="I72" s="245"/>
      <c r="J72" s="246"/>
      <c r="K72" s="246"/>
      <c r="L72" s="216" t="s">
        <v>307</v>
      </c>
      <c r="M72" s="217" t="s">
        <v>315</v>
      </c>
      <c r="N72" s="247" t="s">
        <v>461</v>
      </c>
      <c r="O72" s="248"/>
      <c r="P72" s="206"/>
      <c r="Q72" s="217" t="s">
        <v>315</v>
      </c>
      <c r="R72" s="217" t="s">
        <v>324</v>
      </c>
      <c r="S72" s="206"/>
      <c r="T72" s="217" t="s">
        <v>324</v>
      </c>
      <c r="U72" s="217" t="s">
        <v>324</v>
      </c>
      <c r="V72" s="217" t="s">
        <v>324</v>
      </c>
      <c r="W72" s="217" t="s">
        <v>324</v>
      </c>
      <c r="X72" s="217" t="s">
        <v>324</v>
      </c>
      <c r="Y72" s="217" t="s">
        <v>324</v>
      </c>
      <c r="Z72" s="217" t="s">
        <v>324</v>
      </c>
      <c r="AA72" s="217" t="s">
        <v>324</v>
      </c>
      <c r="AB72" s="206"/>
      <c r="AC72" s="217" t="s">
        <v>324</v>
      </c>
      <c r="AD72" s="206"/>
      <c r="AE72" s="217" t="s">
        <v>324</v>
      </c>
      <c r="AF72" s="217" t="s">
        <v>324</v>
      </c>
      <c r="AG72" s="217" t="s">
        <v>324</v>
      </c>
      <c r="AH72" s="218" t="s">
        <v>790</v>
      </c>
      <c r="AI72" s="219" t="s">
        <v>315</v>
      </c>
      <c r="AJ72" s="217" t="s">
        <v>324</v>
      </c>
      <c r="AK72" s="217" t="s">
        <v>324</v>
      </c>
      <c r="AL72" s="217" t="s">
        <v>315</v>
      </c>
      <c r="AM72" s="217"/>
      <c r="AN72" s="217"/>
      <c r="AO72" s="217"/>
      <c r="AP72" s="217"/>
      <c r="AQ72" s="217" t="s">
        <v>792</v>
      </c>
      <c r="AR72" s="249" t="s">
        <v>639</v>
      </c>
      <c r="AS72" s="250" t="s">
        <v>793</v>
      </c>
    </row>
    <row r="73">
      <c r="A73" s="240"/>
      <c r="B73" s="69" t="s">
        <v>238</v>
      </c>
      <c r="C73" s="70">
        <v>43437.0</v>
      </c>
      <c r="D73" s="71" t="s">
        <v>767</v>
      </c>
      <c r="E73" s="72">
        <v>43579.0</v>
      </c>
      <c r="F73" s="73" t="s">
        <v>280</v>
      </c>
      <c r="G73" s="72">
        <v>43583.0</v>
      </c>
      <c r="H73" s="73" t="s">
        <v>282</v>
      </c>
      <c r="I73" s="74" t="s">
        <v>795</v>
      </c>
      <c r="J73" s="76" t="s">
        <v>126</v>
      </c>
      <c r="K73" s="76"/>
      <c r="L73" s="221" t="s">
        <v>305</v>
      </c>
      <c r="M73" s="222" t="s">
        <v>291</v>
      </c>
      <c r="N73" s="251" t="s">
        <v>462</v>
      </c>
      <c r="O73" s="252"/>
      <c r="P73" s="223" t="s">
        <v>747</v>
      </c>
      <c r="Q73" s="222" t="s">
        <v>369</v>
      </c>
      <c r="R73" s="222" t="s">
        <v>748</v>
      </c>
      <c r="S73" s="223" t="s">
        <v>749</v>
      </c>
      <c r="T73" s="222" t="s">
        <v>282</v>
      </c>
      <c r="U73" s="222" t="s">
        <v>282</v>
      </c>
      <c r="V73" s="222" t="s">
        <v>282</v>
      </c>
      <c r="W73" s="222" t="s">
        <v>282</v>
      </c>
      <c r="X73" s="222" t="s">
        <v>282</v>
      </c>
      <c r="Y73" s="222" t="s">
        <v>282</v>
      </c>
      <c r="Z73" s="222" t="s">
        <v>282</v>
      </c>
      <c r="AA73" s="222" t="s">
        <v>282</v>
      </c>
      <c r="AB73" s="252"/>
      <c r="AC73" s="222" t="s">
        <v>798</v>
      </c>
      <c r="AD73" s="223" t="s">
        <v>559</v>
      </c>
      <c r="AE73" s="222" t="s">
        <v>315</v>
      </c>
      <c r="AF73" s="222" t="s">
        <v>315</v>
      </c>
      <c r="AG73" s="222" t="s">
        <v>315</v>
      </c>
      <c r="AH73" s="223" t="s">
        <v>752</v>
      </c>
      <c r="AI73" s="222" t="s">
        <v>753</v>
      </c>
      <c r="AJ73" s="222" t="s">
        <v>324</v>
      </c>
      <c r="AK73" s="222" t="s">
        <v>324</v>
      </c>
      <c r="AL73" s="222" t="s">
        <v>282</v>
      </c>
      <c r="AM73" s="222" t="s">
        <v>324</v>
      </c>
      <c r="AN73" s="222" t="s">
        <v>754</v>
      </c>
      <c r="AO73" s="222" t="s">
        <v>324</v>
      </c>
      <c r="AP73" s="222" t="s">
        <v>324</v>
      </c>
      <c r="AQ73" s="222" t="s">
        <v>755</v>
      </c>
      <c r="AR73" s="226" t="s">
        <v>703</v>
      </c>
      <c r="AS73" s="253" t="s">
        <v>799</v>
      </c>
    </row>
    <row r="74" ht="15.75" customHeight="1">
      <c r="A74" s="240"/>
      <c r="B74" s="69"/>
      <c r="C74" s="70"/>
      <c r="D74" s="71"/>
      <c r="E74" s="96"/>
      <c r="F74" s="96"/>
      <c r="G74" s="96"/>
      <c r="H74" s="96"/>
      <c r="I74" s="74"/>
      <c r="J74" s="98"/>
      <c r="K74" s="98"/>
      <c r="L74" s="221"/>
      <c r="M74" s="222"/>
      <c r="N74" s="222"/>
      <c r="O74" s="224"/>
      <c r="P74" s="222"/>
      <c r="R74" s="222"/>
      <c r="S74" s="222"/>
      <c r="T74" s="254"/>
      <c r="U74" s="254"/>
      <c r="V74" s="254"/>
      <c r="W74" s="254"/>
      <c r="X74" s="222"/>
      <c r="Y74" s="222"/>
      <c r="Z74" s="222"/>
      <c r="AA74" s="222"/>
      <c r="AB74" s="224"/>
      <c r="AC74" s="255"/>
      <c r="AD74" s="222"/>
      <c r="AE74" s="222"/>
      <c r="AF74" s="222"/>
      <c r="AG74" s="133" t="s">
        <v>800</v>
      </c>
      <c r="AH74" s="256" t="s">
        <v>801</v>
      </c>
      <c r="AI74" s="255"/>
      <c r="AJ74" s="222"/>
      <c r="AK74" s="222"/>
      <c r="AL74" s="222"/>
      <c r="AM74" s="222"/>
      <c r="AN74" s="222"/>
      <c r="AO74" s="222"/>
      <c r="AP74" s="222"/>
      <c r="AQ74" s="222"/>
      <c r="AR74" s="226"/>
      <c r="AS74" s="253" t="s">
        <v>801</v>
      </c>
    </row>
    <row r="75" ht="15.75" customHeight="1">
      <c r="A75" s="242"/>
      <c r="B75" s="229"/>
      <c r="C75" s="230"/>
      <c r="D75" s="231"/>
      <c r="E75" s="232"/>
      <c r="F75" s="232"/>
      <c r="G75" s="232"/>
      <c r="H75" s="257" t="s">
        <v>802</v>
      </c>
      <c r="I75" s="258"/>
      <c r="J75" s="234"/>
      <c r="K75" s="234"/>
      <c r="L75" s="235" t="s">
        <v>305</v>
      </c>
      <c r="M75" s="236" t="s">
        <v>291</v>
      </c>
      <c r="N75" s="259" t="s">
        <v>462</v>
      </c>
      <c r="O75" s="224"/>
      <c r="P75" s="237" t="s">
        <v>747</v>
      </c>
      <c r="Q75" s="236" t="s">
        <v>369</v>
      </c>
      <c r="R75" s="236" t="s">
        <v>748</v>
      </c>
      <c r="S75" s="237" t="s">
        <v>749</v>
      </c>
      <c r="T75" s="260" t="s">
        <v>282</v>
      </c>
      <c r="U75" s="260" t="s">
        <v>282</v>
      </c>
      <c r="V75" s="260" t="s">
        <v>282</v>
      </c>
      <c r="W75" s="260" t="s">
        <v>282</v>
      </c>
      <c r="X75" s="236" t="s">
        <v>282</v>
      </c>
      <c r="Y75" s="236" t="s">
        <v>282</v>
      </c>
      <c r="Z75" s="236" t="s">
        <v>282</v>
      </c>
      <c r="AA75" s="236" t="s">
        <v>282</v>
      </c>
      <c r="AB75" s="224"/>
      <c r="AC75" s="261" t="s">
        <v>798</v>
      </c>
      <c r="AD75" s="237" t="s">
        <v>559</v>
      </c>
      <c r="AE75" s="236" t="s">
        <v>315</v>
      </c>
      <c r="AF75" s="236" t="s">
        <v>315</v>
      </c>
      <c r="AG75" s="236" t="s">
        <v>315</v>
      </c>
      <c r="AH75" s="262" t="s">
        <v>807</v>
      </c>
      <c r="AI75" s="263" t="s">
        <v>808</v>
      </c>
      <c r="AJ75" s="264" t="s">
        <v>810</v>
      </c>
      <c r="AK75" s="236" t="s">
        <v>324</v>
      </c>
      <c r="AL75" s="236" t="s">
        <v>282</v>
      </c>
      <c r="AM75" s="236"/>
      <c r="AN75" s="265"/>
      <c r="AO75" s="265"/>
      <c r="AP75" s="265"/>
      <c r="AQ75" s="265"/>
      <c r="AR75" s="234"/>
      <c r="AS75" s="227"/>
    </row>
    <row r="76" ht="15.75" customHeight="1">
      <c r="A76" s="240"/>
      <c r="B76" s="69" t="s">
        <v>238</v>
      </c>
      <c r="C76" s="70">
        <v>43437.0</v>
      </c>
      <c r="D76" s="71" t="s">
        <v>767</v>
      </c>
      <c r="E76" s="72">
        <v>43579.0</v>
      </c>
      <c r="F76" s="73" t="s">
        <v>280</v>
      </c>
      <c r="G76" s="72">
        <v>43583.0</v>
      </c>
      <c r="H76" s="73" t="s">
        <v>282</v>
      </c>
      <c r="I76" s="128" t="s">
        <v>811</v>
      </c>
      <c r="J76" s="76" t="s">
        <v>127</v>
      </c>
      <c r="K76" s="129" t="s">
        <v>812</v>
      </c>
      <c r="L76" s="201" t="s">
        <v>813</v>
      </c>
      <c r="M76" s="202" t="s">
        <v>291</v>
      </c>
      <c r="N76" s="203" t="s">
        <v>774</v>
      </c>
      <c r="P76" s="203" t="s">
        <v>774</v>
      </c>
      <c r="Q76" s="202" t="s">
        <v>282</v>
      </c>
      <c r="R76" s="202" t="s">
        <v>324</v>
      </c>
      <c r="S76" s="204"/>
      <c r="T76" s="202" t="s">
        <v>324</v>
      </c>
      <c r="U76" s="202" t="s">
        <v>324</v>
      </c>
      <c r="V76" s="202" t="s">
        <v>324</v>
      </c>
      <c r="W76" s="202" t="s">
        <v>324</v>
      </c>
      <c r="X76" s="202" t="s">
        <v>324</v>
      </c>
      <c r="Y76" s="202" t="s">
        <v>324</v>
      </c>
      <c r="Z76" s="202" t="s">
        <v>324</v>
      </c>
      <c r="AA76" s="202" t="s">
        <v>324</v>
      </c>
      <c r="AB76" s="204"/>
      <c r="AC76" s="202" t="s">
        <v>815</v>
      </c>
      <c r="AD76" s="203" t="s">
        <v>774</v>
      </c>
      <c r="AE76" s="202" t="s">
        <v>282</v>
      </c>
      <c r="AF76" s="202" t="s">
        <v>315</v>
      </c>
      <c r="AG76" s="202" t="s">
        <v>282</v>
      </c>
      <c r="AH76" s="204"/>
      <c r="AI76" s="204"/>
      <c r="AJ76" s="202" t="s">
        <v>324</v>
      </c>
      <c r="AK76" s="202" t="s">
        <v>324</v>
      </c>
      <c r="AL76" s="202" t="s">
        <v>282</v>
      </c>
      <c r="AM76" s="202" t="s">
        <v>324</v>
      </c>
      <c r="AN76" s="202" t="s">
        <v>324</v>
      </c>
      <c r="AO76" s="202" t="s">
        <v>324</v>
      </c>
      <c r="AP76" s="202" t="s">
        <v>324</v>
      </c>
      <c r="AQ76" s="202" t="s">
        <v>817</v>
      </c>
      <c r="AR76" s="205" t="s">
        <v>660</v>
      </c>
      <c r="AS76" s="204"/>
    </row>
    <row r="77" ht="15.75" customHeight="1">
      <c r="A77" s="240"/>
      <c r="B77" s="69"/>
      <c r="C77" s="70"/>
      <c r="D77" s="71"/>
      <c r="E77" s="96"/>
      <c r="F77" s="96"/>
      <c r="G77" s="96"/>
      <c r="H77" s="96"/>
      <c r="I77" s="132"/>
      <c r="J77" s="98"/>
      <c r="K77" s="98"/>
      <c r="L77" s="268"/>
      <c r="M77" s="269"/>
      <c r="N77" s="269"/>
      <c r="O77" s="269"/>
      <c r="P77" s="269"/>
      <c r="Q77" s="270"/>
      <c r="R77" s="270"/>
      <c r="S77" s="271"/>
      <c r="T77" s="269"/>
      <c r="U77" s="269"/>
      <c r="V77" s="269"/>
      <c r="W77" s="269"/>
      <c r="X77" s="269"/>
      <c r="Y77" s="269"/>
      <c r="Z77" s="269"/>
      <c r="AA77" s="269"/>
      <c r="AB77" s="271"/>
      <c r="AC77" s="272"/>
      <c r="AD77" s="272"/>
      <c r="AE77" s="269"/>
      <c r="AF77" s="269"/>
      <c r="AG77" s="269"/>
      <c r="AH77" s="271"/>
      <c r="AI77" s="271"/>
      <c r="AJ77" s="269"/>
      <c r="AK77" s="269"/>
      <c r="AL77" s="269"/>
      <c r="AM77" s="269"/>
      <c r="AN77" s="269"/>
      <c r="AO77" s="269"/>
      <c r="AP77" s="269"/>
      <c r="AQ77" s="269"/>
      <c r="AR77" s="273"/>
      <c r="AS77" s="206"/>
    </row>
    <row r="78" ht="15.75" customHeight="1">
      <c r="A78" s="242"/>
      <c r="B78" s="229"/>
      <c r="C78" s="230"/>
      <c r="D78" s="243"/>
      <c r="E78" s="206"/>
      <c r="F78" s="206"/>
      <c r="G78" s="206"/>
      <c r="H78" s="244" t="s">
        <v>821</v>
      </c>
      <c r="I78" s="245"/>
      <c r="J78" s="246"/>
      <c r="K78" s="246"/>
      <c r="L78" s="274"/>
      <c r="M78" s="275" t="s">
        <v>291</v>
      </c>
      <c r="N78" s="276" t="s">
        <v>463</v>
      </c>
      <c r="O78" s="277"/>
      <c r="P78" s="278" t="s">
        <v>774</v>
      </c>
      <c r="Q78" s="279" t="s">
        <v>282</v>
      </c>
      <c r="R78" s="279" t="s">
        <v>324</v>
      </c>
      <c r="S78" s="280"/>
      <c r="T78" s="275" t="s">
        <v>324</v>
      </c>
      <c r="U78" s="275" t="s">
        <v>324</v>
      </c>
      <c r="V78" s="275" t="s">
        <v>324</v>
      </c>
      <c r="W78" s="275" t="s">
        <v>324</v>
      </c>
      <c r="X78" s="275" t="s">
        <v>324</v>
      </c>
      <c r="Y78" s="275" t="s">
        <v>324</v>
      </c>
      <c r="Z78" s="275" t="s">
        <v>324</v>
      </c>
      <c r="AA78" s="275" t="s">
        <v>324</v>
      </c>
      <c r="AB78" s="280"/>
      <c r="AC78" s="281" t="s">
        <v>827</v>
      </c>
      <c r="AD78" s="282" t="s">
        <v>774</v>
      </c>
      <c r="AE78" s="202" t="s">
        <v>282</v>
      </c>
      <c r="AF78" s="277" t="s">
        <v>315</v>
      </c>
      <c r="AG78" s="277" t="s">
        <v>315</v>
      </c>
      <c r="AH78" s="283" t="s">
        <v>839</v>
      </c>
      <c r="AI78" s="277" t="s">
        <v>443</v>
      </c>
      <c r="AJ78" s="284" t="s">
        <v>846</v>
      </c>
      <c r="AK78" s="217" t="s">
        <v>324</v>
      </c>
      <c r="AL78" s="277" t="s">
        <v>315</v>
      </c>
      <c r="AM78" s="285" t="s">
        <v>851</v>
      </c>
      <c r="AN78" s="286"/>
      <c r="AO78" s="277"/>
      <c r="AP78" s="285" t="s">
        <v>851</v>
      </c>
      <c r="AQ78" s="286"/>
      <c r="AR78" s="286"/>
      <c r="AS78" s="206"/>
    </row>
    <row r="79">
      <c r="A79" s="94"/>
      <c r="B79" s="287" t="s">
        <v>479</v>
      </c>
      <c r="C79" s="288">
        <v>43483.0</v>
      </c>
      <c r="D79" s="71" t="s">
        <v>258</v>
      </c>
      <c r="E79" s="72">
        <v>43575.0</v>
      </c>
      <c r="F79" s="73" t="s">
        <v>280</v>
      </c>
      <c r="G79" s="72">
        <v>43581.0</v>
      </c>
      <c r="H79" s="73" t="s">
        <v>282</v>
      </c>
      <c r="I79" s="74" t="s">
        <v>862</v>
      </c>
      <c r="J79" s="289" t="s">
        <v>128</v>
      </c>
      <c r="K79" s="129" t="s">
        <v>812</v>
      </c>
      <c r="L79" s="290" t="s">
        <v>308</v>
      </c>
      <c r="M79" s="291" t="s">
        <v>291</v>
      </c>
      <c r="N79" s="292" t="s">
        <v>467</v>
      </c>
      <c r="O79" s="293" t="s">
        <v>872</v>
      </c>
      <c r="P79" s="294" t="s">
        <v>775</v>
      </c>
      <c r="Q79" s="295" t="s">
        <v>282</v>
      </c>
      <c r="R79" s="296" t="s">
        <v>826</v>
      </c>
      <c r="S79" s="292" t="s">
        <v>503</v>
      </c>
      <c r="T79" s="297" t="s">
        <v>873</v>
      </c>
      <c r="U79" s="297" t="s">
        <v>874</v>
      </c>
      <c r="V79" s="297" t="s">
        <v>874</v>
      </c>
      <c r="W79" s="297" t="s">
        <v>874</v>
      </c>
      <c r="X79" s="297" t="s">
        <v>875</v>
      </c>
      <c r="Y79" s="297" t="s">
        <v>876</v>
      </c>
      <c r="Z79" s="297" t="s">
        <v>282</v>
      </c>
      <c r="AA79" s="297" t="s">
        <v>282</v>
      </c>
      <c r="AB79" s="298" t="s">
        <v>877</v>
      </c>
      <c r="AC79" s="138" t="s">
        <v>878</v>
      </c>
      <c r="AD79" s="299" t="s">
        <v>750</v>
      </c>
      <c r="AE79" s="297" t="s">
        <v>315</v>
      </c>
      <c r="AF79" s="297" t="s">
        <v>315</v>
      </c>
      <c r="AG79" s="297" t="s">
        <v>315</v>
      </c>
      <c r="AH79" s="292" t="s">
        <v>743</v>
      </c>
      <c r="AI79" s="297" t="s">
        <v>621</v>
      </c>
      <c r="AJ79" s="297" t="s">
        <v>881</v>
      </c>
      <c r="AK79" s="300" t="s">
        <v>324</v>
      </c>
      <c r="AL79" s="297" t="s">
        <v>315</v>
      </c>
      <c r="AM79" s="301" t="s">
        <v>324</v>
      </c>
      <c r="AN79" s="301" t="s">
        <v>883</v>
      </c>
      <c r="AO79" s="297" t="s">
        <v>324</v>
      </c>
      <c r="AP79" s="297" t="s">
        <v>324</v>
      </c>
      <c r="AQ79" s="293" t="s">
        <v>884</v>
      </c>
      <c r="AR79" s="302">
        <v>65.0</v>
      </c>
      <c r="AS79" s="25" t="s">
        <v>888</v>
      </c>
    </row>
    <row r="80" ht="14.25" customHeight="1">
      <c r="A80" s="94"/>
      <c r="B80" s="69"/>
      <c r="C80" s="288"/>
      <c r="D80" s="71"/>
      <c r="I80" s="74"/>
      <c r="J80" s="289"/>
      <c r="K80" s="303"/>
      <c r="L80" s="304"/>
      <c r="M80" s="305" t="s">
        <v>396</v>
      </c>
      <c r="N80" s="292"/>
      <c r="O80" s="297" t="s">
        <v>889</v>
      </c>
      <c r="P80" s="306"/>
      <c r="Q80" s="307" t="s">
        <v>315</v>
      </c>
      <c r="R80" s="299"/>
      <c r="S80" s="292"/>
      <c r="T80" s="297" t="s">
        <v>890</v>
      </c>
      <c r="U80" s="297" t="s">
        <v>890</v>
      </c>
      <c r="V80" s="297" t="s">
        <v>890</v>
      </c>
      <c r="W80" s="297" t="s">
        <v>890</v>
      </c>
      <c r="X80" s="297" t="s">
        <v>890</v>
      </c>
      <c r="Y80" s="297" t="s">
        <v>875</v>
      </c>
      <c r="Z80" s="297"/>
      <c r="AA80" s="297"/>
      <c r="AB80" s="308"/>
      <c r="AC80" s="138" t="s">
        <v>729</v>
      </c>
      <c r="AD80" s="20" t="s">
        <v>467</v>
      </c>
      <c r="AE80" s="297" t="s">
        <v>369</v>
      </c>
      <c r="AF80" s="297"/>
      <c r="AG80" s="297"/>
      <c r="AH80" s="292"/>
      <c r="AI80" s="297"/>
      <c r="AJ80" s="297"/>
      <c r="AK80" s="291"/>
      <c r="AL80" s="297"/>
      <c r="AM80" s="301"/>
      <c r="AN80" s="301"/>
      <c r="AO80" s="297"/>
      <c r="AP80" s="297"/>
      <c r="AQ80" s="297" t="s">
        <v>891</v>
      </c>
      <c r="AR80" s="309"/>
      <c r="AS80" s="67"/>
    </row>
    <row r="81" ht="14.25" customHeight="1">
      <c r="A81" s="166"/>
      <c r="B81" s="167"/>
      <c r="C81" s="310"/>
      <c r="D81" s="169"/>
      <c r="E81" s="311"/>
      <c r="F81" s="311"/>
      <c r="G81" s="311"/>
      <c r="H81" s="311"/>
      <c r="I81" s="312"/>
      <c r="J81" s="313"/>
      <c r="K81" s="314"/>
      <c r="L81" s="315" t="s">
        <v>308</v>
      </c>
      <c r="M81" s="316" t="s">
        <v>396</v>
      </c>
      <c r="N81" s="317" t="s">
        <v>467</v>
      </c>
      <c r="O81" s="318"/>
      <c r="P81" s="319" t="s">
        <v>775</v>
      </c>
      <c r="Q81" s="320" t="s">
        <v>315</v>
      </c>
      <c r="R81" s="321" t="s">
        <v>826</v>
      </c>
      <c r="S81" s="317" t="s">
        <v>503</v>
      </c>
      <c r="T81" s="318" t="s">
        <v>890</v>
      </c>
      <c r="U81" s="318" t="s">
        <v>890</v>
      </c>
      <c r="V81" s="318" t="s">
        <v>890</v>
      </c>
      <c r="W81" s="318" t="s">
        <v>890</v>
      </c>
      <c r="X81" s="318" t="s">
        <v>890</v>
      </c>
      <c r="Y81" s="318" t="s">
        <v>875</v>
      </c>
      <c r="Z81" s="318" t="s">
        <v>282</v>
      </c>
      <c r="AA81" s="318" t="s">
        <v>282</v>
      </c>
      <c r="AB81" s="322" t="s">
        <v>877</v>
      </c>
      <c r="AC81" s="175" t="s">
        <v>729</v>
      </c>
      <c r="AD81" s="174" t="s">
        <v>467</v>
      </c>
      <c r="AE81" s="318" t="s">
        <v>369</v>
      </c>
      <c r="AF81" s="318" t="s">
        <v>315</v>
      </c>
      <c r="AG81" s="318" t="s">
        <v>315</v>
      </c>
      <c r="AH81" s="317" t="s">
        <v>743</v>
      </c>
      <c r="AI81" s="318" t="s">
        <v>621</v>
      </c>
      <c r="AJ81" s="318" t="s">
        <v>881</v>
      </c>
      <c r="AK81" s="323" t="s">
        <v>324</v>
      </c>
      <c r="AL81" s="318" t="s">
        <v>315</v>
      </c>
      <c r="AM81" s="324"/>
      <c r="AN81" s="324" t="s">
        <v>883</v>
      </c>
      <c r="AO81" s="318"/>
      <c r="AP81" s="318"/>
      <c r="AQ81" s="318" t="s">
        <v>891</v>
      </c>
      <c r="AR81" s="325"/>
      <c r="AS81" s="143"/>
    </row>
    <row r="82" ht="14.25" customHeight="1">
      <c r="A82" s="94"/>
      <c r="B82" s="69" t="s">
        <v>479</v>
      </c>
      <c r="C82" s="288">
        <v>43483.0</v>
      </c>
      <c r="D82" s="71" t="s">
        <v>258</v>
      </c>
      <c r="E82" s="72">
        <v>43575.0</v>
      </c>
      <c r="F82" s="73" t="s">
        <v>280</v>
      </c>
      <c r="G82" s="326">
        <v>43581.0</v>
      </c>
      <c r="H82" s="73" t="s">
        <v>282</v>
      </c>
      <c r="I82" s="128" t="s">
        <v>900</v>
      </c>
      <c r="J82" s="289" t="s">
        <v>129</v>
      </c>
      <c r="K82" s="303"/>
      <c r="L82" s="304" t="s">
        <v>309</v>
      </c>
      <c r="M82" s="305" t="s">
        <v>291</v>
      </c>
      <c r="N82" s="292" t="s">
        <v>470</v>
      </c>
      <c r="O82" s="297" t="s">
        <v>750</v>
      </c>
      <c r="P82" s="297" t="s">
        <v>750</v>
      </c>
      <c r="Q82" s="327" t="s">
        <v>315</v>
      </c>
      <c r="R82" s="297" t="s">
        <v>830</v>
      </c>
      <c r="S82" s="292" t="s">
        <v>879</v>
      </c>
      <c r="T82" s="297" t="s">
        <v>324</v>
      </c>
      <c r="U82" s="297" t="s">
        <v>324</v>
      </c>
      <c r="V82" s="297" t="s">
        <v>324</v>
      </c>
      <c r="W82" s="297" t="s">
        <v>324</v>
      </c>
      <c r="X82" s="297" t="s">
        <v>282</v>
      </c>
      <c r="Y82" s="297" t="s">
        <v>282</v>
      </c>
      <c r="Z82" s="297" t="s">
        <v>324</v>
      </c>
      <c r="AA82" s="297" t="s">
        <v>324</v>
      </c>
      <c r="AB82" s="298" t="s">
        <v>902</v>
      </c>
      <c r="AC82" s="138" t="s">
        <v>903</v>
      </c>
      <c r="AD82" s="328" t="s">
        <v>470</v>
      </c>
      <c r="AE82" s="297" t="s">
        <v>369</v>
      </c>
      <c r="AF82" s="297" t="s">
        <v>315</v>
      </c>
      <c r="AG82" s="297" t="s">
        <v>315</v>
      </c>
      <c r="AH82" s="292" t="s">
        <v>904</v>
      </c>
      <c r="AI82" s="297" t="s">
        <v>443</v>
      </c>
      <c r="AJ82" s="293" t="s">
        <v>906</v>
      </c>
      <c r="AK82" s="329" t="s">
        <v>324</v>
      </c>
      <c r="AL82" s="297" t="s">
        <v>315</v>
      </c>
      <c r="AM82" s="293" t="s">
        <v>907</v>
      </c>
      <c r="AN82" s="329" t="s">
        <v>324</v>
      </c>
      <c r="AO82" s="329" t="s">
        <v>324</v>
      </c>
      <c r="AP82" s="329" t="s">
        <v>324</v>
      </c>
      <c r="AQ82" s="330" t="s">
        <v>908</v>
      </c>
      <c r="AR82" s="309">
        <v>45.0</v>
      </c>
      <c r="AS82" s="67"/>
    </row>
    <row r="83" ht="14.25" customHeight="1">
      <c r="A83" s="94"/>
      <c r="B83" s="69"/>
      <c r="C83" s="288"/>
      <c r="D83" s="71"/>
      <c r="E83" s="96"/>
      <c r="F83" s="96"/>
      <c r="G83" s="96"/>
      <c r="H83" s="96"/>
      <c r="I83" s="128"/>
      <c r="J83" s="289"/>
      <c r="K83" s="303"/>
      <c r="L83" s="304"/>
      <c r="M83" s="305"/>
      <c r="N83" s="292"/>
      <c r="O83" s="297"/>
      <c r="P83" s="297"/>
      <c r="Q83" s="331"/>
      <c r="R83" s="297" t="s">
        <v>828</v>
      </c>
      <c r="S83" s="292"/>
      <c r="T83" s="297"/>
      <c r="U83" s="297"/>
      <c r="V83" s="297"/>
      <c r="W83" s="297"/>
      <c r="X83" s="297"/>
      <c r="Y83" s="297"/>
      <c r="Z83" s="297"/>
      <c r="AA83" s="297"/>
      <c r="AB83" s="308"/>
      <c r="AC83" s="138"/>
      <c r="AD83" s="328"/>
      <c r="AE83" s="297"/>
      <c r="AF83" s="297"/>
      <c r="AG83" s="297"/>
      <c r="AH83" s="292"/>
      <c r="AI83" s="297"/>
      <c r="AJ83" s="297"/>
      <c r="AK83" s="329"/>
      <c r="AL83" s="297"/>
      <c r="AM83" s="297"/>
      <c r="AN83" s="329"/>
      <c r="AO83" s="329"/>
      <c r="AP83" s="329"/>
      <c r="AQ83" s="297" t="s">
        <v>909</v>
      </c>
      <c r="AR83" s="309"/>
      <c r="AS83" s="67"/>
    </row>
    <row r="84" ht="14.25" customHeight="1">
      <c r="A84" s="166"/>
      <c r="B84" s="167"/>
      <c r="C84" s="310"/>
      <c r="D84" s="169"/>
      <c r="E84" s="170"/>
      <c r="F84" s="170"/>
      <c r="G84" s="170"/>
      <c r="H84" s="170"/>
      <c r="I84" s="332"/>
      <c r="J84" s="313"/>
      <c r="K84" s="314"/>
      <c r="L84" s="333" t="s">
        <v>309</v>
      </c>
      <c r="M84" s="316" t="s">
        <v>291</v>
      </c>
      <c r="N84" s="317" t="s">
        <v>470</v>
      </c>
      <c r="O84" s="318"/>
      <c r="P84" s="318"/>
      <c r="Q84" s="334" t="s">
        <v>315</v>
      </c>
      <c r="R84" s="318" t="s">
        <v>828</v>
      </c>
      <c r="S84" s="317" t="s">
        <v>879</v>
      </c>
      <c r="T84" s="318" t="s">
        <v>324</v>
      </c>
      <c r="U84" s="318" t="s">
        <v>324</v>
      </c>
      <c r="V84" s="318" t="s">
        <v>324</v>
      </c>
      <c r="W84" s="318" t="s">
        <v>324</v>
      </c>
      <c r="X84" s="318" t="s">
        <v>282</v>
      </c>
      <c r="Y84" s="318" t="s">
        <v>282</v>
      </c>
      <c r="Z84" s="318" t="s">
        <v>324</v>
      </c>
      <c r="AA84" s="318" t="s">
        <v>324</v>
      </c>
      <c r="AB84" s="322" t="s">
        <v>902</v>
      </c>
      <c r="AC84" s="175" t="s">
        <v>903</v>
      </c>
      <c r="AD84" s="335" t="s">
        <v>470</v>
      </c>
      <c r="AE84" s="318" t="s">
        <v>369</v>
      </c>
      <c r="AF84" s="318" t="s">
        <v>315</v>
      </c>
      <c r="AG84" s="318" t="s">
        <v>315</v>
      </c>
      <c r="AH84" s="317" t="s">
        <v>904</v>
      </c>
      <c r="AI84" s="318" t="s">
        <v>443</v>
      </c>
      <c r="AJ84" s="330" t="s">
        <v>906</v>
      </c>
      <c r="AK84" s="336" t="s">
        <v>324</v>
      </c>
      <c r="AL84" s="318" t="s">
        <v>315</v>
      </c>
      <c r="AM84" s="330" t="s">
        <v>907</v>
      </c>
      <c r="AN84" s="336"/>
      <c r="AO84" s="336"/>
      <c r="AP84" s="336"/>
      <c r="AQ84" s="318" t="s">
        <v>909</v>
      </c>
      <c r="AR84" s="325"/>
      <c r="AS84" s="143"/>
    </row>
    <row r="85">
      <c r="A85" s="94"/>
      <c r="B85" s="69" t="s">
        <v>479</v>
      </c>
      <c r="C85" s="288">
        <v>43483.0</v>
      </c>
      <c r="D85" s="71" t="s">
        <v>258</v>
      </c>
      <c r="E85" s="72">
        <v>43575.0</v>
      </c>
      <c r="F85" s="73" t="s">
        <v>280</v>
      </c>
      <c r="G85" s="72">
        <v>43581.0</v>
      </c>
      <c r="H85" s="73" t="s">
        <v>282</v>
      </c>
      <c r="I85" s="128" t="s">
        <v>911</v>
      </c>
      <c r="J85" s="289" t="s">
        <v>130</v>
      </c>
      <c r="K85" s="303"/>
      <c r="L85" s="304" t="s">
        <v>310</v>
      </c>
      <c r="M85" s="305" t="s">
        <v>315</v>
      </c>
      <c r="N85" s="292" t="s">
        <v>472</v>
      </c>
      <c r="O85" s="297" t="s">
        <v>750</v>
      </c>
      <c r="P85" s="292" t="s">
        <v>776</v>
      </c>
      <c r="Q85" s="331" t="s">
        <v>315</v>
      </c>
      <c r="R85" s="297" t="s">
        <v>829</v>
      </c>
      <c r="S85" s="292" t="s">
        <v>880</v>
      </c>
      <c r="T85" s="297" t="s">
        <v>324</v>
      </c>
      <c r="U85" s="297" t="s">
        <v>324</v>
      </c>
      <c r="V85" s="297" t="s">
        <v>324</v>
      </c>
      <c r="W85" s="297" t="s">
        <v>324</v>
      </c>
      <c r="X85" s="297" t="s">
        <v>324</v>
      </c>
      <c r="Y85" s="297" t="s">
        <v>324</v>
      </c>
      <c r="Z85" s="297" t="s">
        <v>324</v>
      </c>
      <c r="AA85" s="297" t="s">
        <v>324</v>
      </c>
      <c r="AB85" s="337"/>
      <c r="AC85" s="338" t="s">
        <v>750</v>
      </c>
      <c r="AD85" s="297" t="s">
        <v>750</v>
      </c>
      <c r="AE85" s="297" t="s">
        <v>315</v>
      </c>
      <c r="AF85" s="297" t="s">
        <v>315</v>
      </c>
      <c r="AG85" s="297" t="s">
        <v>315</v>
      </c>
      <c r="AH85" s="292" t="s">
        <v>912</v>
      </c>
      <c r="AI85" s="297" t="s">
        <v>443</v>
      </c>
      <c r="AJ85" s="297" t="s">
        <v>913</v>
      </c>
      <c r="AK85" s="297" t="s">
        <v>324</v>
      </c>
      <c r="AL85" s="297" t="s">
        <v>315</v>
      </c>
      <c r="AM85" s="297" t="s">
        <v>914</v>
      </c>
      <c r="AN85" s="297" t="s">
        <v>324</v>
      </c>
      <c r="AO85" s="297" t="s">
        <v>324</v>
      </c>
      <c r="AP85" s="297" t="s">
        <v>324</v>
      </c>
      <c r="AQ85" s="330" t="s">
        <v>915</v>
      </c>
      <c r="AR85" s="309">
        <v>20.0</v>
      </c>
      <c r="AS85" s="67"/>
    </row>
    <row r="86">
      <c r="A86" s="94"/>
      <c r="B86" s="69"/>
      <c r="C86" s="288"/>
      <c r="D86" s="71"/>
      <c r="E86" s="96"/>
      <c r="F86" s="96"/>
      <c r="G86" s="96"/>
      <c r="H86" s="96"/>
      <c r="I86" s="128"/>
      <c r="J86" s="289"/>
      <c r="K86" s="303"/>
      <c r="L86" s="304"/>
      <c r="M86" s="305"/>
      <c r="N86" s="292"/>
      <c r="O86" s="297"/>
      <c r="P86" s="292"/>
      <c r="Q86" s="331"/>
      <c r="R86" s="297"/>
      <c r="S86" s="292"/>
      <c r="T86" s="297"/>
      <c r="U86" s="297"/>
      <c r="V86" s="297"/>
      <c r="W86" s="297"/>
      <c r="X86" s="297"/>
      <c r="Y86" s="297"/>
      <c r="Z86" s="297"/>
      <c r="AA86" s="297"/>
      <c r="AB86" s="339"/>
      <c r="AC86" s="81"/>
      <c r="AD86" s="299"/>
      <c r="AE86" s="297"/>
      <c r="AF86" s="297"/>
      <c r="AG86" s="297"/>
      <c r="AH86" s="292"/>
      <c r="AI86" s="297"/>
      <c r="AJ86" s="297"/>
      <c r="AK86" s="297"/>
      <c r="AL86" s="297"/>
      <c r="AM86" s="297"/>
      <c r="AN86" s="297"/>
      <c r="AO86" s="297"/>
      <c r="AP86" s="297"/>
      <c r="AQ86" s="318"/>
      <c r="AR86" s="309"/>
      <c r="AS86" s="25" t="s">
        <v>916</v>
      </c>
    </row>
    <row r="87">
      <c r="A87" s="166"/>
      <c r="B87" s="167"/>
      <c r="C87" s="310"/>
      <c r="D87" s="169"/>
      <c r="E87" s="170"/>
      <c r="F87" s="170"/>
      <c r="G87" s="170"/>
      <c r="H87" s="170"/>
      <c r="I87" s="332"/>
      <c r="J87" s="313"/>
      <c r="K87" s="314"/>
      <c r="L87" s="333" t="s">
        <v>310</v>
      </c>
      <c r="M87" s="316" t="s">
        <v>315</v>
      </c>
      <c r="N87" s="317" t="s">
        <v>472</v>
      </c>
      <c r="O87" s="318" t="s">
        <v>750</v>
      </c>
      <c r="P87" s="317" t="s">
        <v>776</v>
      </c>
      <c r="Q87" s="340" t="s">
        <v>315</v>
      </c>
      <c r="R87" s="318" t="s">
        <v>829</v>
      </c>
      <c r="S87" s="317" t="s">
        <v>880</v>
      </c>
      <c r="T87" s="318" t="s">
        <v>324</v>
      </c>
      <c r="U87" s="318" t="s">
        <v>324</v>
      </c>
      <c r="V87" s="318" t="s">
        <v>324</v>
      </c>
      <c r="W87" s="318" t="s">
        <v>324</v>
      </c>
      <c r="X87" s="318" t="s">
        <v>324</v>
      </c>
      <c r="Y87" s="318" t="s">
        <v>324</v>
      </c>
      <c r="Z87" s="318" t="s">
        <v>324</v>
      </c>
      <c r="AA87" s="318" t="s">
        <v>324</v>
      </c>
      <c r="AB87" s="341"/>
      <c r="AC87" s="342" t="s">
        <v>750</v>
      </c>
      <c r="AD87" s="318" t="s">
        <v>750</v>
      </c>
      <c r="AE87" s="318" t="s">
        <v>315</v>
      </c>
      <c r="AF87" s="318" t="s">
        <v>315</v>
      </c>
      <c r="AG87" s="318" t="s">
        <v>315</v>
      </c>
      <c r="AH87" s="317" t="s">
        <v>912</v>
      </c>
      <c r="AI87" s="318" t="s">
        <v>443</v>
      </c>
      <c r="AJ87" s="318" t="s">
        <v>913</v>
      </c>
      <c r="AK87" s="318" t="s">
        <v>324</v>
      </c>
      <c r="AL87" s="318" t="s">
        <v>315</v>
      </c>
      <c r="AM87" s="318" t="s">
        <v>914</v>
      </c>
      <c r="AN87" s="318" t="s">
        <v>324</v>
      </c>
      <c r="AO87" s="318" t="s">
        <v>324</v>
      </c>
      <c r="AP87" s="318" t="s">
        <v>324</v>
      </c>
      <c r="AQ87" s="318"/>
      <c r="AR87" s="325"/>
      <c r="AS87" s="176"/>
    </row>
    <row r="88">
      <c r="A88" s="68"/>
      <c r="B88" s="69" t="s">
        <v>479</v>
      </c>
      <c r="C88" s="288">
        <v>43483.0</v>
      </c>
      <c r="D88" s="71" t="s">
        <v>258</v>
      </c>
      <c r="E88" s="72">
        <v>43575.0</v>
      </c>
      <c r="F88" s="73" t="s">
        <v>280</v>
      </c>
      <c r="G88" s="72">
        <v>43581.0</v>
      </c>
      <c r="H88" s="73" t="s">
        <v>282</v>
      </c>
      <c r="I88" s="128" t="s">
        <v>917</v>
      </c>
      <c r="J88" s="343" t="s">
        <v>131</v>
      </c>
      <c r="K88" s="129" t="s">
        <v>918</v>
      </c>
      <c r="L88" s="304" t="s">
        <v>309</v>
      </c>
      <c r="M88" s="305" t="s">
        <v>291</v>
      </c>
      <c r="N88" s="293" t="s">
        <v>470</v>
      </c>
      <c r="O88" s="297" t="s">
        <v>750</v>
      </c>
      <c r="P88" s="297" t="s">
        <v>750</v>
      </c>
      <c r="Q88" s="331" t="s">
        <v>315</v>
      </c>
      <c r="R88" s="297" t="s">
        <v>830</v>
      </c>
      <c r="S88" s="293" t="s">
        <v>882</v>
      </c>
      <c r="T88" s="297" t="s">
        <v>324</v>
      </c>
      <c r="U88" s="297" t="s">
        <v>324</v>
      </c>
      <c r="V88" s="297" t="s">
        <v>324</v>
      </c>
      <c r="W88" s="297" t="s">
        <v>324</v>
      </c>
      <c r="X88" s="297" t="s">
        <v>282</v>
      </c>
      <c r="Y88" s="297" t="s">
        <v>282</v>
      </c>
      <c r="Z88" s="297" t="s">
        <v>324</v>
      </c>
      <c r="AA88" s="297" t="s">
        <v>324</v>
      </c>
      <c r="AB88" s="344" t="s">
        <v>920</v>
      </c>
      <c r="AC88" s="138" t="s">
        <v>903</v>
      </c>
      <c r="AD88" s="345" t="s">
        <v>470</v>
      </c>
      <c r="AE88" s="297" t="s">
        <v>369</v>
      </c>
      <c r="AF88" s="297" t="s">
        <v>315</v>
      </c>
      <c r="AG88" s="297" t="s">
        <v>315</v>
      </c>
      <c r="AH88" s="293" t="s">
        <v>922</v>
      </c>
      <c r="AI88" s="297" t="s">
        <v>443</v>
      </c>
      <c r="AJ88" s="293" t="s">
        <v>906</v>
      </c>
      <c r="AK88" s="329" t="s">
        <v>324</v>
      </c>
      <c r="AL88" s="297" t="s">
        <v>315</v>
      </c>
      <c r="AM88" s="293" t="s">
        <v>924</v>
      </c>
      <c r="AN88" s="329" t="s">
        <v>324</v>
      </c>
      <c r="AO88" s="329" t="s">
        <v>324</v>
      </c>
      <c r="AP88" s="329" t="s">
        <v>324</v>
      </c>
      <c r="AQ88" s="330" t="s">
        <v>926</v>
      </c>
      <c r="AR88" s="309">
        <v>20.0</v>
      </c>
      <c r="AS88" s="67"/>
    </row>
    <row r="89">
      <c r="A89" s="94"/>
      <c r="B89" s="69"/>
      <c r="C89" s="288"/>
      <c r="D89" s="71"/>
      <c r="E89" s="96"/>
      <c r="F89" s="96"/>
      <c r="G89" s="96"/>
      <c r="H89" s="96"/>
      <c r="I89" s="128"/>
      <c r="J89" s="289"/>
      <c r="K89" s="303"/>
      <c r="L89" s="304"/>
      <c r="M89" s="305"/>
      <c r="N89" s="292"/>
      <c r="O89" s="297"/>
      <c r="P89" s="297"/>
      <c r="Q89" s="331"/>
      <c r="R89" s="297"/>
      <c r="S89" s="292"/>
      <c r="T89" s="297"/>
      <c r="U89" s="297"/>
      <c r="V89" s="297"/>
      <c r="W89" s="297"/>
      <c r="X89" s="297"/>
      <c r="Y89" s="297"/>
      <c r="Z89" s="297"/>
      <c r="AA89" s="297"/>
      <c r="AB89" s="346"/>
      <c r="AC89" s="138"/>
      <c r="AD89" s="328"/>
      <c r="AE89" s="297"/>
      <c r="AF89" s="297"/>
      <c r="AG89" s="297"/>
      <c r="AH89" s="292"/>
      <c r="AI89" s="297"/>
      <c r="AJ89" s="297"/>
      <c r="AK89" s="329"/>
      <c r="AL89" s="297"/>
      <c r="AM89" s="297"/>
      <c r="AN89" s="329"/>
      <c r="AO89" s="329"/>
      <c r="AP89" s="329"/>
      <c r="AQ89" s="297" t="s">
        <v>909</v>
      </c>
      <c r="AR89" s="309"/>
      <c r="AS89" s="67"/>
    </row>
    <row r="90">
      <c r="A90" s="166"/>
      <c r="B90" s="167"/>
      <c r="C90" s="310"/>
      <c r="D90" s="169"/>
      <c r="E90" s="170"/>
      <c r="F90" s="170"/>
      <c r="G90" s="170"/>
      <c r="H90" s="180" t="s">
        <v>927</v>
      </c>
      <c r="I90" s="332"/>
      <c r="J90" s="313"/>
      <c r="K90" s="314"/>
      <c r="L90" s="333" t="s">
        <v>309</v>
      </c>
      <c r="M90" s="316" t="s">
        <v>291</v>
      </c>
      <c r="N90" s="317" t="s">
        <v>470</v>
      </c>
      <c r="O90" s="318" t="s">
        <v>750</v>
      </c>
      <c r="P90" s="318" t="s">
        <v>750</v>
      </c>
      <c r="Q90" s="340" t="s">
        <v>315</v>
      </c>
      <c r="R90" s="318" t="s">
        <v>830</v>
      </c>
      <c r="S90" s="317" t="s">
        <v>882</v>
      </c>
      <c r="T90" s="318" t="s">
        <v>324</v>
      </c>
      <c r="U90" s="318" t="s">
        <v>324</v>
      </c>
      <c r="V90" s="318" t="s">
        <v>324</v>
      </c>
      <c r="W90" s="318" t="s">
        <v>324</v>
      </c>
      <c r="X90" s="318" t="s">
        <v>282</v>
      </c>
      <c r="Y90" s="318" t="s">
        <v>327</v>
      </c>
      <c r="Z90" s="318" t="s">
        <v>324</v>
      </c>
      <c r="AA90" s="318" t="s">
        <v>324</v>
      </c>
      <c r="AB90" s="347" t="s">
        <v>928</v>
      </c>
      <c r="AC90" s="175" t="s">
        <v>929</v>
      </c>
      <c r="AD90" s="335" t="s">
        <v>470</v>
      </c>
      <c r="AE90" s="318" t="s">
        <v>369</v>
      </c>
      <c r="AF90" s="318" t="s">
        <v>282</v>
      </c>
      <c r="AG90" s="318" t="s">
        <v>315</v>
      </c>
      <c r="AH90" s="317" t="s">
        <v>922</v>
      </c>
      <c r="AI90" s="318" t="s">
        <v>443</v>
      </c>
      <c r="AJ90" s="330" t="s">
        <v>906</v>
      </c>
      <c r="AK90" s="336" t="s">
        <v>324</v>
      </c>
      <c r="AL90" s="318" t="s">
        <v>315</v>
      </c>
      <c r="AM90" s="318" t="s">
        <v>931</v>
      </c>
      <c r="AN90" s="336" t="s">
        <v>324</v>
      </c>
      <c r="AO90" s="336" t="s">
        <v>324</v>
      </c>
      <c r="AP90" s="336" t="s">
        <v>324</v>
      </c>
      <c r="AQ90" s="318"/>
      <c r="AR90" s="325"/>
      <c r="AS90" s="143"/>
    </row>
    <row r="91">
      <c r="A91" s="68"/>
      <c r="B91" s="69" t="s">
        <v>479</v>
      </c>
      <c r="C91" s="288">
        <v>43483.0</v>
      </c>
      <c r="D91" s="71" t="s">
        <v>258</v>
      </c>
      <c r="E91" s="72">
        <v>43576.0</v>
      </c>
      <c r="F91" s="73" t="s">
        <v>280</v>
      </c>
      <c r="G91" s="72">
        <v>43581.0</v>
      </c>
      <c r="H91" s="73" t="s">
        <v>282</v>
      </c>
      <c r="I91" s="128" t="s">
        <v>932</v>
      </c>
      <c r="J91" s="343" t="s">
        <v>132</v>
      </c>
      <c r="K91" s="304" t="s">
        <v>933</v>
      </c>
      <c r="L91" s="304" t="s">
        <v>309</v>
      </c>
      <c r="M91" s="305" t="s">
        <v>291</v>
      </c>
      <c r="N91" s="293" t="s">
        <v>470</v>
      </c>
      <c r="O91" s="297" t="s">
        <v>750</v>
      </c>
      <c r="P91" s="297" t="s">
        <v>750</v>
      </c>
      <c r="Q91" s="331" t="s">
        <v>315</v>
      </c>
      <c r="R91" s="297" t="s">
        <v>830</v>
      </c>
      <c r="S91" s="293" t="s">
        <v>885</v>
      </c>
      <c r="T91" s="297" t="s">
        <v>324</v>
      </c>
      <c r="U91" s="297" t="s">
        <v>324</v>
      </c>
      <c r="V91" s="297" t="s">
        <v>324</v>
      </c>
      <c r="W91" s="297" t="s">
        <v>324</v>
      </c>
      <c r="X91" s="297" t="s">
        <v>282</v>
      </c>
      <c r="Y91" s="297" t="s">
        <v>282</v>
      </c>
      <c r="Z91" s="297" t="s">
        <v>324</v>
      </c>
      <c r="AA91" s="297" t="s">
        <v>324</v>
      </c>
      <c r="AB91" s="298" t="s">
        <v>934</v>
      </c>
      <c r="AC91" s="138" t="s">
        <v>903</v>
      </c>
      <c r="AD91" s="345" t="s">
        <v>470</v>
      </c>
      <c r="AE91" s="297" t="s">
        <v>369</v>
      </c>
      <c r="AF91" s="297" t="s">
        <v>315</v>
      </c>
      <c r="AG91" s="297" t="s">
        <v>315</v>
      </c>
      <c r="AH91" s="293" t="s">
        <v>935</v>
      </c>
      <c r="AI91" s="297" t="s">
        <v>443</v>
      </c>
      <c r="AJ91" s="293" t="s">
        <v>906</v>
      </c>
      <c r="AK91" s="329" t="s">
        <v>324</v>
      </c>
      <c r="AL91" s="297" t="s">
        <v>315</v>
      </c>
      <c r="AM91" s="293" t="s">
        <v>907</v>
      </c>
      <c r="AN91" s="329" t="s">
        <v>324</v>
      </c>
      <c r="AO91" s="329" t="s">
        <v>324</v>
      </c>
      <c r="AP91" s="329" t="s">
        <v>324</v>
      </c>
      <c r="AQ91" s="330" t="s">
        <v>937</v>
      </c>
      <c r="AR91" s="309">
        <v>19.0</v>
      </c>
      <c r="AS91" s="67"/>
    </row>
    <row r="92">
      <c r="A92" s="94"/>
      <c r="B92" s="69"/>
      <c r="C92" s="288"/>
      <c r="D92" s="71"/>
      <c r="E92" s="96"/>
      <c r="F92" s="96"/>
      <c r="G92" s="96"/>
      <c r="H92" s="96"/>
      <c r="I92" s="128"/>
      <c r="J92" s="289"/>
      <c r="K92" s="303"/>
      <c r="L92" s="304"/>
      <c r="M92" s="305"/>
      <c r="N92" s="292"/>
      <c r="O92" s="297"/>
      <c r="P92" s="297"/>
      <c r="Q92" s="331"/>
      <c r="R92" s="297"/>
      <c r="S92" s="292"/>
      <c r="T92" s="297"/>
      <c r="U92" s="297"/>
      <c r="V92" s="297"/>
      <c r="W92" s="297"/>
      <c r="X92" s="297"/>
      <c r="Y92" s="297"/>
      <c r="Z92" s="297"/>
      <c r="AA92" s="297"/>
      <c r="AB92" s="308"/>
      <c r="AC92" s="138"/>
      <c r="AD92" s="328"/>
      <c r="AE92" s="297"/>
      <c r="AF92" s="297"/>
      <c r="AG92" s="297"/>
      <c r="AH92" s="292"/>
      <c r="AI92" s="297"/>
      <c r="AJ92" s="297"/>
      <c r="AK92" s="329"/>
      <c r="AL92" s="297"/>
      <c r="AM92" s="297"/>
      <c r="AN92" s="329"/>
      <c r="AO92" s="329"/>
      <c r="AP92" s="329"/>
      <c r="AQ92" s="318"/>
      <c r="AR92" s="309"/>
      <c r="AS92" s="67"/>
    </row>
    <row r="93">
      <c r="A93" s="166"/>
      <c r="B93" s="167"/>
      <c r="C93" s="310"/>
      <c r="D93" s="169"/>
      <c r="E93" s="170"/>
      <c r="F93" s="170"/>
      <c r="G93" s="170"/>
      <c r="H93" s="180" t="s">
        <v>938</v>
      </c>
      <c r="I93" s="332"/>
      <c r="J93" s="313"/>
      <c r="K93" s="314"/>
      <c r="L93" s="333" t="s">
        <v>309</v>
      </c>
      <c r="M93" s="316" t="s">
        <v>291</v>
      </c>
      <c r="N93" s="317" t="s">
        <v>470</v>
      </c>
      <c r="O93" s="318" t="s">
        <v>750</v>
      </c>
      <c r="P93" s="318" t="s">
        <v>750</v>
      </c>
      <c r="Q93" s="340" t="s">
        <v>315</v>
      </c>
      <c r="R93" s="318" t="s">
        <v>830</v>
      </c>
      <c r="S93" s="317" t="s">
        <v>885</v>
      </c>
      <c r="T93" s="318" t="s">
        <v>324</v>
      </c>
      <c r="U93" s="318" t="s">
        <v>324</v>
      </c>
      <c r="V93" s="318" t="s">
        <v>324</v>
      </c>
      <c r="W93" s="318" t="s">
        <v>324</v>
      </c>
      <c r="X93" s="318" t="s">
        <v>282</v>
      </c>
      <c r="Y93" s="318" t="s">
        <v>327</v>
      </c>
      <c r="Z93" s="318" t="s">
        <v>324</v>
      </c>
      <c r="AA93" s="318" t="s">
        <v>324</v>
      </c>
      <c r="AB93" s="348" t="s">
        <v>939</v>
      </c>
      <c r="AC93" s="175" t="s">
        <v>903</v>
      </c>
      <c r="AD93" s="335" t="s">
        <v>470</v>
      </c>
      <c r="AE93" s="318" t="s">
        <v>369</v>
      </c>
      <c r="AF93" s="318" t="s">
        <v>282</v>
      </c>
      <c r="AG93" s="318" t="s">
        <v>315</v>
      </c>
      <c r="AH93" s="317" t="s">
        <v>935</v>
      </c>
      <c r="AI93" s="318" t="s">
        <v>443</v>
      </c>
      <c r="AJ93" s="330" t="s">
        <v>906</v>
      </c>
      <c r="AK93" s="336" t="s">
        <v>324</v>
      </c>
      <c r="AL93" s="318" t="s">
        <v>315</v>
      </c>
      <c r="AM93" s="318" t="s">
        <v>944</v>
      </c>
      <c r="AN93" s="336" t="s">
        <v>324</v>
      </c>
      <c r="AO93" s="336" t="s">
        <v>324</v>
      </c>
      <c r="AP93" s="336" t="s">
        <v>324</v>
      </c>
      <c r="AQ93" s="318"/>
      <c r="AR93" s="325"/>
      <c r="AS93" s="143"/>
    </row>
    <row r="94">
      <c r="A94" s="68"/>
      <c r="B94" s="69" t="s">
        <v>479</v>
      </c>
      <c r="C94" s="288">
        <v>43483.0</v>
      </c>
      <c r="D94" s="71" t="s">
        <v>258</v>
      </c>
      <c r="E94" s="72">
        <v>43576.0</v>
      </c>
      <c r="F94" s="73" t="s">
        <v>280</v>
      </c>
      <c r="G94" s="72">
        <v>43581.0</v>
      </c>
      <c r="H94" s="73" t="s">
        <v>282</v>
      </c>
      <c r="I94" s="128" t="s">
        <v>945</v>
      </c>
      <c r="J94" s="343" t="s">
        <v>133</v>
      </c>
      <c r="K94" s="129" t="s">
        <v>933</v>
      </c>
      <c r="L94" s="304" t="s">
        <v>309</v>
      </c>
      <c r="M94" s="305" t="s">
        <v>291</v>
      </c>
      <c r="N94" s="293" t="s">
        <v>470</v>
      </c>
      <c r="O94" s="297" t="s">
        <v>750</v>
      </c>
      <c r="P94" s="297" t="s">
        <v>750</v>
      </c>
      <c r="Q94" s="331" t="s">
        <v>315</v>
      </c>
      <c r="R94" s="297" t="s">
        <v>830</v>
      </c>
      <c r="S94" s="293" t="s">
        <v>886</v>
      </c>
      <c r="T94" s="297" t="s">
        <v>324</v>
      </c>
      <c r="U94" s="297" t="s">
        <v>324</v>
      </c>
      <c r="V94" s="297" t="s">
        <v>324</v>
      </c>
      <c r="W94" s="297" t="s">
        <v>324</v>
      </c>
      <c r="X94" s="297" t="s">
        <v>282</v>
      </c>
      <c r="Y94" s="297" t="s">
        <v>282</v>
      </c>
      <c r="Z94" s="297" t="s">
        <v>324</v>
      </c>
      <c r="AA94" s="297" t="s">
        <v>324</v>
      </c>
      <c r="AB94" s="298" t="s">
        <v>946</v>
      </c>
      <c r="AC94" s="138" t="s">
        <v>903</v>
      </c>
      <c r="AD94" s="345" t="s">
        <v>470</v>
      </c>
      <c r="AE94" s="297" t="s">
        <v>369</v>
      </c>
      <c r="AF94" s="297" t="s">
        <v>315</v>
      </c>
      <c r="AG94" s="297" t="s">
        <v>315</v>
      </c>
      <c r="AH94" s="293" t="s">
        <v>947</v>
      </c>
      <c r="AI94" s="297" t="s">
        <v>443</v>
      </c>
      <c r="AJ94" s="293" t="s">
        <v>906</v>
      </c>
      <c r="AK94" s="329" t="s">
        <v>324</v>
      </c>
      <c r="AL94" s="297" t="s">
        <v>315</v>
      </c>
      <c r="AM94" s="293" t="s">
        <v>907</v>
      </c>
      <c r="AN94" s="329" t="s">
        <v>324</v>
      </c>
      <c r="AO94" s="329" t="s">
        <v>324</v>
      </c>
      <c r="AP94" s="329" t="s">
        <v>324</v>
      </c>
      <c r="AQ94" s="330" t="s">
        <v>948</v>
      </c>
      <c r="AR94" s="309">
        <v>18.0</v>
      </c>
      <c r="AS94" s="67"/>
    </row>
    <row r="95">
      <c r="A95" s="94"/>
      <c r="B95" s="69"/>
      <c r="C95" s="288"/>
      <c r="D95" s="71"/>
      <c r="E95" s="96"/>
      <c r="F95" s="96"/>
      <c r="G95" s="96"/>
      <c r="H95" s="96"/>
      <c r="I95" s="128"/>
      <c r="J95" s="343"/>
      <c r="K95" s="304"/>
      <c r="L95" s="304"/>
      <c r="M95" s="305"/>
      <c r="N95" s="292"/>
      <c r="O95" s="297"/>
      <c r="P95" s="297"/>
      <c r="Q95" s="357"/>
      <c r="R95" s="297"/>
      <c r="S95" s="292"/>
      <c r="T95" s="297"/>
      <c r="U95" s="297"/>
      <c r="V95" s="297"/>
      <c r="W95" s="297"/>
      <c r="X95" s="297"/>
      <c r="Y95" s="297"/>
      <c r="Z95" s="297"/>
      <c r="AA95" s="297"/>
      <c r="AB95" s="308"/>
      <c r="AC95" s="138"/>
      <c r="AD95" s="328"/>
      <c r="AE95" s="297"/>
      <c r="AF95" s="297"/>
      <c r="AG95" s="297"/>
      <c r="AH95" s="292"/>
      <c r="AI95" s="297"/>
      <c r="AJ95" s="297"/>
      <c r="AK95" s="329"/>
      <c r="AL95" s="297"/>
      <c r="AM95" s="297"/>
      <c r="AN95" s="329"/>
      <c r="AO95" s="329"/>
      <c r="AP95" s="329"/>
      <c r="AQ95" s="318"/>
      <c r="AR95" s="309"/>
      <c r="AS95" s="67"/>
    </row>
    <row r="96">
      <c r="A96" s="166"/>
      <c r="B96" s="167"/>
      <c r="C96" s="310"/>
      <c r="D96" s="169"/>
      <c r="E96" s="170"/>
      <c r="F96" s="170"/>
      <c r="G96" s="170"/>
      <c r="H96" s="180" t="s">
        <v>938</v>
      </c>
      <c r="I96" s="332"/>
      <c r="J96" s="358"/>
      <c r="K96" s="333"/>
      <c r="L96" s="333" t="s">
        <v>309</v>
      </c>
      <c r="M96" s="316" t="s">
        <v>291</v>
      </c>
      <c r="N96" s="317" t="s">
        <v>470</v>
      </c>
      <c r="O96" s="318" t="s">
        <v>750</v>
      </c>
      <c r="P96" s="318" t="s">
        <v>750</v>
      </c>
      <c r="Q96" s="340" t="s">
        <v>315</v>
      </c>
      <c r="R96" s="318" t="s">
        <v>830</v>
      </c>
      <c r="S96" s="317" t="s">
        <v>886</v>
      </c>
      <c r="T96" s="318" t="s">
        <v>324</v>
      </c>
      <c r="U96" s="318" t="s">
        <v>324</v>
      </c>
      <c r="V96" s="318" t="s">
        <v>324</v>
      </c>
      <c r="W96" s="318" t="s">
        <v>324</v>
      </c>
      <c r="X96" s="318" t="s">
        <v>282</v>
      </c>
      <c r="Y96" s="318" t="s">
        <v>327</v>
      </c>
      <c r="Z96" s="318" t="s">
        <v>324</v>
      </c>
      <c r="AA96" s="318" t="s">
        <v>324</v>
      </c>
      <c r="AB96" s="348" t="s">
        <v>950</v>
      </c>
      <c r="AC96" s="175" t="s">
        <v>903</v>
      </c>
      <c r="AD96" s="335" t="s">
        <v>470</v>
      </c>
      <c r="AE96" s="318" t="s">
        <v>369</v>
      </c>
      <c r="AF96" s="318" t="s">
        <v>282</v>
      </c>
      <c r="AG96" s="318" t="s">
        <v>315</v>
      </c>
      <c r="AH96" s="317" t="s">
        <v>947</v>
      </c>
      <c r="AI96" s="318" t="s">
        <v>443</v>
      </c>
      <c r="AJ96" s="330" t="s">
        <v>906</v>
      </c>
      <c r="AK96" s="336" t="s">
        <v>324</v>
      </c>
      <c r="AL96" s="318" t="s">
        <v>315</v>
      </c>
      <c r="AM96" s="318" t="s">
        <v>952</v>
      </c>
      <c r="AN96" s="336" t="s">
        <v>324</v>
      </c>
      <c r="AO96" s="336" t="s">
        <v>324</v>
      </c>
      <c r="AP96" s="336" t="s">
        <v>324</v>
      </c>
      <c r="AQ96" s="318"/>
      <c r="AR96" s="325"/>
      <c r="AS96" s="143"/>
    </row>
    <row r="97">
      <c r="A97" s="94"/>
      <c r="B97" s="69" t="s">
        <v>479</v>
      </c>
      <c r="C97" s="288">
        <v>43483.0</v>
      </c>
      <c r="D97" s="71" t="s">
        <v>258</v>
      </c>
      <c r="E97" s="72">
        <v>43576.0</v>
      </c>
      <c r="F97" s="73" t="s">
        <v>280</v>
      </c>
      <c r="G97" s="72">
        <v>43581.0</v>
      </c>
      <c r="H97" s="73" t="s">
        <v>282</v>
      </c>
      <c r="I97" s="128" t="s">
        <v>953</v>
      </c>
      <c r="J97" s="343" t="s">
        <v>134</v>
      </c>
      <c r="K97" s="129" t="s">
        <v>455</v>
      </c>
      <c r="L97" s="304" t="s">
        <v>311</v>
      </c>
      <c r="M97" s="305" t="s">
        <v>397</v>
      </c>
      <c r="N97" s="292" t="s">
        <v>475</v>
      </c>
      <c r="O97" s="297" t="s">
        <v>750</v>
      </c>
      <c r="P97" s="292" t="s">
        <v>778</v>
      </c>
      <c r="Q97" s="297" t="s">
        <v>818</v>
      </c>
      <c r="R97" s="297" t="s">
        <v>831</v>
      </c>
      <c r="S97" s="292" t="s">
        <v>887</v>
      </c>
      <c r="T97" s="297" t="s">
        <v>282</v>
      </c>
      <c r="U97" s="297" t="s">
        <v>324</v>
      </c>
      <c r="V97" s="297" t="s">
        <v>324</v>
      </c>
      <c r="W97" s="297" t="s">
        <v>324</v>
      </c>
      <c r="X97" s="297" t="s">
        <v>327</v>
      </c>
      <c r="Y97" s="297" t="s">
        <v>327</v>
      </c>
      <c r="Z97" s="297" t="s">
        <v>324</v>
      </c>
      <c r="AA97" s="297" t="s">
        <v>324</v>
      </c>
      <c r="AB97" s="297" t="s">
        <v>954</v>
      </c>
      <c r="AC97" s="297" t="s">
        <v>750</v>
      </c>
      <c r="AD97" s="297" t="s">
        <v>750</v>
      </c>
      <c r="AE97" s="297" t="s">
        <v>315</v>
      </c>
      <c r="AF97" s="297" t="s">
        <v>315</v>
      </c>
      <c r="AG97" s="297" t="s">
        <v>315</v>
      </c>
      <c r="AH97" s="292" t="s">
        <v>955</v>
      </c>
      <c r="AI97" s="297" t="s">
        <v>609</v>
      </c>
      <c r="AJ97" s="297" t="s">
        <v>956</v>
      </c>
      <c r="AK97" s="297" t="s">
        <v>366</v>
      </c>
      <c r="AL97" s="297" t="s">
        <v>315</v>
      </c>
      <c r="AM97" s="297" t="s">
        <v>315</v>
      </c>
      <c r="AN97" s="329" t="s">
        <v>324</v>
      </c>
      <c r="AO97" s="329" t="s">
        <v>324</v>
      </c>
      <c r="AP97" s="329" t="s">
        <v>324</v>
      </c>
      <c r="AQ97" s="330" t="s">
        <v>957</v>
      </c>
      <c r="AR97" s="309">
        <v>25.0</v>
      </c>
      <c r="AS97" s="67"/>
    </row>
    <row r="98">
      <c r="A98" s="94"/>
      <c r="B98" s="69"/>
      <c r="C98" s="288"/>
      <c r="D98" s="71"/>
      <c r="E98" s="96"/>
      <c r="F98" s="96"/>
      <c r="G98" s="96"/>
      <c r="H98" s="96"/>
      <c r="I98" s="128"/>
      <c r="J98" s="343"/>
      <c r="K98" s="304"/>
      <c r="L98" s="304"/>
      <c r="M98" s="305"/>
      <c r="N98" s="292"/>
      <c r="O98" s="297"/>
      <c r="P98" s="292"/>
      <c r="Q98" s="297"/>
      <c r="R98" s="297"/>
      <c r="S98" s="292"/>
      <c r="T98" s="297"/>
      <c r="U98" s="297"/>
      <c r="V98" s="297"/>
      <c r="W98" s="297"/>
      <c r="X98" s="297"/>
      <c r="Y98" s="297"/>
      <c r="Z98" s="297"/>
      <c r="AA98" s="297"/>
      <c r="AB98" s="297"/>
      <c r="AC98" s="297"/>
      <c r="AD98" s="297"/>
      <c r="AE98" s="297"/>
      <c r="AF98" s="297"/>
      <c r="AG98" s="297"/>
      <c r="AH98" s="292"/>
      <c r="AI98" s="297"/>
      <c r="AJ98" s="297"/>
      <c r="AK98" s="297"/>
      <c r="AL98" s="297"/>
      <c r="AM98" s="297"/>
      <c r="AN98" s="329"/>
      <c r="AO98" s="329"/>
      <c r="AP98" s="329"/>
      <c r="AQ98" s="318"/>
      <c r="AR98" s="309"/>
      <c r="AS98" s="67"/>
    </row>
    <row r="99">
      <c r="A99" s="94"/>
      <c r="B99" s="69"/>
      <c r="C99" s="288"/>
      <c r="D99" s="71"/>
      <c r="E99" s="96"/>
      <c r="F99" s="96"/>
      <c r="G99" s="96"/>
      <c r="H99" s="96"/>
      <c r="I99" s="128"/>
      <c r="J99" s="343"/>
      <c r="K99" s="304"/>
      <c r="L99" s="304" t="s">
        <v>311</v>
      </c>
      <c r="M99" s="305" t="s">
        <v>397</v>
      </c>
      <c r="N99" s="292" t="s">
        <v>475</v>
      </c>
      <c r="O99" s="297" t="s">
        <v>750</v>
      </c>
      <c r="P99" s="292" t="s">
        <v>778</v>
      </c>
      <c r="Q99" s="297" t="s">
        <v>818</v>
      </c>
      <c r="R99" s="297" t="s">
        <v>831</v>
      </c>
      <c r="S99" s="292" t="s">
        <v>887</v>
      </c>
      <c r="T99" s="297" t="s">
        <v>282</v>
      </c>
      <c r="U99" s="297" t="s">
        <v>324</v>
      </c>
      <c r="V99" s="297" t="s">
        <v>324</v>
      </c>
      <c r="W99" s="297" t="s">
        <v>324</v>
      </c>
      <c r="X99" s="297" t="s">
        <v>327</v>
      </c>
      <c r="Y99" s="297" t="s">
        <v>327</v>
      </c>
      <c r="Z99" s="297" t="s">
        <v>324</v>
      </c>
      <c r="AA99" s="297" t="s">
        <v>324</v>
      </c>
      <c r="AB99" s="297" t="s">
        <v>954</v>
      </c>
      <c r="AC99" s="297" t="s">
        <v>750</v>
      </c>
      <c r="AD99" s="297" t="s">
        <v>750</v>
      </c>
      <c r="AE99" s="297" t="s">
        <v>315</v>
      </c>
      <c r="AF99" s="297" t="s">
        <v>315</v>
      </c>
      <c r="AG99" s="297" t="s">
        <v>315</v>
      </c>
      <c r="AH99" s="292" t="s">
        <v>955</v>
      </c>
      <c r="AI99" s="297" t="s">
        <v>609</v>
      </c>
      <c r="AJ99" s="297" t="s">
        <v>956</v>
      </c>
      <c r="AK99" s="297" t="s">
        <v>366</v>
      </c>
      <c r="AL99" s="297" t="s">
        <v>315</v>
      </c>
      <c r="AM99" s="297" t="s">
        <v>315</v>
      </c>
      <c r="AN99" s="329" t="s">
        <v>324</v>
      </c>
      <c r="AO99" s="329" t="s">
        <v>324</v>
      </c>
      <c r="AP99" s="329" t="s">
        <v>324</v>
      </c>
      <c r="AQ99" s="318"/>
      <c r="AR99" s="309"/>
      <c r="AS99" s="67"/>
    </row>
    <row r="100">
      <c r="A100" s="94"/>
      <c r="B100" s="69" t="s">
        <v>479</v>
      </c>
      <c r="C100" s="288">
        <v>43483.0</v>
      </c>
      <c r="D100" s="71" t="s">
        <v>258</v>
      </c>
      <c r="E100" s="72">
        <v>43576.0</v>
      </c>
      <c r="F100" s="73" t="s">
        <v>280</v>
      </c>
      <c r="G100" s="72">
        <v>43581.0</v>
      </c>
      <c r="H100" s="73" t="s">
        <v>282</v>
      </c>
      <c r="I100" s="128" t="s">
        <v>958</v>
      </c>
      <c r="J100" s="343" t="s">
        <v>135</v>
      </c>
      <c r="K100" s="129" t="s">
        <v>455</v>
      </c>
      <c r="L100" s="304" t="s">
        <v>312</v>
      </c>
      <c r="M100" s="305" t="s">
        <v>315</v>
      </c>
      <c r="N100" s="292" t="s">
        <v>476</v>
      </c>
      <c r="O100" s="297" t="s">
        <v>750</v>
      </c>
      <c r="P100" s="297" t="s">
        <v>750</v>
      </c>
      <c r="Q100" s="297" t="s">
        <v>315</v>
      </c>
      <c r="R100" s="297" t="s">
        <v>832</v>
      </c>
      <c r="S100" s="292" t="s">
        <v>458</v>
      </c>
      <c r="T100" s="297" t="s">
        <v>324</v>
      </c>
      <c r="U100" s="297" t="s">
        <v>324</v>
      </c>
      <c r="V100" s="297" t="s">
        <v>324</v>
      </c>
      <c r="W100" s="297" t="s">
        <v>324</v>
      </c>
      <c r="X100" s="297" t="s">
        <v>324</v>
      </c>
      <c r="Y100" s="297" t="s">
        <v>324</v>
      </c>
      <c r="Z100" s="297" t="s">
        <v>324</v>
      </c>
      <c r="AA100" s="297" t="s">
        <v>324</v>
      </c>
      <c r="AB100" s="329" t="s">
        <v>324</v>
      </c>
      <c r="AC100" s="297" t="s">
        <v>324</v>
      </c>
      <c r="AD100" s="297" t="s">
        <v>750</v>
      </c>
      <c r="AE100" s="297" t="s">
        <v>315</v>
      </c>
      <c r="AF100" s="297" t="s">
        <v>315</v>
      </c>
      <c r="AG100" s="297" t="s">
        <v>315</v>
      </c>
      <c r="AH100" s="292" t="s">
        <v>960</v>
      </c>
      <c r="AI100" s="297" t="s">
        <v>961</v>
      </c>
      <c r="AJ100" s="297" t="s">
        <v>324</v>
      </c>
      <c r="AK100" s="297" t="s">
        <v>282</v>
      </c>
      <c r="AL100" s="297" t="s">
        <v>315</v>
      </c>
      <c r="AM100" s="329" t="s">
        <v>324</v>
      </c>
      <c r="AN100" s="329" t="s">
        <v>324</v>
      </c>
      <c r="AO100" s="329" t="s">
        <v>324</v>
      </c>
      <c r="AP100" s="329" t="s">
        <v>324</v>
      </c>
      <c r="AQ100" s="330" t="s">
        <v>962</v>
      </c>
      <c r="AR100" s="309">
        <v>20.0</v>
      </c>
      <c r="AS100" s="67"/>
    </row>
    <row r="101">
      <c r="A101" s="94"/>
      <c r="B101" s="69"/>
      <c r="C101" s="288"/>
      <c r="D101" s="71"/>
      <c r="E101" s="96"/>
      <c r="F101" s="96"/>
      <c r="G101" s="96"/>
      <c r="H101" s="96"/>
      <c r="I101" s="128"/>
      <c r="J101" s="343"/>
      <c r="K101" s="304"/>
      <c r="L101" s="304"/>
      <c r="M101" s="305"/>
      <c r="N101" s="292"/>
      <c r="O101" s="297"/>
      <c r="P101" s="297"/>
      <c r="Q101" s="297"/>
      <c r="R101" s="297"/>
      <c r="S101" s="292"/>
      <c r="T101" s="297"/>
      <c r="U101" s="297"/>
      <c r="V101" s="297"/>
      <c r="W101" s="297"/>
      <c r="X101" s="297"/>
      <c r="Y101" s="297"/>
      <c r="Z101" s="297"/>
      <c r="AA101" s="297"/>
      <c r="AB101" s="329"/>
      <c r="AC101" s="297"/>
      <c r="AD101" s="297"/>
      <c r="AE101" s="297"/>
      <c r="AF101" s="297"/>
      <c r="AG101" s="297"/>
      <c r="AH101" s="292"/>
      <c r="AI101" s="297"/>
      <c r="AJ101" s="297"/>
      <c r="AK101" s="297"/>
      <c r="AL101" s="297"/>
      <c r="AM101" s="329"/>
      <c r="AN101" s="329"/>
      <c r="AO101" s="329"/>
      <c r="AP101" s="329"/>
      <c r="AQ101" s="297" t="s">
        <v>963</v>
      </c>
      <c r="AR101" s="309"/>
      <c r="AS101" s="67"/>
    </row>
    <row r="102">
      <c r="A102" s="94"/>
      <c r="B102" s="69"/>
      <c r="C102" s="288"/>
      <c r="D102" s="71"/>
      <c r="E102" s="96"/>
      <c r="F102" s="96"/>
      <c r="G102" s="96"/>
      <c r="H102" s="96"/>
      <c r="I102" s="128"/>
      <c r="J102" s="343"/>
      <c r="K102" s="304"/>
      <c r="L102" s="304" t="s">
        <v>312</v>
      </c>
      <c r="M102" s="305" t="s">
        <v>315</v>
      </c>
      <c r="N102" s="292" t="s">
        <v>476</v>
      </c>
      <c r="O102" s="297" t="s">
        <v>750</v>
      </c>
      <c r="P102" s="297" t="s">
        <v>750</v>
      </c>
      <c r="Q102" s="297" t="s">
        <v>315</v>
      </c>
      <c r="R102" s="297" t="s">
        <v>832</v>
      </c>
      <c r="S102" s="292" t="s">
        <v>458</v>
      </c>
      <c r="T102" s="297" t="s">
        <v>324</v>
      </c>
      <c r="U102" s="297" t="s">
        <v>324</v>
      </c>
      <c r="V102" s="297" t="s">
        <v>324</v>
      </c>
      <c r="W102" s="297" t="s">
        <v>324</v>
      </c>
      <c r="X102" s="297" t="s">
        <v>324</v>
      </c>
      <c r="Y102" s="297" t="s">
        <v>324</v>
      </c>
      <c r="Z102" s="297" t="s">
        <v>324</v>
      </c>
      <c r="AA102" s="297" t="s">
        <v>324</v>
      </c>
      <c r="AB102" s="329" t="s">
        <v>324</v>
      </c>
      <c r="AC102" s="297" t="s">
        <v>324</v>
      </c>
      <c r="AD102" s="297" t="s">
        <v>750</v>
      </c>
      <c r="AE102" s="297" t="s">
        <v>315</v>
      </c>
      <c r="AF102" s="297" t="s">
        <v>315</v>
      </c>
      <c r="AG102" s="297" t="s">
        <v>315</v>
      </c>
      <c r="AH102" s="292" t="s">
        <v>960</v>
      </c>
      <c r="AI102" s="297" t="s">
        <v>961</v>
      </c>
      <c r="AJ102" s="297" t="s">
        <v>324</v>
      </c>
      <c r="AK102" s="297" t="s">
        <v>282</v>
      </c>
      <c r="AL102" s="297" t="s">
        <v>315</v>
      </c>
      <c r="AM102" s="329" t="s">
        <v>324</v>
      </c>
      <c r="AN102" s="329" t="s">
        <v>324</v>
      </c>
      <c r="AO102" s="329" t="s">
        <v>324</v>
      </c>
      <c r="AP102" s="329" t="s">
        <v>324</v>
      </c>
      <c r="AQ102" s="297"/>
      <c r="AR102" s="309"/>
      <c r="AS102" s="67"/>
    </row>
    <row r="103">
      <c r="A103" s="94"/>
      <c r="B103" s="69" t="s">
        <v>479</v>
      </c>
      <c r="C103" s="288">
        <v>43483.0</v>
      </c>
      <c r="D103" s="71" t="s">
        <v>280</v>
      </c>
      <c r="E103" s="72">
        <v>43572.0</v>
      </c>
      <c r="F103" s="73" t="s">
        <v>258</v>
      </c>
      <c r="G103" s="72">
        <v>43580.0</v>
      </c>
      <c r="H103" s="73" t="s">
        <v>282</v>
      </c>
      <c r="I103" s="128" t="s">
        <v>964</v>
      </c>
      <c r="J103" s="343" t="s">
        <v>136</v>
      </c>
      <c r="K103" s="129" t="s">
        <v>455</v>
      </c>
      <c r="L103" s="304" t="s">
        <v>311</v>
      </c>
      <c r="M103" s="305" t="s">
        <v>315</v>
      </c>
      <c r="N103" s="292" t="s">
        <v>475</v>
      </c>
      <c r="O103" s="297" t="s">
        <v>750</v>
      </c>
      <c r="P103" s="292" t="s">
        <v>778</v>
      </c>
      <c r="Q103" s="297" t="s">
        <v>818</v>
      </c>
      <c r="R103" s="297" t="s">
        <v>831</v>
      </c>
      <c r="S103" s="292" t="s">
        <v>887</v>
      </c>
      <c r="T103" s="297" t="s">
        <v>282</v>
      </c>
      <c r="U103" s="297" t="s">
        <v>324</v>
      </c>
      <c r="V103" s="297" t="s">
        <v>324</v>
      </c>
      <c r="W103" s="297" t="s">
        <v>324</v>
      </c>
      <c r="X103" s="297" t="s">
        <v>327</v>
      </c>
      <c r="Y103" s="297" t="s">
        <v>327</v>
      </c>
      <c r="Z103" s="297" t="s">
        <v>324</v>
      </c>
      <c r="AA103" s="297" t="s">
        <v>324</v>
      </c>
      <c r="AB103" s="297" t="s">
        <v>954</v>
      </c>
      <c r="AC103" s="297" t="s">
        <v>750</v>
      </c>
      <c r="AD103" s="297" t="s">
        <v>750</v>
      </c>
      <c r="AE103" s="297" t="s">
        <v>315</v>
      </c>
      <c r="AF103" s="297" t="s">
        <v>315</v>
      </c>
      <c r="AG103" s="297" t="s">
        <v>315</v>
      </c>
      <c r="AH103" s="292" t="s">
        <v>955</v>
      </c>
      <c r="AI103" s="297" t="s">
        <v>609</v>
      </c>
      <c r="AJ103" s="297" t="s">
        <v>956</v>
      </c>
      <c r="AK103" s="297" t="s">
        <v>366</v>
      </c>
      <c r="AL103" s="297" t="s">
        <v>315</v>
      </c>
      <c r="AM103" s="297" t="s">
        <v>315</v>
      </c>
      <c r="AN103" s="329" t="s">
        <v>324</v>
      </c>
      <c r="AO103" s="329" t="s">
        <v>324</v>
      </c>
      <c r="AP103" s="329" t="s">
        <v>324</v>
      </c>
      <c r="AQ103" s="293" t="s">
        <v>966</v>
      </c>
      <c r="AR103" s="309">
        <v>5.0</v>
      </c>
      <c r="AS103" s="67"/>
    </row>
    <row r="104">
      <c r="A104" s="94"/>
      <c r="B104" s="69"/>
      <c r="C104" s="288"/>
      <c r="D104" s="71"/>
      <c r="E104" s="96"/>
      <c r="F104" s="96"/>
      <c r="G104" s="96"/>
      <c r="H104" s="96"/>
      <c r="I104" s="128"/>
      <c r="J104" s="343"/>
      <c r="K104" s="304"/>
      <c r="L104" s="304"/>
      <c r="M104" s="305"/>
      <c r="N104" s="292"/>
      <c r="O104" s="297"/>
      <c r="P104" s="292"/>
      <c r="Q104" s="297"/>
      <c r="R104" s="297"/>
      <c r="S104" s="292"/>
      <c r="T104" s="297"/>
      <c r="U104" s="297"/>
      <c r="V104" s="297"/>
      <c r="W104" s="297"/>
      <c r="X104" s="297"/>
      <c r="Y104" s="297"/>
      <c r="Z104" s="297"/>
      <c r="AA104" s="297"/>
      <c r="AB104" s="297"/>
      <c r="AC104" s="297" t="s">
        <v>967</v>
      </c>
      <c r="AD104" s="293" t="s">
        <v>968</v>
      </c>
      <c r="AE104" s="297"/>
      <c r="AF104" s="297"/>
      <c r="AG104" s="297"/>
      <c r="AH104" s="292"/>
      <c r="AI104" s="297" t="s">
        <v>443</v>
      </c>
      <c r="AJ104" s="297"/>
      <c r="AK104" s="297"/>
      <c r="AL104" s="297"/>
      <c r="AM104" s="297"/>
      <c r="AN104" s="329"/>
      <c r="AO104" s="329"/>
      <c r="AP104" s="329"/>
      <c r="AQ104" s="297"/>
      <c r="AR104" s="309"/>
      <c r="AS104" s="67"/>
    </row>
    <row r="105">
      <c r="A105" s="166"/>
      <c r="B105" s="167"/>
      <c r="C105" s="310"/>
      <c r="D105" s="169"/>
      <c r="E105" s="170"/>
      <c r="F105" s="170"/>
      <c r="G105" s="170"/>
      <c r="H105" s="170"/>
      <c r="I105" s="332"/>
      <c r="J105" s="358"/>
      <c r="K105" s="333"/>
      <c r="L105" s="333" t="s">
        <v>311</v>
      </c>
      <c r="M105" s="316" t="s">
        <v>315</v>
      </c>
      <c r="N105" s="317" t="s">
        <v>475</v>
      </c>
      <c r="O105" s="318" t="s">
        <v>750</v>
      </c>
      <c r="P105" s="317" t="s">
        <v>778</v>
      </c>
      <c r="Q105" s="318" t="s">
        <v>818</v>
      </c>
      <c r="R105" s="318" t="s">
        <v>831</v>
      </c>
      <c r="S105" s="317" t="s">
        <v>887</v>
      </c>
      <c r="T105" s="318" t="s">
        <v>282</v>
      </c>
      <c r="U105" s="318" t="s">
        <v>324</v>
      </c>
      <c r="V105" s="318" t="s">
        <v>324</v>
      </c>
      <c r="W105" s="318" t="s">
        <v>324</v>
      </c>
      <c r="X105" s="318" t="s">
        <v>324</v>
      </c>
      <c r="Y105" s="318" t="s">
        <v>327</v>
      </c>
      <c r="Z105" s="318" t="s">
        <v>324</v>
      </c>
      <c r="AA105" s="318" t="s">
        <v>324</v>
      </c>
      <c r="AB105" s="318"/>
      <c r="AC105" s="318" t="s">
        <v>967</v>
      </c>
      <c r="AD105" s="330" t="s">
        <v>968</v>
      </c>
      <c r="AE105" s="318" t="s">
        <v>315</v>
      </c>
      <c r="AF105" s="318" t="s">
        <v>315</v>
      </c>
      <c r="AG105" s="318" t="s">
        <v>315</v>
      </c>
      <c r="AH105" s="317" t="s">
        <v>955</v>
      </c>
      <c r="AI105" s="318" t="s">
        <v>443</v>
      </c>
      <c r="AJ105" s="318" t="s">
        <v>956</v>
      </c>
      <c r="AK105" s="318" t="s">
        <v>366</v>
      </c>
      <c r="AL105" s="318" t="s">
        <v>315</v>
      </c>
      <c r="AM105" s="318"/>
      <c r="AN105" s="336"/>
      <c r="AO105" s="336"/>
      <c r="AP105" s="336"/>
      <c r="AQ105" s="318" t="s">
        <v>983</v>
      </c>
      <c r="AR105" s="325"/>
      <c r="AS105" s="143"/>
    </row>
    <row r="106">
      <c r="A106" s="94"/>
      <c r="B106" s="69" t="s">
        <v>479</v>
      </c>
      <c r="C106" s="288">
        <v>43483.0</v>
      </c>
      <c r="D106" s="71" t="s">
        <v>280</v>
      </c>
      <c r="E106" s="72">
        <v>43572.0</v>
      </c>
      <c r="F106" s="73" t="s">
        <v>258</v>
      </c>
      <c r="G106" s="72">
        <v>43580.0</v>
      </c>
      <c r="H106" s="73" t="s">
        <v>282</v>
      </c>
      <c r="I106" s="128" t="s">
        <v>984</v>
      </c>
      <c r="J106" s="343" t="s">
        <v>137</v>
      </c>
      <c r="K106" s="304" t="s">
        <v>985</v>
      </c>
      <c r="L106" s="304" t="s">
        <v>312</v>
      </c>
      <c r="M106" s="305" t="s">
        <v>315</v>
      </c>
      <c r="N106" s="292" t="s">
        <v>477</v>
      </c>
      <c r="O106" s="297" t="s">
        <v>750</v>
      </c>
      <c r="P106" s="297" t="s">
        <v>750</v>
      </c>
      <c r="Q106" s="297" t="s">
        <v>315</v>
      </c>
      <c r="R106" s="297" t="s">
        <v>832</v>
      </c>
      <c r="S106" s="292" t="s">
        <v>458</v>
      </c>
      <c r="T106" s="297" t="s">
        <v>324</v>
      </c>
      <c r="U106" s="297" t="s">
        <v>324</v>
      </c>
      <c r="V106" s="297" t="s">
        <v>324</v>
      </c>
      <c r="W106" s="297" t="s">
        <v>324</v>
      </c>
      <c r="X106" s="297" t="s">
        <v>324</v>
      </c>
      <c r="Y106" s="297" t="s">
        <v>324</v>
      </c>
      <c r="Z106" s="297" t="s">
        <v>324</v>
      </c>
      <c r="AA106" s="297" t="s">
        <v>324</v>
      </c>
      <c r="AB106" s="329" t="s">
        <v>324</v>
      </c>
      <c r="AC106" s="297" t="s">
        <v>324</v>
      </c>
      <c r="AD106" s="297" t="s">
        <v>750</v>
      </c>
      <c r="AE106" s="297" t="s">
        <v>315</v>
      </c>
      <c r="AF106" s="297" t="s">
        <v>315</v>
      </c>
      <c r="AG106" s="297" t="s">
        <v>315</v>
      </c>
      <c r="AH106" s="292" t="s">
        <v>1002</v>
      </c>
      <c r="AI106" s="297" t="s">
        <v>961</v>
      </c>
      <c r="AJ106" s="297" t="s">
        <v>1018</v>
      </c>
      <c r="AK106" s="297" t="s">
        <v>315</v>
      </c>
      <c r="AL106" s="297" t="s">
        <v>315</v>
      </c>
      <c r="AM106" s="329" t="s">
        <v>324</v>
      </c>
      <c r="AN106" s="329" t="s">
        <v>324</v>
      </c>
      <c r="AO106" s="329" t="s">
        <v>324</v>
      </c>
      <c r="AP106" s="329" t="s">
        <v>324</v>
      </c>
      <c r="AQ106" s="293" t="s">
        <v>1020</v>
      </c>
      <c r="AR106" s="309">
        <v>15.0</v>
      </c>
      <c r="AS106" s="67"/>
    </row>
    <row r="107">
      <c r="A107" s="94"/>
      <c r="B107" s="69"/>
      <c r="C107" s="288"/>
      <c r="D107" s="71"/>
      <c r="E107" s="96"/>
      <c r="F107" s="96"/>
      <c r="G107" s="96"/>
      <c r="H107" s="96"/>
      <c r="I107" s="128"/>
      <c r="J107" s="343"/>
      <c r="K107" s="304"/>
      <c r="L107" s="304"/>
      <c r="M107" s="305"/>
      <c r="N107" s="292"/>
      <c r="O107" s="297"/>
      <c r="P107" s="297"/>
      <c r="Q107" s="297"/>
      <c r="R107" s="297"/>
      <c r="S107" s="292"/>
      <c r="T107" s="297"/>
      <c r="U107" s="297"/>
      <c r="V107" s="297"/>
      <c r="W107" s="297"/>
      <c r="X107" s="297"/>
      <c r="Y107" s="297"/>
      <c r="Z107" s="297"/>
      <c r="AA107" s="297"/>
      <c r="AB107" s="329"/>
      <c r="AC107" s="297"/>
      <c r="AD107" s="297"/>
      <c r="AE107" s="297"/>
      <c r="AF107" s="297"/>
      <c r="AG107" s="297"/>
      <c r="AH107" s="292"/>
      <c r="AI107" s="297" t="s">
        <v>443</v>
      </c>
      <c r="AJ107" s="297"/>
      <c r="AK107" s="297"/>
      <c r="AL107" s="297"/>
      <c r="AM107" s="329"/>
      <c r="AN107" s="329"/>
      <c r="AO107" s="329"/>
      <c r="AP107" s="329"/>
      <c r="AQ107" s="297"/>
      <c r="AR107" s="309"/>
      <c r="AS107" s="67"/>
    </row>
    <row r="108">
      <c r="A108" s="166"/>
      <c r="B108" s="167"/>
      <c r="C108" s="310"/>
      <c r="D108" s="169"/>
      <c r="E108" s="170"/>
      <c r="F108" s="170"/>
      <c r="G108" s="170"/>
      <c r="H108" s="170"/>
      <c r="I108" s="332"/>
      <c r="J108" s="358"/>
      <c r="K108" s="333"/>
      <c r="L108" s="333" t="s">
        <v>312</v>
      </c>
      <c r="M108" s="316" t="s">
        <v>315</v>
      </c>
      <c r="N108" s="317" t="s">
        <v>477</v>
      </c>
      <c r="O108" s="318"/>
      <c r="P108" s="318"/>
      <c r="Q108" s="318" t="s">
        <v>315</v>
      </c>
      <c r="R108" s="135" t="s">
        <v>833</v>
      </c>
      <c r="S108" s="317" t="s">
        <v>458</v>
      </c>
      <c r="T108" s="318" t="s">
        <v>324</v>
      </c>
      <c r="U108" s="318" t="s">
        <v>324</v>
      </c>
      <c r="V108" s="318" t="s">
        <v>324</v>
      </c>
      <c r="W108" s="318" t="s">
        <v>324</v>
      </c>
      <c r="X108" s="318" t="s">
        <v>324</v>
      </c>
      <c r="Y108" s="318" t="s">
        <v>324</v>
      </c>
      <c r="Z108" s="318" t="s">
        <v>324</v>
      </c>
      <c r="AA108" s="318" t="s">
        <v>324</v>
      </c>
      <c r="AB108" s="336"/>
      <c r="AC108" s="318"/>
      <c r="AD108" s="318"/>
      <c r="AE108" s="318" t="s">
        <v>315</v>
      </c>
      <c r="AF108" s="318" t="s">
        <v>315</v>
      </c>
      <c r="AG108" s="318" t="s">
        <v>315</v>
      </c>
      <c r="AH108" s="317" t="s">
        <v>1002</v>
      </c>
      <c r="AI108" s="318" t="s">
        <v>443</v>
      </c>
      <c r="AJ108" s="318" t="s">
        <v>1018</v>
      </c>
      <c r="AK108" s="318" t="s">
        <v>315</v>
      </c>
      <c r="AL108" s="318" t="s">
        <v>315</v>
      </c>
      <c r="AM108" s="336"/>
      <c r="AN108" s="336"/>
      <c r="AO108" s="336"/>
      <c r="AP108" s="336"/>
      <c r="AQ108" s="330" t="s">
        <v>1020</v>
      </c>
      <c r="AR108" s="325"/>
      <c r="AS108" s="143"/>
    </row>
    <row r="109">
      <c r="A109" s="94"/>
      <c r="B109" s="69" t="s">
        <v>479</v>
      </c>
      <c r="C109" s="288">
        <v>43483.0</v>
      </c>
      <c r="D109" s="71" t="s">
        <v>280</v>
      </c>
      <c r="E109" s="72">
        <v>43572.0</v>
      </c>
      <c r="F109" s="73" t="s">
        <v>258</v>
      </c>
      <c r="G109" s="72">
        <v>43580.0</v>
      </c>
      <c r="H109" s="73" t="s">
        <v>282</v>
      </c>
      <c r="I109" s="128" t="s">
        <v>1023</v>
      </c>
      <c r="J109" s="343" t="s">
        <v>138</v>
      </c>
      <c r="K109" s="304" t="s">
        <v>812</v>
      </c>
      <c r="L109" s="304" t="s">
        <v>313</v>
      </c>
      <c r="M109" s="305" t="s">
        <v>291</v>
      </c>
      <c r="N109" s="292" t="s">
        <v>478</v>
      </c>
      <c r="O109" s="297" t="s">
        <v>750</v>
      </c>
      <c r="P109" s="297" t="s">
        <v>750</v>
      </c>
      <c r="Q109" s="297" t="s">
        <v>315</v>
      </c>
      <c r="R109" s="297" t="s">
        <v>324</v>
      </c>
      <c r="S109" s="297" t="s">
        <v>750</v>
      </c>
      <c r="T109" s="297" t="s">
        <v>324</v>
      </c>
      <c r="U109" s="297" t="s">
        <v>324</v>
      </c>
      <c r="V109" s="297" t="s">
        <v>324</v>
      </c>
      <c r="W109" s="297" t="s">
        <v>324</v>
      </c>
      <c r="X109" s="297" t="s">
        <v>324</v>
      </c>
      <c r="Y109" s="297" t="s">
        <v>324</v>
      </c>
      <c r="Z109" s="297" t="s">
        <v>324</v>
      </c>
      <c r="AA109" s="297" t="s">
        <v>324</v>
      </c>
      <c r="AB109" s="297" t="s">
        <v>324</v>
      </c>
      <c r="AC109" s="297" t="s">
        <v>324</v>
      </c>
      <c r="AD109" s="297" t="s">
        <v>750</v>
      </c>
      <c r="AE109" s="297" t="s">
        <v>315</v>
      </c>
      <c r="AF109" s="297" t="s">
        <v>315</v>
      </c>
      <c r="AG109" s="297" t="s">
        <v>315</v>
      </c>
      <c r="AH109" s="292" t="s">
        <v>1024</v>
      </c>
      <c r="AI109" s="297" t="s">
        <v>443</v>
      </c>
      <c r="AJ109" s="297" t="s">
        <v>1025</v>
      </c>
      <c r="AK109" s="297" t="s">
        <v>282</v>
      </c>
      <c r="AL109" s="297" t="s">
        <v>315</v>
      </c>
      <c r="AM109" s="297" t="s">
        <v>1026</v>
      </c>
      <c r="AN109" s="329" t="s">
        <v>324</v>
      </c>
      <c r="AO109" s="329" t="s">
        <v>324</v>
      </c>
      <c r="AP109" s="329" t="s">
        <v>324</v>
      </c>
      <c r="AQ109" s="330" t="s">
        <v>1027</v>
      </c>
      <c r="AR109" s="309">
        <v>25.0</v>
      </c>
      <c r="AS109" s="25" t="s">
        <v>1028</v>
      </c>
    </row>
    <row r="110">
      <c r="A110" s="94"/>
      <c r="B110" s="69"/>
      <c r="C110" s="288"/>
      <c r="D110" s="71"/>
      <c r="E110" s="96"/>
      <c r="F110" s="96"/>
      <c r="G110" s="96"/>
      <c r="H110" s="96"/>
      <c r="I110" s="128"/>
      <c r="J110" s="343"/>
      <c r="K110" s="304"/>
      <c r="L110" s="304"/>
      <c r="M110" s="305"/>
      <c r="N110" s="292"/>
      <c r="O110" s="297"/>
      <c r="P110" s="297"/>
      <c r="Q110" s="297"/>
      <c r="R110" s="297"/>
      <c r="S110" s="297"/>
      <c r="T110" s="297"/>
      <c r="U110" s="297"/>
      <c r="V110" s="297"/>
      <c r="W110" s="297"/>
      <c r="X110" s="297"/>
      <c r="Y110" s="297"/>
      <c r="Z110" s="297"/>
      <c r="AA110" s="297"/>
      <c r="AB110" s="297"/>
      <c r="AC110" s="297" t="s">
        <v>1029</v>
      </c>
      <c r="AD110" s="292" t="s">
        <v>478</v>
      </c>
      <c r="AE110" s="297"/>
      <c r="AF110" s="297"/>
      <c r="AG110" s="297"/>
      <c r="AH110" s="292"/>
      <c r="AI110" s="297"/>
      <c r="AJ110" s="297"/>
      <c r="AK110" s="297"/>
      <c r="AL110" s="297"/>
      <c r="AM110" s="297"/>
      <c r="AN110" s="329"/>
      <c r="AO110" s="329"/>
      <c r="AP110" s="329"/>
      <c r="AQ110" s="318"/>
      <c r="AR110" s="309"/>
      <c r="AS110" s="67"/>
    </row>
    <row r="111">
      <c r="A111" s="166"/>
      <c r="B111" s="167"/>
      <c r="C111" s="310"/>
      <c r="D111" s="169"/>
      <c r="E111" s="170"/>
      <c r="F111" s="170"/>
      <c r="G111" s="170"/>
      <c r="H111" s="170"/>
      <c r="I111" s="332"/>
      <c r="J111" s="358"/>
      <c r="K111" s="333"/>
      <c r="L111" s="333" t="s">
        <v>313</v>
      </c>
      <c r="M111" s="316" t="s">
        <v>291</v>
      </c>
      <c r="N111" s="317" t="s">
        <v>478</v>
      </c>
      <c r="O111" s="318"/>
      <c r="P111" s="318"/>
      <c r="Q111" s="318" t="s">
        <v>315</v>
      </c>
      <c r="R111" s="318"/>
      <c r="S111" s="318"/>
      <c r="T111" s="318" t="s">
        <v>324</v>
      </c>
      <c r="U111" s="318" t="s">
        <v>324</v>
      </c>
      <c r="V111" s="318" t="s">
        <v>324</v>
      </c>
      <c r="W111" s="318" t="s">
        <v>324</v>
      </c>
      <c r="X111" s="318" t="s">
        <v>324</v>
      </c>
      <c r="Y111" s="318" t="s">
        <v>324</v>
      </c>
      <c r="Z111" s="318" t="s">
        <v>324</v>
      </c>
      <c r="AA111" s="318" t="s">
        <v>324</v>
      </c>
      <c r="AB111" s="318"/>
      <c r="AC111" s="318" t="s">
        <v>986</v>
      </c>
      <c r="AD111" s="317"/>
      <c r="AE111" s="318" t="s">
        <v>315</v>
      </c>
      <c r="AF111" s="318" t="s">
        <v>315</v>
      </c>
      <c r="AG111" s="318" t="s">
        <v>315</v>
      </c>
      <c r="AH111" s="317" t="s">
        <v>1024</v>
      </c>
      <c r="AI111" s="318" t="s">
        <v>443</v>
      </c>
      <c r="AJ111" s="318" t="s">
        <v>1025</v>
      </c>
      <c r="AK111" s="318" t="s">
        <v>282</v>
      </c>
      <c r="AL111" s="318" t="s">
        <v>315</v>
      </c>
      <c r="AM111" s="318" t="s">
        <v>1026</v>
      </c>
      <c r="AN111" s="336"/>
      <c r="AO111" s="336"/>
      <c r="AP111" s="336"/>
      <c r="AQ111" s="330" t="s">
        <v>1027</v>
      </c>
      <c r="AR111" s="325"/>
      <c r="AS111" s="143"/>
    </row>
    <row r="112">
      <c r="A112" s="94"/>
      <c r="B112" s="69" t="s">
        <v>479</v>
      </c>
      <c r="C112" s="288">
        <v>43483.0</v>
      </c>
      <c r="D112" s="71" t="s">
        <v>280</v>
      </c>
      <c r="E112" s="72">
        <v>43572.0</v>
      </c>
      <c r="F112" s="73" t="s">
        <v>258</v>
      </c>
      <c r="G112" s="72">
        <v>43580.0</v>
      </c>
      <c r="H112" s="73" t="s">
        <v>282</v>
      </c>
      <c r="I112" s="128" t="s">
        <v>1030</v>
      </c>
      <c r="J112" s="343" t="s">
        <v>139</v>
      </c>
      <c r="K112" s="304"/>
      <c r="L112" s="304" t="s">
        <v>314</v>
      </c>
      <c r="M112" s="305" t="s">
        <v>291</v>
      </c>
      <c r="N112" s="292" t="s">
        <v>478</v>
      </c>
      <c r="O112" s="297" t="s">
        <v>750</v>
      </c>
      <c r="P112" s="297" t="s">
        <v>750</v>
      </c>
      <c r="Q112" s="297" t="s">
        <v>315</v>
      </c>
      <c r="R112" s="297" t="s">
        <v>324</v>
      </c>
      <c r="S112" s="297" t="s">
        <v>750</v>
      </c>
      <c r="T112" s="297" t="s">
        <v>324</v>
      </c>
      <c r="U112" s="297" t="s">
        <v>324</v>
      </c>
      <c r="V112" s="297" t="s">
        <v>324</v>
      </c>
      <c r="W112" s="297" t="s">
        <v>324</v>
      </c>
      <c r="X112" s="297" t="s">
        <v>324</v>
      </c>
      <c r="Y112" s="297" t="s">
        <v>324</v>
      </c>
      <c r="Z112" s="297" t="s">
        <v>324</v>
      </c>
      <c r="AA112" s="297" t="s">
        <v>324</v>
      </c>
      <c r="AB112" s="297" t="s">
        <v>324</v>
      </c>
      <c r="AC112" s="297" t="s">
        <v>324</v>
      </c>
      <c r="AD112" s="297" t="s">
        <v>750</v>
      </c>
      <c r="AE112" s="297" t="s">
        <v>315</v>
      </c>
      <c r="AF112" s="297" t="s">
        <v>315</v>
      </c>
      <c r="AG112" s="297" t="s">
        <v>315</v>
      </c>
      <c r="AH112" s="292" t="s">
        <v>1024</v>
      </c>
      <c r="AI112" s="297" t="s">
        <v>443</v>
      </c>
      <c r="AJ112" s="297" t="s">
        <v>1025</v>
      </c>
      <c r="AK112" s="297" t="s">
        <v>282</v>
      </c>
      <c r="AL112" s="297" t="s">
        <v>315</v>
      </c>
      <c r="AM112" s="297" t="s">
        <v>1026</v>
      </c>
      <c r="AN112" s="329" t="s">
        <v>324</v>
      </c>
      <c r="AO112" s="329" t="s">
        <v>324</v>
      </c>
      <c r="AP112" s="329" t="s">
        <v>324</v>
      </c>
      <c r="AQ112" s="293" t="s">
        <v>1031</v>
      </c>
      <c r="AR112" s="309">
        <v>5.0</v>
      </c>
      <c r="AS112" s="67"/>
    </row>
    <row r="113">
      <c r="A113" s="94"/>
      <c r="B113" s="69"/>
      <c r="C113" s="288"/>
      <c r="D113" s="71"/>
      <c r="E113" s="96"/>
      <c r="F113" s="96"/>
      <c r="G113" s="96"/>
      <c r="H113" s="96"/>
      <c r="I113" s="128"/>
      <c r="J113" s="343"/>
      <c r="K113" s="304"/>
      <c r="L113" s="304"/>
      <c r="M113" s="305"/>
      <c r="N113" s="292"/>
      <c r="O113" s="297"/>
      <c r="P113" s="297"/>
      <c r="Q113" s="305"/>
      <c r="R113" s="297"/>
      <c r="S113" s="297"/>
      <c r="T113" s="297"/>
      <c r="U113" s="297"/>
      <c r="V113" s="297"/>
      <c r="W113" s="297"/>
      <c r="X113" s="297"/>
      <c r="Y113" s="297"/>
      <c r="Z113" s="297"/>
      <c r="AA113" s="297"/>
      <c r="AB113" s="297"/>
      <c r="AC113" s="297" t="s">
        <v>987</v>
      </c>
      <c r="AD113" s="292" t="s">
        <v>478</v>
      </c>
      <c r="AE113" s="297"/>
      <c r="AF113" s="297"/>
      <c r="AG113" s="297"/>
      <c r="AH113" s="292"/>
      <c r="AI113" s="297"/>
      <c r="AJ113" s="297"/>
      <c r="AK113" s="297"/>
      <c r="AL113" s="297"/>
      <c r="AM113" s="297"/>
      <c r="AN113" s="329"/>
      <c r="AO113" s="329"/>
      <c r="AP113" s="329"/>
      <c r="AQ113" s="297"/>
      <c r="AR113" s="309"/>
      <c r="AS113" s="67"/>
    </row>
    <row r="114">
      <c r="A114" s="166"/>
      <c r="B114" s="167"/>
      <c r="C114" s="310"/>
      <c r="D114" s="169"/>
      <c r="E114" s="170"/>
      <c r="F114" s="170"/>
      <c r="G114" s="170"/>
      <c r="H114" s="170"/>
      <c r="I114" s="332"/>
      <c r="J114" s="358"/>
      <c r="K114" s="333"/>
      <c r="L114" s="333" t="s">
        <v>314</v>
      </c>
      <c r="M114" s="316" t="s">
        <v>291</v>
      </c>
      <c r="N114" s="317" t="s">
        <v>478</v>
      </c>
      <c r="O114" s="318"/>
      <c r="P114" s="318"/>
      <c r="Q114" s="318" t="s">
        <v>315</v>
      </c>
      <c r="R114" s="318"/>
      <c r="S114" s="318"/>
      <c r="T114" s="318" t="s">
        <v>324</v>
      </c>
      <c r="U114" s="318" t="s">
        <v>324</v>
      </c>
      <c r="V114" s="318" t="s">
        <v>324</v>
      </c>
      <c r="W114" s="318" t="s">
        <v>324</v>
      </c>
      <c r="X114" s="318" t="s">
        <v>324</v>
      </c>
      <c r="Y114" s="318" t="s">
        <v>324</v>
      </c>
      <c r="Z114" s="318" t="s">
        <v>324</v>
      </c>
      <c r="AA114" s="318" t="s">
        <v>324</v>
      </c>
      <c r="AB114" s="318"/>
      <c r="AC114" s="318" t="s">
        <v>987</v>
      </c>
      <c r="AD114" s="317" t="s">
        <v>478</v>
      </c>
      <c r="AE114" s="318" t="s">
        <v>315</v>
      </c>
      <c r="AF114" s="318" t="s">
        <v>315</v>
      </c>
      <c r="AG114" s="318" t="s">
        <v>315</v>
      </c>
      <c r="AH114" s="317" t="s">
        <v>1024</v>
      </c>
      <c r="AI114" s="318" t="s">
        <v>443</v>
      </c>
      <c r="AJ114" s="318" t="s">
        <v>1025</v>
      </c>
      <c r="AK114" s="318" t="s">
        <v>282</v>
      </c>
      <c r="AL114" s="318" t="s">
        <v>315</v>
      </c>
      <c r="AM114" s="318" t="s">
        <v>1026</v>
      </c>
      <c r="AN114" s="336"/>
      <c r="AO114" s="336"/>
      <c r="AP114" s="336"/>
      <c r="AQ114" s="330" t="s">
        <v>1031</v>
      </c>
      <c r="AR114" s="325"/>
      <c r="AS114" s="143"/>
    </row>
    <row r="115">
      <c r="A115" s="94"/>
      <c r="B115" s="69" t="s">
        <v>479</v>
      </c>
      <c r="C115" s="288">
        <v>43483.0</v>
      </c>
      <c r="D115" s="71" t="s">
        <v>626</v>
      </c>
      <c r="E115" s="186">
        <v>43570.0</v>
      </c>
      <c r="F115" s="73" t="s">
        <v>258</v>
      </c>
      <c r="G115" s="72">
        <v>43580.0</v>
      </c>
      <c r="H115" s="73" t="s">
        <v>282</v>
      </c>
      <c r="I115" s="128" t="s">
        <v>1033</v>
      </c>
      <c r="J115" s="343" t="s">
        <v>140</v>
      </c>
      <c r="K115" s="304"/>
      <c r="L115" s="304" t="s">
        <v>310</v>
      </c>
      <c r="M115" s="305" t="s">
        <v>315</v>
      </c>
      <c r="N115" s="292" t="s">
        <v>472</v>
      </c>
      <c r="O115" s="297" t="s">
        <v>750</v>
      </c>
      <c r="P115" s="292" t="s">
        <v>776</v>
      </c>
      <c r="Q115" s="369" t="s">
        <v>315</v>
      </c>
      <c r="R115" s="297" t="s">
        <v>829</v>
      </c>
      <c r="S115" s="292" t="s">
        <v>880</v>
      </c>
      <c r="T115" s="297" t="s">
        <v>324</v>
      </c>
      <c r="U115" s="297" t="s">
        <v>324</v>
      </c>
      <c r="V115" s="297" t="s">
        <v>324</v>
      </c>
      <c r="W115" s="297" t="s">
        <v>324</v>
      </c>
      <c r="X115" s="297" t="s">
        <v>324</v>
      </c>
      <c r="Y115" s="297" t="s">
        <v>324</v>
      </c>
      <c r="Z115" s="297" t="s">
        <v>324</v>
      </c>
      <c r="AA115" s="297" t="s">
        <v>324</v>
      </c>
      <c r="AB115" s="337"/>
      <c r="AC115" s="305" t="s">
        <v>750</v>
      </c>
      <c r="AD115" s="297" t="s">
        <v>750</v>
      </c>
      <c r="AE115" s="297" t="s">
        <v>315</v>
      </c>
      <c r="AF115" s="297" t="s">
        <v>315</v>
      </c>
      <c r="AG115" s="297" t="s">
        <v>315</v>
      </c>
      <c r="AH115" s="292" t="s">
        <v>912</v>
      </c>
      <c r="AI115" s="297" t="s">
        <v>443</v>
      </c>
      <c r="AJ115" s="297" t="s">
        <v>913</v>
      </c>
      <c r="AK115" s="297" t="s">
        <v>324</v>
      </c>
      <c r="AL115" s="297" t="s">
        <v>315</v>
      </c>
      <c r="AM115" s="297" t="s">
        <v>914</v>
      </c>
      <c r="AN115" s="297" t="s">
        <v>324</v>
      </c>
      <c r="AO115" s="297" t="s">
        <v>324</v>
      </c>
      <c r="AP115" s="297" t="s">
        <v>324</v>
      </c>
      <c r="AQ115" s="330" t="s">
        <v>1036</v>
      </c>
      <c r="AR115" s="309">
        <v>20.0</v>
      </c>
      <c r="AS115" s="67"/>
    </row>
    <row r="116">
      <c r="A116" s="94"/>
      <c r="B116" s="69"/>
      <c r="C116" s="288"/>
      <c r="D116" s="71"/>
      <c r="E116" s="96"/>
      <c r="F116" s="96"/>
      <c r="G116" s="96"/>
      <c r="H116" s="96"/>
      <c r="I116" s="128"/>
      <c r="J116" s="343"/>
      <c r="K116" s="304"/>
      <c r="L116" s="304"/>
      <c r="M116" s="305"/>
      <c r="N116" s="292"/>
      <c r="O116" s="297"/>
      <c r="P116" s="292"/>
      <c r="Q116" s="305"/>
      <c r="R116" s="297"/>
      <c r="S116" s="292"/>
      <c r="T116" s="297"/>
      <c r="U116" s="297"/>
      <c r="V116" s="297"/>
      <c r="W116" s="297"/>
      <c r="X116" s="297"/>
      <c r="Y116" s="297"/>
      <c r="Z116" s="297"/>
      <c r="AA116" s="297"/>
      <c r="AB116" s="337"/>
      <c r="AC116" s="305" t="s">
        <v>988</v>
      </c>
      <c r="AD116" s="20" t="s">
        <v>1032</v>
      </c>
      <c r="AE116" s="297" t="s">
        <v>369</v>
      </c>
      <c r="AF116" s="297"/>
      <c r="AG116" s="297"/>
      <c r="AH116" s="292"/>
      <c r="AI116" s="297"/>
      <c r="AJ116" s="297"/>
      <c r="AK116" s="297"/>
      <c r="AL116" s="297"/>
      <c r="AM116" s="297"/>
      <c r="AN116" s="297"/>
      <c r="AO116" s="297"/>
      <c r="AP116" s="297"/>
      <c r="AQ116" s="318"/>
      <c r="AR116" s="309" t="s">
        <v>1038</v>
      </c>
      <c r="AS116" s="25" t="s">
        <v>1039</v>
      </c>
    </row>
    <row r="117">
      <c r="A117" s="166"/>
      <c r="B117" s="167"/>
      <c r="C117" s="310"/>
      <c r="D117" s="169"/>
      <c r="E117" s="170"/>
      <c r="F117" s="170"/>
      <c r="G117" s="170"/>
      <c r="H117" s="170"/>
      <c r="I117" s="332"/>
      <c r="J117" s="358"/>
      <c r="K117" s="333"/>
      <c r="L117" s="333" t="s">
        <v>310</v>
      </c>
      <c r="M117" s="316" t="s">
        <v>315</v>
      </c>
      <c r="N117" s="317" t="s">
        <v>472</v>
      </c>
      <c r="O117" s="318"/>
      <c r="P117" s="317" t="s">
        <v>776</v>
      </c>
      <c r="Q117" s="370" t="s">
        <v>315</v>
      </c>
      <c r="R117" s="318" t="s">
        <v>829</v>
      </c>
      <c r="S117" s="317" t="s">
        <v>880</v>
      </c>
      <c r="T117" s="318" t="s">
        <v>324</v>
      </c>
      <c r="U117" s="318" t="s">
        <v>324</v>
      </c>
      <c r="V117" s="318" t="s">
        <v>324</v>
      </c>
      <c r="W117" s="318" t="s">
        <v>324</v>
      </c>
      <c r="X117" s="318" t="s">
        <v>324</v>
      </c>
      <c r="Y117" s="318" t="s">
        <v>324</v>
      </c>
      <c r="Z117" s="318" t="s">
        <v>324</v>
      </c>
      <c r="AA117" s="318" t="s">
        <v>324</v>
      </c>
      <c r="AB117" s="371"/>
      <c r="AC117" s="316" t="s">
        <v>988</v>
      </c>
      <c r="AD117" s="174" t="s">
        <v>1032</v>
      </c>
      <c r="AE117" s="318" t="s">
        <v>369</v>
      </c>
      <c r="AF117" s="318" t="s">
        <v>315</v>
      </c>
      <c r="AG117" s="318" t="s">
        <v>315</v>
      </c>
      <c r="AH117" s="317" t="s">
        <v>912</v>
      </c>
      <c r="AI117" s="318" t="s">
        <v>443</v>
      </c>
      <c r="AJ117" s="318" t="s">
        <v>913</v>
      </c>
      <c r="AK117" s="318" t="s">
        <v>324</v>
      </c>
      <c r="AL117" s="318" t="s">
        <v>315</v>
      </c>
      <c r="AM117" s="318"/>
      <c r="AN117" s="318"/>
      <c r="AO117" s="318"/>
      <c r="AP117" s="318"/>
      <c r="AQ117" s="330" t="s">
        <v>1036</v>
      </c>
      <c r="AR117" s="325"/>
      <c r="AS117" s="176"/>
    </row>
    <row r="118">
      <c r="A118" s="94"/>
      <c r="B118" s="69" t="s">
        <v>479</v>
      </c>
      <c r="C118" s="288">
        <v>43483.0</v>
      </c>
      <c r="D118" s="71" t="s">
        <v>626</v>
      </c>
      <c r="E118" s="186">
        <v>43570.0</v>
      </c>
      <c r="F118" s="73" t="s">
        <v>258</v>
      </c>
      <c r="G118" s="72">
        <v>43580.0</v>
      </c>
      <c r="H118" s="73" t="s">
        <v>282</v>
      </c>
      <c r="I118" s="128" t="s">
        <v>1042</v>
      </c>
      <c r="J118" s="343" t="s">
        <v>141</v>
      </c>
      <c r="K118" s="129"/>
      <c r="L118" s="304" t="s">
        <v>305</v>
      </c>
      <c r="M118" s="305" t="s">
        <v>393</v>
      </c>
      <c r="N118" s="292" t="s">
        <v>559</v>
      </c>
      <c r="O118" s="297" t="s">
        <v>750</v>
      </c>
      <c r="P118" s="292" t="s">
        <v>747</v>
      </c>
      <c r="Q118" s="297" t="s">
        <v>315</v>
      </c>
      <c r="R118" s="293" t="s">
        <v>834</v>
      </c>
      <c r="S118" s="292" t="s">
        <v>749</v>
      </c>
      <c r="T118" s="297" t="s">
        <v>324</v>
      </c>
      <c r="U118" s="297" t="s">
        <v>324</v>
      </c>
      <c r="V118" s="297" t="s">
        <v>324</v>
      </c>
      <c r="W118" s="297" t="s">
        <v>324</v>
      </c>
      <c r="X118" s="297" t="s">
        <v>324</v>
      </c>
      <c r="Y118" s="297" t="s">
        <v>324</v>
      </c>
      <c r="Z118" s="297" t="s">
        <v>324</v>
      </c>
      <c r="AA118" s="297" t="s">
        <v>324</v>
      </c>
      <c r="AB118" s="297" t="s">
        <v>324</v>
      </c>
      <c r="AC118" s="297" t="s">
        <v>324</v>
      </c>
      <c r="AD118" s="297" t="s">
        <v>750</v>
      </c>
      <c r="AE118" s="297" t="s">
        <v>315</v>
      </c>
      <c r="AF118" s="297" t="s">
        <v>315</v>
      </c>
      <c r="AG118" s="297" t="s">
        <v>315</v>
      </c>
      <c r="AH118" s="292" t="s">
        <v>761</v>
      </c>
      <c r="AI118" s="297" t="s">
        <v>621</v>
      </c>
      <c r="AJ118" s="297" t="s">
        <v>1046</v>
      </c>
      <c r="AK118" s="297" t="s">
        <v>706</v>
      </c>
      <c r="AL118" s="297" t="s">
        <v>315</v>
      </c>
      <c r="AM118" s="297" t="s">
        <v>324</v>
      </c>
      <c r="AN118" s="297" t="s">
        <v>1047</v>
      </c>
      <c r="AO118" s="297" t="s">
        <v>324</v>
      </c>
      <c r="AP118" s="297" t="s">
        <v>324</v>
      </c>
      <c r="AQ118" s="292" t="s">
        <v>1048</v>
      </c>
      <c r="AR118" s="309">
        <v>25.0</v>
      </c>
      <c r="AS118" s="67"/>
    </row>
    <row r="119">
      <c r="A119" s="94"/>
      <c r="B119" s="69"/>
      <c r="C119" s="288"/>
      <c r="D119" s="71"/>
      <c r="E119" s="96"/>
      <c r="F119" s="96"/>
      <c r="G119" s="96"/>
      <c r="H119" s="96"/>
      <c r="I119" s="128"/>
      <c r="J119" s="343"/>
      <c r="K119" s="304"/>
      <c r="L119" s="304"/>
      <c r="M119" s="305"/>
      <c r="N119" s="20" t="s">
        <v>480</v>
      </c>
      <c r="O119" s="297"/>
      <c r="P119" s="292"/>
      <c r="Q119" s="297"/>
      <c r="R119" s="297" t="s">
        <v>1053</v>
      </c>
      <c r="S119" s="292"/>
      <c r="T119" s="297"/>
      <c r="U119" s="297"/>
      <c r="V119" s="297"/>
      <c r="W119" s="297"/>
      <c r="X119" s="297"/>
      <c r="Y119" s="297"/>
      <c r="Z119" s="297"/>
      <c r="AA119" s="297"/>
      <c r="AB119" s="297"/>
      <c r="AC119" s="297"/>
      <c r="AD119" s="297"/>
      <c r="AE119" s="297"/>
      <c r="AF119" s="297"/>
      <c r="AG119" s="297"/>
      <c r="AH119" s="292" t="s">
        <v>480</v>
      </c>
      <c r="AI119" s="297"/>
      <c r="AJ119" s="297"/>
      <c r="AK119" s="297"/>
      <c r="AL119" s="297"/>
      <c r="AM119" s="297"/>
      <c r="AN119" s="297"/>
      <c r="AO119" s="297"/>
      <c r="AP119" s="297"/>
      <c r="AQ119" s="292"/>
      <c r="AR119" s="309" t="s">
        <v>1038</v>
      </c>
      <c r="AS119" s="25" t="s">
        <v>1055</v>
      </c>
    </row>
    <row r="120">
      <c r="A120" s="166"/>
      <c r="B120" s="167"/>
      <c r="C120" s="310"/>
      <c r="D120" s="169"/>
      <c r="E120" s="170"/>
      <c r="F120" s="170"/>
      <c r="G120" s="170"/>
      <c r="H120" s="170"/>
      <c r="I120" s="332"/>
      <c r="J120" s="358"/>
      <c r="K120" s="333"/>
      <c r="L120" s="333" t="s">
        <v>305</v>
      </c>
      <c r="M120" s="316" t="s">
        <v>393</v>
      </c>
      <c r="N120" s="174" t="s">
        <v>480</v>
      </c>
      <c r="O120" s="318"/>
      <c r="P120" s="317" t="s">
        <v>747</v>
      </c>
      <c r="Q120" s="318" t="s">
        <v>315</v>
      </c>
      <c r="R120" s="330" t="s">
        <v>834</v>
      </c>
      <c r="S120" s="317" t="s">
        <v>749</v>
      </c>
      <c r="T120" s="318" t="s">
        <v>324</v>
      </c>
      <c r="U120" s="318" t="s">
        <v>324</v>
      </c>
      <c r="V120" s="318" t="s">
        <v>324</v>
      </c>
      <c r="W120" s="318" t="s">
        <v>324</v>
      </c>
      <c r="X120" s="318" t="s">
        <v>324</v>
      </c>
      <c r="Y120" s="318" t="s">
        <v>324</v>
      </c>
      <c r="Z120" s="318" t="s">
        <v>324</v>
      </c>
      <c r="AA120" s="318" t="s">
        <v>324</v>
      </c>
      <c r="AB120" s="318"/>
      <c r="AC120" s="318"/>
      <c r="AD120" s="318"/>
      <c r="AE120" s="318" t="s">
        <v>315</v>
      </c>
      <c r="AF120" s="318" t="s">
        <v>315</v>
      </c>
      <c r="AG120" s="318" t="s">
        <v>315</v>
      </c>
      <c r="AH120" s="317" t="s">
        <v>480</v>
      </c>
      <c r="AI120" s="318" t="s">
        <v>621</v>
      </c>
      <c r="AJ120" s="318" t="s">
        <v>1061</v>
      </c>
      <c r="AK120" s="318" t="s">
        <v>706</v>
      </c>
      <c r="AL120" s="318" t="s">
        <v>315</v>
      </c>
      <c r="AM120" s="318"/>
      <c r="AN120" s="318"/>
      <c r="AO120" s="318"/>
      <c r="AP120" s="318"/>
      <c r="AQ120" s="317" t="s">
        <v>1048</v>
      </c>
      <c r="AR120" s="325"/>
      <c r="AS120" s="176"/>
    </row>
    <row r="121">
      <c r="A121" s="94"/>
      <c r="B121" s="69" t="s">
        <v>479</v>
      </c>
      <c r="C121" s="288">
        <v>43483.0</v>
      </c>
      <c r="D121" s="71" t="s">
        <v>626</v>
      </c>
      <c r="E121" s="186">
        <v>43570.0</v>
      </c>
      <c r="F121" s="73" t="s">
        <v>258</v>
      </c>
      <c r="G121" s="72">
        <v>43580.0</v>
      </c>
      <c r="H121" s="73" t="s">
        <v>282</v>
      </c>
      <c r="I121" s="128" t="s">
        <v>1063</v>
      </c>
      <c r="J121" s="343" t="s">
        <v>142</v>
      </c>
      <c r="K121" s="304"/>
      <c r="L121" s="304" t="s">
        <v>316</v>
      </c>
      <c r="M121" s="305" t="s">
        <v>291</v>
      </c>
      <c r="N121" s="292" t="s">
        <v>482</v>
      </c>
      <c r="O121" s="297" t="s">
        <v>750</v>
      </c>
      <c r="P121" s="292" t="s">
        <v>779</v>
      </c>
      <c r="Q121" s="297" t="s">
        <v>315</v>
      </c>
      <c r="R121" s="297" t="s">
        <v>324</v>
      </c>
      <c r="S121" s="297" t="s">
        <v>750</v>
      </c>
      <c r="T121" s="297" t="s">
        <v>324</v>
      </c>
      <c r="U121" s="297" t="s">
        <v>324</v>
      </c>
      <c r="V121" s="297" t="s">
        <v>324</v>
      </c>
      <c r="W121" s="297" t="s">
        <v>324</v>
      </c>
      <c r="X121" s="297" t="s">
        <v>324</v>
      </c>
      <c r="Y121" s="297" t="s">
        <v>324</v>
      </c>
      <c r="Z121" s="297" t="s">
        <v>324</v>
      </c>
      <c r="AA121" s="297" t="s">
        <v>324</v>
      </c>
      <c r="AB121" s="297" t="s">
        <v>324</v>
      </c>
      <c r="AC121" s="297" t="s">
        <v>324</v>
      </c>
      <c r="AD121" s="297" t="s">
        <v>750</v>
      </c>
      <c r="AE121" s="297" t="s">
        <v>315</v>
      </c>
      <c r="AF121" s="297" t="s">
        <v>315</v>
      </c>
      <c r="AG121" s="297" t="s">
        <v>315</v>
      </c>
      <c r="AH121" s="292" t="s">
        <v>1065</v>
      </c>
      <c r="AI121" s="297" t="s">
        <v>609</v>
      </c>
      <c r="AJ121" s="297" t="s">
        <v>1066</v>
      </c>
      <c r="AK121" s="297" t="s">
        <v>324</v>
      </c>
      <c r="AL121" s="297" t="s">
        <v>315</v>
      </c>
      <c r="AM121" s="293" t="s">
        <v>1067</v>
      </c>
      <c r="AN121" s="297" t="s">
        <v>324</v>
      </c>
      <c r="AO121" s="297" t="s">
        <v>324</v>
      </c>
      <c r="AP121" s="297" t="s">
        <v>324</v>
      </c>
      <c r="AQ121" s="337"/>
      <c r="AR121" s="309">
        <v>15.0</v>
      </c>
      <c r="AS121" s="67"/>
    </row>
    <row r="122">
      <c r="A122" s="94"/>
      <c r="B122" s="69"/>
      <c r="C122" s="288"/>
      <c r="D122" s="71"/>
      <c r="E122" s="96"/>
      <c r="F122" s="96"/>
      <c r="G122" s="96"/>
      <c r="H122" s="96"/>
      <c r="I122" s="128"/>
      <c r="J122" s="343"/>
      <c r="K122" s="304"/>
      <c r="L122" s="304"/>
      <c r="M122" s="305"/>
      <c r="N122" s="292"/>
      <c r="O122" s="297"/>
      <c r="P122" s="292"/>
      <c r="Q122" s="297"/>
      <c r="R122" s="297"/>
      <c r="S122" s="297"/>
      <c r="T122" s="297"/>
      <c r="U122" s="297"/>
      <c r="V122" s="297"/>
      <c r="W122" s="297"/>
      <c r="X122" s="297"/>
      <c r="Y122" s="297"/>
      <c r="Z122" s="297"/>
      <c r="AA122" s="297"/>
      <c r="AB122" s="297"/>
      <c r="AC122" s="297" t="s">
        <v>989</v>
      </c>
      <c r="AD122" s="20" t="s">
        <v>779</v>
      </c>
      <c r="AE122" s="297" t="s">
        <v>1068</v>
      </c>
      <c r="AF122" s="297"/>
      <c r="AG122" s="297"/>
      <c r="AH122" s="292"/>
      <c r="AI122" s="297"/>
      <c r="AJ122" s="297"/>
      <c r="AK122" s="297"/>
      <c r="AL122" s="297"/>
      <c r="AM122" s="297"/>
      <c r="AN122" s="297"/>
      <c r="AO122" s="297"/>
      <c r="AP122" s="297"/>
      <c r="AQ122" s="337"/>
      <c r="AR122" s="309" t="s">
        <v>1069</v>
      </c>
      <c r="AS122" s="25" t="s">
        <v>1039</v>
      </c>
    </row>
    <row r="123">
      <c r="A123" s="166"/>
      <c r="B123" s="167"/>
      <c r="C123" s="310"/>
      <c r="D123" s="169"/>
      <c r="E123" s="170"/>
      <c r="F123" s="170"/>
      <c r="G123" s="170"/>
      <c r="H123" s="170"/>
      <c r="I123" s="332"/>
      <c r="J123" s="358"/>
      <c r="K123" s="333"/>
      <c r="L123" s="333" t="s">
        <v>316</v>
      </c>
      <c r="M123" s="316" t="s">
        <v>291</v>
      </c>
      <c r="N123" s="317" t="s">
        <v>482</v>
      </c>
      <c r="O123" s="318"/>
      <c r="P123" s="317" t="s">
        <v>779</v>
      </c>
      <c r="Q123" s="318" t="s">
        <v>315</v>
      </c>
      <c r="R123" s="318"/>
      <c r="S123" s="318"/>
      <c r="T123" s="318" t="s">
        <v>324</v>
      </c>
      <c r="U123" s="318" t="s">
        <v>324</v>
      </c>
      <c r="V123" s="318" t="s">
        <v>324</v>
      </c>
      <c r="W123" s="318" t="s">
        <v>324</v>
      </c>
      <c r="X123" s="318" t="s">
        <v>324</v>
      </c>
      <c r="Y123" s="318" t="s">
        <v>324</v>
      </c>
      <c r="Z123" s="318" t="s">
        <v>324</v>
      </c>
      <c r="AA123" s="318" t="s">
        <v>324</v>
      </c>
      <c r="AB123" s="318"/>
      <c r="AC123" s="318" t="s">
        <v>989</v>
      </c>
      <c r="AD123" s="174" t="s">
        <v>779</v>
      </c>
      <c r="AE123" s="318" t="s">
        <v>315</v>
      </c>
      <c r="AF123" s="318" t="s">
        <v>315</v>
      </c>
      <c r="AG123" s="318" t="s">
        <v>315</v>
      </c>
      <c r="AH123" s="317" t="s">
        <v>1065</v>
      </c>
      <c r="AI123" s="318" t="s">
        <v>609</v>
      </c>
      <c r="AJ123" s="318" t="s">
        <v>1066</v>
      </c>
      <c r="AK123" s="318" t="s">
        <v>324</v>
      </c>
      <c r="AL123" s="318" t="s">
        <v>315</v>
      </c>
      <c r="AM123" s="330" t="s">
        <v>1067</v>
      </c>
      <c r="AN123" s="318"/>
      <c r="AO123" s="318"/>
      <c r="AP123" s="318"/>
      <c r="AQ123" s="371"/>
      <c r="AR123" s="325"/>
      <c r="AS123" s="176"/>
    </row>
    <row r="124">
      <c r="A124" s="94"/>
      <c r="B124" s="69" t="s">
        <v>479</v>
      </c>
      <c r="C124" s="288">
        <v>43483.0</v>
      </c>
      <c r="D124" s="71" t="s">
        <v>626</v>
      </c>
      <c r="E124" s="186">
        <v>43570.0</v>
      </c>
      <c r="F124" s="73" t="s">
        <v>258</v>
      </c>
      <c r="G124" s="72">
        <v>43580.0</v>
      </c>
      <c r="H124" s="73" t="s">
        <v>282</v>
      </c>
      <c r="I124" s="128" t="s">
        <v>1072</v>
      </c>
      <c r="J124" s="343" t="s">
        <v>143</v>
      </c>
      <c r="K124" s="129" t="s">
        <v>770</v>
      </c>
      <c r="L124" s="304" t="s">
        <v>317</v>
      </c>
      <c r="M124" s="305" t="s">
        <v>393</v>
      </c>
      <c r="N124" s="292" t="s">
        <v>1073</v>
      </c>
      <c r="O124" s="297" t="s">
        <v>750</v>
      </c>
      <c r="P124" s="297" t="s">
        <v>750</v>
      </c>
      <c r="Q124" s="297" t="s">
        <v>315</v>
      </c>
      <c r="R124" s="297" t="s">
        <v>324</v>
      </c>
      <c r="S124" s="297" t="s">
        <v>750</v>
      </c>
      <c r="T124" s="297" t="s">
        <v>324</v>
      </c>
      <c r="U124" s="297" t="s">
        <v>324</v>
      </c>
      <c r="V124" s="297" t="s">
        <v>324</v>
      </c>
      <c r="W124" s="297" t="s">
        <v>324</v>
      </c>
      <c r="X124" s="297" t="s">
        <v>324</v>
      </c>
      <c r="Y124" s="297" t="s">
        <v>324</v>
      </c>
      <c r="Z124" s="297" t="s">
        <v>324</v>
      </c>
      <c r="AA124" s="297" t="s">
        <v>324</v>
      </c>
      <c r="AB124" s="297" t="s">
        <v>324</v>
      </c>
      <c r="AC124" s="297" t="s">
        <v>324</v>
      </c>
      <c r="AD124" s="297" t="s">
        <v>750</v>
      </c>
      <c r="AE124" s="297" t="s">
        <v>315</v>
      </c>
      <c r="AF124" s="297" t="s">
        <v>315</v>
      </c>
      <c r="AG124" s="297" t="s">
        <v>315</v>
      </c>
      <c r="AH124" s="297" t="s">
        <v>750</v>
      </c>
      <c r="AI124" s="297" t="s">
        <v>324</v>
      </c>
      <c r="AJ124" s="297" t="s">
        <v>324</v>
      </c>
      <c r="AK124" s="297" t="s">
        <v>324</v>
      </c>
      <c r="AL124" s="297" t="s">
        <v>324</v>
      </c>
      <c r="AM124" s="297" t="s">
        <v>324</v>
      </c>
      <c r="AN124" s="297" t="s">
        <v>324</v>
      </c>
      <c r="AO124" s="297" t="s">
        <v>324</v>
      </c>
      <c r="AP124" s="297" t="s">
        <v>324</v>
      </c>
      <c r="AQ124" s="293" t="s">
        <v>1074</v>
      </c>
      <c r="AR124" s="309">
        <v>10.0</v>
      </c>
      <c r="AS124" s="67"/>
    </row>
    <row r="125" ht="117.75" customHeight="1">
      <c r="A125" s="94"/>
      <c r="B125" s="69"/>
      <c r="C125" s="288"/>
      <c r="D125" s="71"/>
      <c r="E125" s="96"/>
      <c r="F125" s="96"/>
      <c r="G125" s="96"/>
      <c r="H125" s="96"/>
      <c r="I125" s="128"/>
      <c r="J125" s="343"/>
      <c r="K125" s="304"/>
      <c r="L125" s="304"/>
      <c r="M125" s="305"/>
      <c r="N125" s="20" t="s">
        <v>1075</v>
      </c>
      <c r="O125" s="297"/>
      <c r="P125" s="297"/>
      <c r="Q125" s="297"/>
      <c r="R125" s="297"/>
      <c r="S125" s="297"/>
      <c r="T125" s="297"/>
      <c r="U125" s="297"/>
      <c r="V125" s="297"/>
      <c r="W125" s="297"/>
      <c r="X125" s="297"/>
      <c r="Y125" s="297" t="s">
        <v>1076</v>
      </c>
      <c r="Z125" s="297"/>
      <c r="AA125" s="297"/>
      <c r="AB125" s="297"/>
      <c r="AC125" s="297"/>
      <c r="AD125" s="297"/>
      <c r="AE125" s="297"/>
      <c r="AF125" s="297"/>
      <c r="AG125" s="297"/>
      <c r="AH125" s="297"/>
      <c r="AI125" s="297"/>
      <c r="AJ125" s="297"/>
      <c r="AK125" s="297"/>
      <c r="AL125" s="297"/>
      <c r="AM125" s="297"/>
      <c r="AN125" s="297"/>
      <c r="AO125" s="297"/>
      <c r="AP125" s="297"/>
      <c r="AQ125" s="297"/>
      <c r="AR125" s="309" t="s">
        <v>1069</v>
      </c>
      <c r="AS125" s="25" t="s">
        <v>1078</v>
      </c>
    </row>
    <row r="126">
      <c r="A126" s="166"/>
      <c r="B126" s="167"/>
      <c r="C126" s="310"/>
      <c r="D126" s="169"/>
      <c r="E126" s="170"/>
      <c r="F126" s="170"/>
      <c r="G126" s="170"/>
      <c r="H126" s="170"/>
      <c r="I126" s="332"/>
      <c r="J126" s="358"/>
      <c r="K126" s="333"/>
      <c r="L126" s="333" t="s">
        <v>317</v>
      </c>
      <c r="M126" s="316" t="s">
        <v>393</v>
      </c>
      <c r="N126" s="174" t="s">
        <v>483</v>
      </c>
      <c r="O126" s="318"/>
      <c r="P126" s="318"/>
      <c r="Q126" s="318" t="s">
        <v>315</v>
      </c>
      <c r="R126" s="318"/>
      <c r="S126" s="318"/>
      <c r="T126" s="318" t="s">
        <v>324</v>
      </c>
      <c r="U126" s="318" t="s">
        <v>324</v>
      </c>
      <c r="V126" s="318" t="s">
        <v>324</v>
      </c>
      <c r="W126" s="318" t="s">
        <v>324</v>
      </c>
      <c r="X126" s="318" t="s">
        <v>324</v>
      </c>
      <c r="Y126" s="318" t="s">
        <v>324</v>
      </c>
      <c r="Z126" s="318" t="s">
        <v>324</v>
      </c>
      <c r="AA126" s="318" t="s">
        <v>324</v>
      </c>
      <c r="AB126" s="318"/>
      <c r="AC126" s="318"/>
      <c r="AD126" s="318"/>
      <c r="AE126" s="318" t="s">
        <v>315</v>
      </c>
      <c r="AF126" s="318" t="s">
        <v>315</v>
      </c>
      <c r="AG126" s="318" t="s">
        <v>315</v>
      </c>
      <c r="AH126" s="318"/>
      <c r="AI126" s="318" t="s">
        <v>524</v>
      </c>
      <c r="AJ126" s="318"/>
      <c r="AK126" s="318" t="s">
        <v>324</v>
      </c>
      <c r="AL126" s="318" t="s">
        <v>315</v>
      </c>
      <c r="AM126" s="318"/>
      <c r="AN126" s="318"/>
      <c r="AO126" s="318"/>
      <c r="AP126" s="318"/>
      <c r="AQ126" s="330" t="s">
        <v>1074</v>
      </c>
      <c r="AR126" s="325"/>
      <c r="AS126" s="176"/>
    </row>
    <row r="127">
      <c r="A127" s="94"/>
      <c r="B127" s="69" t="s">
        <v>479</v>
      </c>
      <c r="C127" s="288">
        <v>43483.0</v>
      </c>
      <c r="D127" s="71" t="s">
        <v>767</v>
      </c>
      <c r="E127" s="72">
        <v>43579.0</v>
      </c>
      <c r="F127" s="73" t="s">
        <v>280</v>
      </c>
      <c r="G127" s="72">
        <v>43583.0</v>
      </c>
      <c r="H127" s="73" t="s">
        <v>282</v>
      </c>
      <c r="I127" s="128" t="s">
        <v>1080</v>
      </c>
      <c r="J127" s="343" t="s">
        <v>144</v>
      </c>
      <c r="K127" s="129" t="s">
        <v>519</v>
      </c>
      <c r="L127" s="372" t="s">
        <v>318</v>
      </c>
      <c r="M127" s="373" t="s">
        <v>315</v>
      </c>
      <c r="N127" s="374" t="s">
        <v>1084</v>
      </c>
      <c r="O127" s="373" t="s">
        <v>750</v>
      </c>
      <c r="P127" s="373" t="s">
        <v>750</v>
      </c>
      <c r="Q127" s="373" t="s">
        <v>315</v>
      </c>
      <c r="R127" s="373" t="s">
        <v>835</v>
      </c>
      <c r="S127" s="374" t="s">
        <v>892</v>
      </c>
      <c r="T127" s="373" t="s">
        <v>324</v>
      </c>
      <c r="U127" s="373" t="s">
        <v>324</v>
      </c>
      <c r="V127" s="373" t="s">
        <v>324</v>
      </c>
      <c r="W127" s="373" t="s">
        <v>324</v>
      </c>
      <c r="X127" s="373" t="s">
        <v>324</v>
      </c>
      <c r="Y127" s="373" t="s">
        <v>324</v>
      </c>
      <c r="Z127" s="373" t="s">
        <v>324</v>
      </c>
      <c r="AA127" s="373" t="s">
        <v>324</v>
      </c>
      <c r="AB127" s="373" t="s">
        <v>324</v>
      </c>
      <c r="AC127" s="373" t="s">
        <v>324</v>
      </c>
      <c r="AD127" s="373" t="s">
        <v>750</v>
      </c>
      <c r="AE127" s="373" t="s">
        <v>315</v>
      </c>
      <c r="AF127" s="373" t="s">
        <v>315</v>
      </c>
      <c r="AG127" s="373" t="s">
        <v>315</v>
      </c>
      <c r="AH127" s="374" t="s">
        <v>1086</v>
      </c>
      <c r="AI127" s="373" t="s">
        <v>961</v>
      </c>
      <c r="AJ127" s="373" t="s">
        <v>324</v>
      </c>
      <c r="AK127" s="373" t="s">
        <v>324</v>
      </c>
      <c r="AL127" s="373" t="s">
        <v>315</v>
      </c>
      <c r="AM127" s="373" t="s">
        <v>324</v>
      </c>
      <c r="AN127" s="373" t="s">
        <v>324</v>
      </c>
      <c r="AO127" s="373" t="s">
        <v>324</v>
      </c>
      <c r="AP127" s="373" t="s">
        <v>324</v>
      </c>
      <c r="AQ127" s="375" t="s">
        <v>1087</v>
      </c>
      <c r="AR127" s="376">
        <v>15.0</v>
      </c>
      <c r="AS127" s="253" t="s">
        <v>1088</v>
      </c>
    </row>
    <row r="128">
      <c r="A128" s="94"/>
      <c r="B128" s="69"/>
      <c r="C128" s="288"/>
      <c r="D128" s="71"/>
      <c r="E128" s="96"/>
      <c r="F128" s="96"/>
      <c r="G128" s="96"/>
      <c r="H128" s="96"/>
      <c r="I128" s="128"/>
      <c r="J128" s="76"/>
      <c r="K128" s="76"/>
      <c r="L128" s="377"/>
      <c r="M128" s="265"/>
      <c r="N128" s="256" t="s">
        <v>1088</v>
      </c>
      <c r="O128" s="265"/>
      <c r="P128" s="265"/>
      <c r="Q128" s="265"/>
      <c r="R128" s="265"/>
      <c r="S128" s="265"/>
      <c r="T128" s="265"/>
      <c r="U128" s="265"/>
      <c r="V128" s="265"/>
      <c r="W128" s="265"/>
      <c r="X128" s="265"/>
      <c r="Y128" s="265"/>
      <c r="Z128" s="265"/>
      <c r="AA128" s="265"/>
      <c r="AB128" s="265"/>
      <c r="AC128" s="265"/>
      <c r="AD128" s="265"/>
      <c r="AE128" s="265"/>
      <c r="AF128" s="265"/>
      <c r="AG128" s="265"/>
      <c r="AH128" s="265"/>
      <c r="AI128" s="265"/>
      <c r="AJ128" s="265"/>
      <c r="AK128" s="265"/>
      <c r="AL128" s="265"/>
      <c r="AM128" s="265"/>
      <c r="AN128" s="265"/>
      <c r="AO128" s="265"/>
      <c r="AP128" s="265"/>
      <c r="AQ128" s="265"/>
      <c r="AR128" s="234"/>
      <c r="AS128" s="227"/>
    </row>
    <row r="129">
      <c r="A129" s="94"/>
      <c r="B129" s="69"/>
      <c r="C129" s="288"/>
      <c r="D129" s="71"/>
      <c r="E129" s="96"/>
      <c r="F129" s="96"/>
      <c r="G129" s="96"/>
      <c r="H129" s="73" t="s">
        <v>1089</v>
      </c>
      <c r="I129" s="128"/>
      <c r="J129" s="76"/>
      <c r="K129" s="76"/>
      <c r="L129" s="372" t="s">
        <v>318</v>
      </c>
      <c r="M129" s="373" t="s">
        <v>315</v>
      </c>
      <c r="N129" s="200" t="s">
        <v>484</v>
      </c>
      <c r="O129" s="81"/>
      <c r="P129" s="81"/>
      <c r="Q129" s="373" t="s">
        <v>315</v>
      </c>
      <c r="R129" s="373" t="s">
        <v>835</v>
      </c>
      <c r="S129" s="374" t="s">
        <v>892</v>
      </c>
      <c r="T129" s="373" t="s">
        <v>324</v>
      </c>
      <c r="U129" s="373" t="s">
        <v>324</v>
      </c>
      <c r="V129" s="373" t="s">
        <v>324</v>
      </c>
      <c r="W129" s="373" t="s">
        <v>324</v>
      </c>
      <c r="X129" s="373" t="s">
        <v>324</v>
      </c>
      <c r="Y129" s="373" t="s">
        <v>324</v>
      </c>
      <c r="Z129" s="373" t="s">
        <v>324</v>
      </c>
      <c r="AA129" s="373" t="s">
        <v>324</v>
      </c>
      <c r="AB129" s="373" t="s">
        <v>324</v>
      </c>
      <c r="AC129" s="373" t="s">
        <v>324</v>
      </c>
      <c r="AD129" s="81"/>
      <c r="AE129" s="373" t="s">
        <v>315</v>
      </c>
      <c r="AF129" s="373" t="s">
        <v>315</v>
      </c>
      <c r="AG129" s="373" t="s">
        <v>315</v>
      </c>
      <c r="AH129" s="374" t="s">
        <v>1086</v>
      </c>
      <c r="AI129" s="81" t="s">
        <v>1091</v>
      </c>
      <c r="AJ129" s="373"/>
      <c r="AK129" s="373" t="s">
        <v>324</v>
      </c>
      <c r="AL129" s="81" t="s">
        <v>315</v>
      </c>
      <c r="AM129" s="81"/>
      <c r="AN129" s="81"/>
      <c r="AO129" s="81"/>
      <c r="AP129" s="81"/>
      <c r="AQ129" s="81"/>
      <c r="AR129" s="131"/>
      <c r="AS129" s="67"/>
    </row>
    <row r="130">
      <c r="A130" s="240"/>
      <c r="B130" s="69" t="s">
        <v>238</v>
      </c>
      <c r="C130" s="70">
        <v>43441.0</v>
      </c>
      <c r="D130" s="71" t="s">
        <v>767</v>
      </c>
      <c r="E130" s="72">
        <v>43579.0</v>
      </c>
      <c r="F130" s="73" t="s">
        <v>280</v>
      </c>
      <c r="G130" s="72">
        <v>43583.0</v>
      </c>
      <c r="H130" s="73" t="s">
        <v>282</v>
      </c>
      <c r="I130" s="128" t="s">
        <v>1093</v>
      </c>
      <c r="J130" s="76" t="s">
        <v>145</v>
      </c>
      <c r="K130" s="76" t="s">
        <v>416</v>
      </c>
      <c r="L130" s="201" t="s">
        <v>311</v>
      </c>
      <c r="M130" s="202" t="s">
        <v>539</v>
      </c>
      <c r="N130" s="203" t="s">
        <v>486</v>
      </c>
      <c r="P130" s="204"/>
      <c r="Q130" s="202" t="s">
        <v>282</v>
      </c>
      <c r="R130" s="202" t="s">
        <v>836</v>
      </c>
      <c r="S130" s="203" t="s">
        <v>1095</v>
      </c>
      <c r="T130" s="202" t="s">
        <v>329</v>
      </c>
      <c r="U130" s="202" t="s">
        <v>327</v>
      </c>
      <c r="V130" s="202" t="s">
        <v>324</v>
      </c>
      <c r="W130" s="202" t="s">
        <v>324</v>
      </c>
      <c r="X130" s="202" t="s">
        <v>324</v>
      </c>
      <c r="Y130" s="202" t="s">
        <v>327</v>
      </c>
      <c r="Z130" s="202" t="s">
        <v>324</v>
      </c>
      <c r="AA130" s="202" t="s">
        <v>369</v>
      </c>
      <c r="AB130" s="202" t="s">
        <v>969</v>
      </c>
      <c r="AC130" s="202" t="s">
        <v>324</v>
      </c>
      <c r="AD130" s="204"/>
      <c r="AE130" s="202" t="s">
        <v>315</v>
      </c>
      <c r="AF130" s="202" t="s">
        <v>315</v>
      </c>
      <c r="AG130" s="202" t="s">
        <v>315</v>
      </c>
      <c r="AH130" s="203" t="s">
        <v>1096</v>
      </c>
      <c r="AI130" s="202" t="s">
        <v>1097</v>
      </c>
      <c r="AJ130" s="202" t="s">
        <v>1098</v>
      </c>
      <c r="AK130" s="202" t="s">
        <v>324</v>
      </c>
      <c r="AL130" s="202" t="s">
        <v>315</v>
      </c>
      <c r="AM130" s="202" t="s">
        <v>324</v>
      </c>
      <c r="AN130" s="202" t="s">
        <v>324</v>
      </c>
      <c r="AO130" s="202" t="s">
        <v>324</v>
      </c>
      <c r="AP130" s="202" t="s">
        <v>324</v>
      </c>
      <c r="AQ130" s="202" t="s">
        <v>1099</v>
      </c>
      <c r="AR130" s="205" t="s">
        <v>1100</v>
      </c>
      <c r="AS130" s="241" t="s">
        <v>1101</v>
      </c>
    </row>
    <row r="131">
      <c r="A131" s="383"/>
      <c r="B131" s="69"/>
      <c r="C131" s="70"/>
      <c r="D131" s="71"/>
      <c r="E131" s="96"/>
      <c r="F131" s="96"/>
      <c r="G131" s="96"/>
      <c r="H131" s="96"/>
      <c r="I131" s="132"/>
      <c r="J131" s="384"/>
      <c r="K131" s="384"/>
      <c r="L131" s="201"/>
      <c r="M131" s="25" t="s">
        <v>1102</v>
      </c>
      <c r="N131" s="202"/>
      <c r="O131" s="202"/>
      <c r="P131" s="206"/>
      <c r="Q131" s="202"/>
      <c r="R131" s="272"/>
      <c r="S131" s="25" t="s">
        <v>1101</v>
      </c>
      <c r="T131" s="202"/>
      <c r="U131" s="202"/>
      <c r="V131" s="202"/>
      <c r="W131" s="202"/>
      <c r="X131" s="202"/>
      <c r="Y131" s="202"/>
      <c r="Z131" s="202"/>
      <c r="AA131" s="202"/>
      <c r="AB131" s="272"/>
      <c r="AC131" s="272"/>
      <c r="AD131" s="206"/>
      <c r="AE131" s="202"/>
      <c r="AF131" s="202"/>
      <c r="AG131" s="202"/>
      <c r="AH131" s="202"/>
      <c r="AI131" s="272"/>
      <c r="AJ131" s="202"/>
      <c r="AK131" s="202"/>
      <c r="AL131" s="202"/>
      <c r="AM131" s="202"/>
      <c r="AN131" s="202"/>
      <c r="AO131" s="202"/>
      <c r="AP131" s="202"/>
      <c r="AQ131" s="202"/>
      <c r="AR131" s="205"/>
      <c r="AS131" s="241" t="s">
        <v>1102</v>
      </c>
    </row>
    <row r="132">
      <c r="A132" s="383"/>
      <c r="B132" s="69"/>
      <c r="C132" s="70"/>
      <c r="D132" s="71"/>
      <c r="E132" s="96"/>
      <c r="F132" s="96"/>
      <c r="G132" s="96"/>
      <c r="H132" s="73" t="s">
        <v>1103</v>
      </c>
      <c r="I132" s="132"/>
      <c r="J132" s="384"/>
      <c r="K132" s="384"/>
      <c r="L132" s="201" t="s">
        <v>311</v>
      </c>
      <c r="M132" s="81" t="s">
        <v>291</v>
      </c>
      <c r="N132" s="203" t="s">
        <v>486</v>
      </c>
      <c r="P132" s="85"/>
      <c r="Q132" s="202" t="s">
        <v>282</v>
      </c>
      <c r="R132" s="272" t="s">
        <v>836</v>
      </c>
      <c r="S132" s="200" t="s">
        <v>893</v>
      </c>
      <c r="T132" s="202" t="s">
        <v>329</v>
      </c>
      <c r="U132" s="202" t="s">
        <v>327</v>
      </c>
      <c r="V132" s="202" t="s">
        <v>324</v>
      </c>
      <c r="W132" s="202" t="s">
        <v>324</v>
      </c>
      <c r="X132" s="202" t="s">
        <v>324</v>
      </c>
      <c r="Y132" s="202" t="s">
        <v>327</v>
      </c>
      <c r="Z132" s="202" t="s">
        <v>324</v>
      </c>
      <c r="AA132" s="202" t="s">
        <v>369</v>
      </c>
      <c r="AB132" s="272" t="s">
        <v>969</v>
      </c>
      <c r="AC132" s="272" t="s">
        <v>324</v>
      </c>
      <c r="AD132" s="85"/>
      <c r="AE132" s="202" t="s">
        <v>315</v>
      </c>
      <c r="AF132" s="202" t="s">
        <v>315</v>
      </c>
      <c r="AG132" s="202" t="s">
        <v>315</v>
      </c>
      <c r="AH132" s="20" t="s">
        <v>1104</v>
      </c>
      <c r="AI132" s="181" t="s">
        <v>443</v>
      </c>
      <c r="AJ132" s="81" t="s">
        <v>1105</v>
      </c>
      <c r="AK132" s="81" t="s">
        <v>324</v>
      </c>
      <c r="AL132" s="81" t="s">
        <v>315</v>
      </c>
      <c r="AM132" s="81"/>
      <c r="AN132" s="81"/>
      <c r="AO132" s="81"/>
      <c r="AP132" s="81"/>
      <c r="AQ132" s="81"/>
      <c r="AR132" s="131"/>
      <c r="AS132" s="67"/>
    </row>
    <row r="133">
      <c r="A133" s="383"/>
      <c r="B133" s="69" t="s">
        <v>238</v>
      </c>
      <c r="C133" s="70">
        <v>43441.0</v>
      </c>
      <c r="D133" s="71" t="s">
        <v>767</v>
      </c>
      <c r="E133" s="72">
        <v>43579.0</v>
      </c>
      <c r="F133" s="73" t="s">
        <v>280</v>
      </c>
      <c r="G133" s="72">
        <v>43583.0</v>
      </c>
      <c r="H133" s="73" t="s">
        <v>282</v>
      </c>
      <c r="I133" s="132" t="s">
        <v>1106</v>
      </c>
      <c r="J133" s="384" t="s">
        <v>147</v>
      </c>
      <c r="K133" s="384" t="s">
        <v>933</v>
      </c>
      <c r="L133" s="221" t="s">
        <v>319</v>
      </c>
      <c r="M133" s="222" t="s">
        <v>315</v>
      </c>
      <c r="N133" s="223" t="s">
        <v>894</v>
      </c>
      <c r="Q133" s="222" t="s">
        <v>315</v>
      </c>
      <c r="R133" s="222" t="s">
        <v>837</v>
      </c>
      <c r="S133" s="223" t="s">
        <v>894</v>
      </c>
      <c r="T133" s="222" t="s">
        <v>324</v>
      </c>
      <c r="U133" s="222" t="s">
        <v>324</v>
      </c>
      <c r="V133" s="222" t="s">
        <v>324</v>
      </c>
      <c r="W133" s="222" t="s">
        <v>324</v>
      </c>
      <c r="X133" s="222" t="s">
        <v>324</v>
      </c>
      <c r="Y133" s="222" t="s">
        <v>324</v>
      </c>
      <c r="Z133" s="222" t="s">
        <v>324</v>
      </c>
      <c r="AA133" s="222" t="s">
        <v>324</v>
      </c>
      <c r="AB133" s="224"/>
      <c r="AC133" s="255" t="s">
        <v>324</v>
      </c>
      <c r="AD133" s="224"/>
      <c r="AE133" s="222" t="s">
        <v>315</v>
      </c>
      <c r="AF133" s="222" t="s">
        <v>315</v>
      </c>
      <c r="AG133" s="222" t="s">
        <v>315</v>
      </c>
      <c r="AH133" s="223" t="s">
        <v>1107</v>
      </c>
      <c r="AI133" s="255" t="s">
        <v>1108</v>
      </c>
      <c r="AJ133" s="222" t="s">
        <v>1109</v>
      </c>
      <c r="AK133" s="222" t="s">
        <v>1110</v>
      </c>
      <c r="AL133" s="222" t="s">
        <v>315</v>
      </c>
      <c r="AM133" s="222" t="s">
        <v>324</v>
      </c>
      <c r="AN133" s="222" t="s">
        <v>324</v>
      </c>
      <c r="AO133" s="222" t="s">
        <v>324</v>
      </c>
      <c r="AP133" s="222" t="s">
        <v>324</v>
      </c>
      <c r="AQ133" s="222" t="s">
        <v>1111</v>
      </c>
      <c r="AR133" s="226" t="s">
        <v>703</v>
      </c>
      <c r="AS133" s="227"/>
    </row>
    <row r="134">
      <c r="A134" s="383"/>
      <c r="B134" s="69"/>
      <c r="C134" s="70"/>
      <c r="D134" s="71"/>
      <c r="E134" s="96"/>
      <c r="F134" s="96"/>
      <c r="G134" s="96"/>
      <c r="H134" s="96"/>
      <c r="I134" s="132"/>
      <c r="J134" s="384"/>
      <c r="K134" s="384"/>
      <c r="L134" s="221"/>
      <c r="M134" s="222"/>
      <c r="N134" s="222"/>
      <c r="O134" s="222"/>
      <c r="P134" s="222"/>
      <c r="Q134" s="222"/>
      <c r="R134" s="222"/>
      <c r="S134" s="222"/>
      <c r="T134" s="222"/>
      <c r="U134" s="222"/>
      <c r="V134" s="222"/>
      <c r="W134" s="222"/>
      <c r="X134" s="222"/>
      <c r="Y134" s="222"/>
      <c r="Z134" s="222"/>
      <c r="AA134" s="222"/>
      <c r="AB134" s="224"/>
      <c r="AC134" s="255"/>
      <c r="AD134" s="224"/>
      <c r="AE134" s="222"/>
      <c r="AF134" s="222"/>
      <c r="AG134" s="222"/>
      <c r="AH134" s="256" t="s">
        <v>1112</v>
      </c>
      <c r="AI134" s="255"/>
      <c r="AJ134" s="222"/>
      <c r="AK134" s="222"/>
      <c r="AL134" s="222"/>
      <c r="AM134" s="222"/>
      <c r="AN134" s="222"/>
      <c r="AO134" s="222"/>
      <c r="AP134" s="222"/>
      <c r="AQ134" s="222"/>
      <c r="AR134" s="226"/>
      <c r="AS134" s="227"/>
    </row>
    <row r="135">
      <c r="A135" s="383"/>
      <c r="B135" s="69"/>
      <c r="C135" s="70"/>
      <c r="D135" s="71"/>
      <c r="E135" s="96"/>
      <c r="F135" s="96"/>
      <c r="G135" s="96"/>
      <c r="H135" s="73" t="s">
        <v>1113</v>
      </c>
      <c r="I135" s="132"/>
      <c r="J135" s="384"/>
      <c r="K135" s="384"/>
      <c r="L135" s="221" t="s">
        <v>319</v>
      </c>
      <c r="M135" s="222" t="s">
        <v>315</v>
      </c>
      <c r="N135" s="82" t="s">
        <v>488</v>
      </c>
      <c r="O135" s="81"/>
      <c r="P135" s="81"/>
      <c r="Q135" s="222" t="s">
        <v>315</v>
      </c>
      <c r="R135" s="222" t="s">
        <v>837</v>
      </c>
      <c r="S135" s="223" t="s">
        <v>894</v>
      </c>
      <c r="T135" s="222" t="s">
        <v>324</v>
      </c>
      <c r="U135" s="222" t="s">
        <v>324</v>
      </c>
      <c r="V135" s="222" t="s">
        <v>324</v>
      </c>
      <c r="W135" s="222" t="s">
        <v>324</v>
      </c>
      <c r="X135" s="222" t="s">
        <v>324</v>
      </c>
      <c r="Y135" s="222" t="s">
        <v>324</v>
      </c>
      <c r="Z135" s="222" t="s">
        <v>324</v>
      </c>
      <c r="AA135" s="222" t="s">
        <v>324</v>
      </c>
      <c r="AB135" s="85"/>
      <c r="AC135" s="181"/>
      <c r="AD135" s="85"/>
      <c r="AE135" s="222" t="s">
        <v>315</v>
      </c>
      <c r="AF135" s="222" t="s">
        <v>315</v>
      </c>
      <c r="AG135" s="222" t="s">
        <v>315</v>
      </c>
      <c r="AH135" s="223" t="s">
        <v>1107</v>
      </c>
      <c r="AI135" s="181" t="s">
        <v>609</v>
      </c>
      <c r="AJ135" s="181" t="s">
        <v>1114</v>
      </c>
      <c r="AK135" s="385" t="s">
        <v>1115</v>
      </c>
      <c r="AL135" s="222" t="s">
        <v>315</v>
      </c>
      <c r="AM135" s="81"/>
      <c r="AN135" s="81"/>
      <c r="AO135" s="81"/>
      <c r="AP135" s="81"/>
      <c r="AQ135" s="81"/>
      <c r="AR135" s="131"/>
      <c r="AS135" s="67"/>
    </row>
    <row r="136">
      <c r="A136" s="240"/>
      <c r="B136" s="69" t="s">
        <v>238</v>
      </c>
      <c r="C136" s="70">
        <v>43441.0</v>
      </c>
      <c r="D136" s="71" t="s">
        <v>767</v>
      </c>
      <c r="E136" s="72">
        <v>43579.0</v>
      </c>
      <c r="F136" s="73" t="s">
        <v>280</v>
      </c>
      <c r="G136" s="72">
        <v>43583.0</v>
      </c>
      <c r="H136" s="73" t="s">
        <v>282</v>
      </c>
      <c r="I136" s="128" t="s">
        <v>1116</v>
      </c>
      <c r="J136" s="76" t="s">
        <v>148</v>
      </c>
      <c r="K136" s="76" t="s">
        <v>812</v>
      </c>
      <c r="L136" s="201" t="s">
        <v>320</v>
      </c>
      <c r="M136" s="202" t="s">
        <v>315</v>
      </c>
      <c r="N136" s="203" t="s">
        <v>489</v>
      </c>
      <c r="Q136" s="202" t="s">
        <v>315</v>
      </c>
      <c r="R136" s="202" t="s">
        <v>838</v>
      </c>
      <c r="S136" s="203" t="s">
        <v>895</v>
      </c>
      <c r="T136" s="202" t="s">
        <v>324</v>
      </c>
      <c r="U136" s="202" t="s">
        <v>324</v>
      </c>
      <c r="V136" s="202" t="s">
        <v>324</v>
      </c>
      <c r="W136" s="202" t="s">
        <v>324</v>
      </c>
      <c r="X136" s="202" t="s">
        <v>324</v>
      </c>
      <c r="Y136" s="202" t="s">
        <v>324</v>
      </c>
      <c r="Z136" s="202" t="s">
        <v>324</v>
      </c>
      <c r="AA136" s="202" t="s">
        <v>324</v>
      </c>
      <c r="AB136" s="204"/>
      <c r="AC136" s="202" t="s">
        <v>324</v>
      </c>
      <c r="AD136" s="204"/>
      <c r="AE136" s="202" t="s">
        <v>315</v>
      </c>
      <c r="AF136" s="202" t="s">
        <v>315</v>
      </c>
      <c r="AG136" s="202" t="s">
        <v>315</v>
      </c>
      <c r="AH136" s="203" t="s">
        <v>1117</v>
      </c>
      <c r="AI136" s="202" t="s">
        <v>1118</v>
      </c>
      <c r="AJ136" s="386" t="s">
        <v>1119</v>
      </c>
      <c r="AK136" s="202" t="s">
        <v>713</v>
      </c>
      <c r="AL136" s="202" t="s">
        <v>315</v>
      </c>
      <c r="AM136" s="202" t="s">
        <v>324</v>
      </c>
      <c r="AN136" s="202" t="s">
        <v>324</v>
      </c>
      <c r="AO136" s="202" t="s">
        <v>324</v>
      </c>
      <c r="AP136" s="202" t="s">
        <v>324</v>
      </c>
      <c r="AQ136" s="202" t="s">
        <v>1120</v>
      </c>
      <c r="AR136" s="205" t="s">
        <v>639</v>
      </c>
      <c r="AS136" s="204"/>
    </row>
    <row r="137">
      <c r="A137" s="383"/>
      <c r="B137" s="69"/>
      <c r="C137" s="70"/>
      <c r="D137" s="71"/>
      <c r="E137" s="96"/>
      <c r="F137" s="96"/>
      <c r="G137" s="96"/>
      <c r="H137" s="96"/>
      <c r="I137" s="132"/>
      <c r="J137" s="384"/>
      <c r="K137" s="384"/>
      <c r="L137" s="201"/>
      <c r="M137" s="202"/>
      <c r="N137" s="202"/>
      <c r="O137" s="202"/>
      <c r="P137" s="202"/>
      <c r="Q137" s="202"/>
      <c r="R137" s="207"/>
      <c r="S137" s="25" t="s">
        <v>1121</v>
      </c>
      <c r="T137" s="202"/>
      <c r="U137" s="202"/>
      <c r="V137" s="202"/>
      <c r="W137" s="202"/>
      <c r="X137" s="202"/>
      <c r="Y137" s="202"/>
      <c r="Z137" s="202"/>
      <c r="AA137" s="202"/>
      <c r="AB137" s="206"/>
      <c r="AC137" s="272"/>
      <c r="AD137" s="206"/>
      <c r="AE137" s="202"/>
      <c r="AF137" s="202"/>
      <c r="AG137" s="202"/>
      <c r="AH137" s="202"/>
      <c r="AI137" s="272"/>
      <c r="AJ137" s="202"/>
      <c r="AK137" s="202"/>
      <c r="AL137" s="202"/>
      <c r="AM137" s="202"/>
      <c r="AN137" s="202"/>
      <c r="AO137" s="202"/>
      <c r="AP137" s="202"/>
      <c r="AQ137" s="202"/>
      <c r="AR137" s="205"/>
      <c r="AS137" s="206"/>
    </row>
    <row r="138">
      <c r="A138" s="383"/>
      <c r="B138" s="69"/>
      <c r="C138" s="70"/>
      <c r="D138" s="71"/>
      <c r="E138" s="96"/>
      <c r="F138" s="96"/>
      <c r="G138" s="96"/>
      <c r="H138" s="73" t="s">
        <v>1122</v>
      </c>
      <c r="I138" s="132"/>
      <c r="J138" s="384"/>
      <c r="K138" s="384"/>
      <c r="L138" s="201" t="s">
        <v>320</v>
      </c>
      <c r="M138" s="202" t="s">
        <v>315</v>
      </c>
      <c r="N138" s="203" t="s">
        <v>489</v>
      </c>
      <c r="Q138" s="202" t="s">
        <v>315</v>
      </c>
      <c r="R138" s="207" t="s">
        <v>838</v>
      </c>
      <c r="S138" s="200" t="s">
        <v>895</v>
      </c>
      <c r="T138" s="202" t="s">
        <v>324</v>
      </c>
      <c r="U138" s="202" t="s">
        <v>324</v>
      </c>
      <c r="V138" s="202" t="s">
        <v>324</v>
      </c>
      <c r="W138" s="202" t="s">
        <v>324</v>
      </c>
      <c r="X138" s="202" t="s">
        <v>324</v>
      </c>
      <c r="Y138" s="202" t="s">
        <v>324</v>
      </c>
      <c r="Z138" s="202" t="s">
        <v>324</v>
      </c>
      <c r="AA138" s="202" t="s">
        <v>324</v>
      </c>
      <c r="AB138" s="85"/>
      <c r="AC138" s="181"/>
      <c r="AD138" s="85"/>
      <c r="AE138" s="202" t="s">
        <v>315</v>
      </c>
      <c r="AF138" s="202" t="s">
        <v>315</v>
      </c>
      <c r="AG138" s="202" t="s">
        <v>315</v>
      </c>
      <c r="AH138" s="203" t="s">
        <v>1117</v>
      </c>
      <c r="AI138" s="181" t="s">
        <v>443</v>
      </c>
      <c r="AJ138" s="81" t="s">
        <v>1123</v>
      </c>
      <c r="AK138" s="81" t="s">
        <v>1124</v>
      </c>
      <c r="AL138" s="81" t="s">
        <v>315</v>
      </c>
      <c r="AM138" s="81"/>
      <c r="AN138" s="81"/>
      <c r="AO138" s="81"/>
      <c r="AP138" s="81"/>
      <c r="AQ138" s="81"/>
      <c r="AR138" s="131"/>
      <c r="AS138" s="67"/>
    </row>
    <row r="139">
      <c r="A139" s="383"/>
      <c r="B139" s="69" t="s">
        <v>238</v>
      </c>
      <c r="C139" s="70">
        <v>43441.0</v>
      </c>
      <c r="D139" s="71" t="s">
        <v>280</v>
      </c>
      <c r="E139" s="72">
        <v>43566.0</v>
      </c>
      <c r="F139" s="73" t="s">
        <v>258</v>
      </c>
      <c r="G139" s="72">
        <v>43580.0</v>
      </c>
      <c r="H139" s="73" t="s">
        <v>282</v>
      </c>
      <c r="I139" s="132" t="s">
        <v>1125</v>
      </c>
      <c r="J139" s="384" t="s">
        <v>149</v>
      </c>
      <c r="K139" s="387"/>
      <c r="L139" s="79" t="s">
        <v>305</v>
      </c>
      <c r="M139" s="81" t="s">
        <v>291</v>
      </c>
      <c r="N139" s="82" t="s">
        <v>490</v>
      </c>
      <c r="O139" s="81"/>
      <c r="P139" s="82" t="s">
        <v>780</v>
      </c>
      <c r="Q139" s="81" t="s">
        <v>315</v>
      </c>
      <c r="R139" s="81" t="s">
        <v>748</v>
      </c>
      <c r="S139" s="82" t="s">
        <v>749</v>
      </c>
      <c r="T139" s="81" t="s">
        <v>324</v>
      </c>
      <c r="U139" s="81" t="s">
        <v>324</v>
      </c>
      <c r="V139" s="81" t="s">
        <v>324</v>
      </c>
      <c r="W139" s="81" t="s">
        <v>324</v>
      </c>
      <c r="X139" s="81" t="s">
        <v>324</v>
      </c>
      <c r="Y139" s="81" t="s">
        <v>324</v>
      </c>
      <c r="Z139" s="81" t="s">
        <v>324</v>
      </c>
      <c r="AA139" s="81" t="s">
        <v>324</v>
      </c>
      <c r="AB139" s="81" t="s">
        <v>970</v>
      </c>
      <c r="AC139" s="181" t="s">
        <v>324</v>
      </c>
      <c r="AD139" s="85"/>
      <c r="AE139" s="81" t="s">
        <v>315</v>
      </c>
      <c r="AF139" s="81" t="s">
        <v>315</v>
      </c>
      <c r="AG139" s="81" t="s">
        <v>315</v>
      </c>
      <c r="AH139" s="85"/>
      <c r="AI139" s="181" t="s">
        <v>524</v>
      </c>
      <c r="AJ139" s="81" t="s">
        <v>324</v>
      </c>
      <c r="AK139" s="81" t="s">
        <v>324</v>
      </c>
      <c r="AL139" s="81" t="s">
        <v>315</v>
      </c>
      <c r="AM139" s="81" t="s">
        <v>324</v>
      </c>
      <c r="AN139" s="81" t="s">
        <v>324</v>
      </c>
      <c r="AO139" s="81" t="s">
        <v>324</v>
      </c>
      <c r="AP139" s="81" t="s">
        <v>324</v>
      </c>
      <c r="AQ139" s="81" t="s">
        <v>1126</v>
      </c>
      <c r="AR139" s="131" t="s">
        <v>639</v>
      </c>
      <c r="AS139" s="67"/>
    </row>
    <row r="140">
      <c r="A140" s="383"/>
      <c r="B140" s="69"/>
      <c r="C140" s="70"/>
      <c r="D140" s="71"/>
      <c r="E140" s="72"/>
      <c r="F140" s="72"/>
      <c r="G140" s="72"/>
      <c r="H140" s="72"/>
      <c r="I140" s="132"/>
      <c r="J140" s="384"/>
      <c r="K140" s="387"/>
      <c r="L140" s="79"/>
      <c r="M140" s="81"/>
      <c r="N140" s="81"/>
      <c r="O140" s="81"/>
      <c r="P140" s="81"/>
      <c r="Q140" s="81"/>
      <c r="R140" s="81"/>
      <c r="S140" s="81"/>
      <c r="T140" s="81"/>
      <c r="U140" s="81"/>
      <c r="V140" s="81"/>
      <c r="W140" s="81"/>
      <c r="X140" s="81"/>
      <c r="Y140" s="81"/>
      <c r="Z140" s="81"/>
      <c r="AA140" s="81"/>
      <c r="AB140" s="81"/>
      <c r="AC140" s="181"/>
      <c r="AD140" s="85"/>
      <c r="AE140" s="81"/>
      <c r="AF140" s="81"/>
      <c r="AG140" s="81"/>
      <c r="AH140" s="85"/>
      <c r="AI140" s="181"/>
      <c r="AJ140" s="81"/>
      <c r="AK140" s="81"/>
      <c r="AL140" s="81"/>
      <c r="AM140" s="81"/>
      <c r="AN140" s="81"/>
      <c r="AO140" s="81"/>
      <c r="AP140" s="81"/>
      <c r="AQ140" s="81"/>
      <c r="AR140" s="131"/>
      <c r="AS140" s="67"/>
    </row>
    <row r="141">
      <c r="A141" s="388"/>
      <c r="B141" s="167"/>
      <c r="C141" s="168"/>
      <c r="D141" s="169"/>
      <c r="E141" s="197"/>
      <c r="F141" s="197"/>
      <c r="G141" s="197"/>
      <c r="H141" s="197"/>
      <c r="I141" s="171"/>
      <c r="J141" s="389"/>
      <c r="K141" s="390"/>
      <c r="L141" s="127" t="s">
        <v>305</v>
      </c>
      <c r="M141" s="114" t="s">
        <v>291</v>
      </c>
      <c r="N141" s="122" t="s">
        <v>490</v>
      </c>
      <c r="O141" s="114"/>
      <c r="P141" s="122" t="s">
        <v>780</v>
      </c>
      <c r="Q141" s="114" t="s">
        <v>315</v>
      </c>
      <c r="R141" s="114" t="s">
        <v>748</v>
      </c>
      <c r="S141" s="122" t="s">
        <v>749</v>
      </c>
      <c r="T141" s="114" t="s">
        <v>324</v>
      </c>
      <c r="U141" s="114" t="s">
        <v>324</v>
      </c>
      <c r="V141" s="114" t="s">
        <v>324</v>
      </c>
      <c r="W141" s="114" t="s">
        <v>324</v>
      </c>
      <c r="X141" s="114" t="s">
        <v>324</v>
      </c>
      <c r="Y141" s="114" t="s">
        <v>324</v>
      </c>
      <c r="Z141" s="114" t="s">
        <v>324</v>
      </c>
      <c r="AA141" s="114" t="s">
        <v>324</v>
      </c>
      <c r="AB141" s="114" t="s">
        <v>970</v>
      </c>
      <c r="AC141" s="182"/>
      <c r="AD141" s="118"/>
      <c r="AE141" s="114" t="s">
        <v>315</v>
      </c>
      <c r="AF141" s="114" t="s">
        <v>315</v>
      </c>
      <c r="AG141" s="114" t="s">
        <v>315</v>
      </c>
      <c r="AH141" s="118"/>
      <c r="AI141" s="182" t="s">
        <v>524</v>
      </c>
      <c r="AJ141" s="114"/>
      <c r="AK141" s="114" t="s">
        <v>324</v>
      </c>
      <c r="AL141" s="114" t="s">
        <v>315</v>
      </c>
      <c r="AM141" s="114"/>
      <c r="AN141" s="114"/>
      <c r="AO141" s="114"/>
      <c r="AP141" s="114"/>
      <c r="AQ141" s="114" t="s">
        <v>1126</v>
      </c>
      <c r="AR141" s="142"/>
      <c r="AS141" s="143"/>
    </row>
    <row r="142">
      <c r="A142" s="240"/>
      <c r="B142" s="69" t="s">
        <v>238</v>
      </c>
      <c r="C142" s="70">
        <v>43438.0</v>
      </c>
      <c r="D142" s="71" t="s">
        <v>280</v>
      </c>
      <c r="E142" s="72">
        <v>43566.0</v>
      </c>
      <c r="F142" s="73" t="s">
        <v>258</v>
      </c>
      <c r="G142" s="72">
        <v>43580.0</v>
      </c>
      <c r="H142" s="73" t="s">
        <v>282</v>
      </c>
      <c r="I142" s="132" t="s">
        <v>1127</v>
      </c>
      <c r="J142" s="98" t="s">
        <v>150</v>
      </c>
      <c r="K142" s="100" t="s">
        <v>812</v>
      </c>
      <c r="L142" s="79" t="s">
        <v>321</v>
      </c>
      <c r="M142" s="81" t="s">
        <v>291</v>
      </c>
      <c r="N142" s="82" t="s">
        <v>492</v>
      </c>
      <c r="P142" s="82" t="s">
        <v>492</v>
      </c>
      <c r="Q142" s="81" t="s">
        <v>282</v>
      </c>
      <c r="R142" s="81" t="s">
        <v>748</v>
      </c>
      <c r="S142" s="82" t="s">
        <v>749</v>
      </c>
      <c r="T142" s="81" t="s">
        <v>282</v>
      </c>
      <c r="U142" s="81" t="s">
        <v>324</v>
      </c>
      <c r="V142" s="81" t="s">
        <v>282</v>
      </c>
      <c r="W142" s="81" t="s">
        <v>324</v>
      </c>
      <c r="X142" s="81" t="s">
        <v>282</v>
      </c>
      <c r="Y142" s="81" t="s">
        <v>282</v>
      </c>
      <c r="Z142" s="81" t="s">
        <v>324</v>
      </c>
      <c r="AA142" s="81" t="s">
        <v>324</v>
      </c>
      <c r="AB142" s="85"/>
      <c r="AC142" s="181" t="s">
        <v>990</v>
      </c>
      <c r="AD142" s="82" t="s">
        <v>492</v>
      </c>
      <c r="AE142" s="81" t="s">
        <v>315</v>
      </c>
      <c r="AF142" s="81" t="s">
        <v>315</v>
      </c>
      <c r="AG142" s="81" t="s">
        <v>282</v>
      </c>
      <c r="AH142" s="82" t="s">
        <v>492</v>
      </c>
      <c r="AI142" s="81" t="s">
        <v>1128</v>
      </c>
      <c r="AJ142" s="81" t="s">
        <v>324</v>
      </c>
      <c r="AK142" s="81" t="s">
        <v>324</v>
      </c>
      <c r="AL142" s="81" t="s">
        <v>315</v>
      </c>
      <c r="AM142" s="181" t="s">
        <v>1129</v>
      </c>
      <c r="AN142" s="81" t="s">
        <v>324</v>
      </c>
      <c r="AO142" s="81" t="s">
        <v>324</v>
      </c>
      <c r="AP142" s="81" t="s">
        <v>324</v>
      </c>
      <c r="AQ142" s="81" t="s">
        <v>1130</v>
      </c>
      <c r="AR142" s="131" t="s">
        <v>639</v>
      </c>
      <c r="AS142" s="25"/>
    </row>
    <row r="143">
      <c r="A143" s="240"/>
      <c r="B143" s="69"/>
      <c r="C143" s="70"/>
      <c r="D143" s="71"/>
      <c r="E143" s="72"/>
      <c r="F143" s="72"/>
      <c r="G143" s="72"/>
      <c r="H143" s="72"/>
      <c r="I143" s="132"/>
      <c r="J143" s="98"/>
      <c r="K143" s="100"/>
      <c r="L143" s="79"/>
      <c r="M143" s="81"/>
      <c r="N143" s="81"/>
      <c r="O143" s="81"/>
      <c r="P143" s="81"/>
      <c r="Q143" s="81"/>
      <c r="R143" s="81"/>
      <c r="S143" s="81"/>
      <c r="T143" s="81"/>
      <c r="U143" s="81"/>
      <c r="V143" s="81"/>
      <c r="W143" s="81"/>
      <c r="X143" s="81"/>
      <c r="Y143" s="81"/>
      <c r="Z143" s="81"/>
      <c r="AA143" s="81"/>
      <c r="AB143" s="85"/>
      <c r="AC143" s="181"/>
      <c r="AD143" s="81"/>
      <c r="AE143" s="81"/>
      <c r="AF143" s="81"/>
      <c r="AG143" s="81"/>
      <c r="AH143" s="81"/>
      <c r="AI143" s="81" t="s">
        <v>1131</v>
      </c>
      <c r="AJ143" s="81"/>
      <c r="AK143" s="81"/>
      <c r="AL143" s="81"/>
      <c r="AM143" s="181"/>
      <c r="AN143" s="81"/>
      <c r="AO143" s="81"/>
      <c r="AP143" s="81"/>
      <c r="AQ143" s="81"/>
      <c r="AR143" s="131"/>
      <c r="AS143" s="25"/>
    </row>
    <row r="144">
      <c r="A144" s="391"/>
      <c r="B144" s="167"/>
      <c r="C144" s="168"/>
      <c r="D144" s="169"/>
      <c r="E144" s="197"/>
      <c r="F144" s="197"/>
      <c r="G144" s="197"/>
      <c r="H144" s="197"/>
      <c r="I144" s="171"/>
      <c r="J144" s="172"/>
      <c r="K144" s="173"/>
      <c r="L144" s="127" t="s">
        <v>321</v>
      </c>
      <c r="M144" s="114" t="s">
        <v>291</v>
      </c>
      <c r="N144" s="122" t="s">
        <v>492</v>
      </c>
      <c r="O144" s="114"/>
      <c r="P144" s="122" t="s">
        <v>492</v>
      </c>
      <c r="Q144" s="114" t="s">
        <v>282</v>
      </c>
      <c r="R144" s="114" t="s">
        <v>748</v>
      </c>
      <c r="S144" s="122" t="s">
        <v>749</v>
      </c>
      <c r="T144" s="114" t="s">
        <v>282</v>
      </c>
      <c r="U144" s="114" t="s">
        <v>324</v>
      </c>
      <c r="V144" s="114" t="s">
        <v>282</v>
      </c>
      <c r="W144" s="114" t="s">
        <v>324</v>
      </c>
      <c r="X144" s="114" t="s">
        <v>282</v>
      </c>
      <c r="Y144" s="114" t="s">
        <v>282</v>
      </c>
      <c r="Z144" s="114" t="s">
        <v>324</v>
      </c>
      <c r="AA144" s="114" t="s">
        <v>324</v>
      </c>
      <c r="AB144" s="118"/>
      <c r="AC144" s="182" t="s">
        <v>990</v>
      </c>
      <c r="AD144" s="122" t="s">
        <v>492</v>
      </c>
      <c r="AE144" s="114" t="s">
        <v>315</v>
      </c>
      <c r="AF144" s="114" t="s">
        <v>315</v>
      </c>
      <c r="AG144" s="114" t="s">
        <v>282</v>
      </c>
      <c r="AH144" s="122" t="s">
        <v>492</v>
      </c>
      <c r="AI144" s="114" t="s">
        <v>524</v>
      </c>
      <c r="AJ144" s="114"/>
      <c r="AK144" s="114" t="s">
        <v>324</v>
      </c>
      <c r="AL144" s="114" t="s">
        <v>315</v>
      </c>
      <c r="AM144" s="182"/>
      <c r="AN144" s="114"/>
      <c r="AO144" s="114"/>
      <c r="AP144" s="114"/>
      <c r="AQ144" s="114" t="s">
        <v>1134</v>
      </c>
      <c r="AR144" s="142"/>
      <c r="AS144" s="176"/>
    </row>
    <row r="145">
      <c r="A145" s="240"/>
      <c r="B145" s="69" t="s">
        <v>238</v>
      </c>
      <c r="C145" s="70">
        <v>43438.0</v>
      </c>
      <c r="D145" s="71" t="s">
        <v>280</v>
      </c>
      <c r="E145" s="72">
        <v>43566.0</v>
      </c>
      <c r="F145" s="73" t="s">
        <v>258</v>
      </c>
      <c r="G145" s="72">
        <v>43580.0</v>
      </c>
      <c r="H145" s="73" t="s">
        <v>282</v>
      </c>
      <c r="I145" s="132" t="s">
        <v>1135</v>
      </c>
      <c r="J145" s="98" t="s">
        <v>151</v>
      </c>
      <c r="K145" s="100" t="s">
        <v>770</v>
      </c>
      <c r="L145" s="79" t="s">
        <v>322</v>
      </c>
      <c r="M145" s="81" t="s">
        <v>393</v>
      </c>
      <c r="N145" s="82" t="s">
        <v>493</v>
      </c>
      <c r="P145" s="82" t="s">
        <v>782</v>
      </c>
      <c r="Q145" s="81" t="s">
        <v>369</v>
      </c>
      <c r="R145" s="81" t="s">
        <v>324</v>
      </c>
      <c r="S145" s="85"/>
      <c r="T145" s="81" t="s">
        <v>324</v>
      </c>
      <c r="U145" s="81" t="s">
        <v>324</v>
      </c>
      <c r="V145" s="81" t="s">
        <v>324</v>
      </c>
      <c r="W145" s="81" t="s">
        <v>324</v>
      </c>
      <c r="X145" s="81" t="s">
        <v>324</v>
      </c>
      <c r="Y145" s="81" t="s">
        <v>324</v>
      </c>
      <c r="Z145" s="81" t="s">
        <v>324</v>
      </c>
      <c r="AA145" s="81" t="s">
        <v>324</v>
      </c>
      <c r="AB145" s="85"/>
      <c r="AC145" s="81" t="s">
        <v>1136</v>
      </c>
      <c r="AD145" s="85"/>
      <c r="AE145" s="81" t="s">
        <v>324</v>
      </c>
      <c r="AF145" s="81" t="s">
        <v>315</v>
      </c>
      <c r="AG145" s="81" t="s">
        <v>282</v>
      </c>
      <c r="AH145" s="82" t="s">
        <v>1132</v>
      </c>
      <c r="AI145" s="81" t="s">
        <v>615</v>
      </c>
      <c r="AJ145" s="81" t="s">
        <v>1137</v>
      </c>
      <c r="AK145" s="81" t="s">
        <v>324</v>
      </c>
      <c r="AL145" s="81" t="s">
        <v>315</v>
      </c>
      <c r="AM145" s="81" t="s">
        <v>1138</v>
      </c>
      <c r="AN145" s="81" t="s">
        <v>1139</v>
      </c>
      <c r="AO145" s="81" t="s">
        <v>324</v>
      </c>
      <c r="AP145" s="81" t="s">
        <v>324</v>
      </c>
      <c r="AQ145" s="81" t="s">
        <v>1140</v>
      </c>
      <c r="AR145" s="131" t="s">
        <v>660</v>
      </c>
      <c r="AS145" s="25"/>
    </row>
    <row r="146">
      <c r="A146" s="240"/>
      <c r="B146" s="69"/>
      <c r="C146" s="70"/>
      <c r="D146" s="71"/>
      <c r="E146" s="72"/>
      <c r="F146" s="72"/>
      <c r="G146" s="72"/>
      <c r="H146" s="72"/>
      <c r="I146" s="132"/>
      <c r="J146" s="98"/>
      <c r="K146" s="100"/>
      <c r="L146" s="79"/>
      <c r="M146" s="81"/>
      <c r="N146" s="81"/>
      <c r="O146" s="81"/>
      <c r="P146" s="81"/>
      <c r="Q146" s="81"/>
      <c r="R146" s="81"/>
      <c r="S146" s="85"/>
      <c r="T146" s="81"/>
      <c r="U146" s="81"/>
      <c r="V146" s="81"/>
      <c r="W146" s="81"/>
      <c r="X146" s="81"/>
      <c r="Y146" s="81"/>
      <c r="Z146" s="81"/>
      <c r="AA146" s="81"/>
      <c r="AB146" s="85"/>
      <c r="AC146" s="81"/>
      <c r="AD146" s="85"/>
      <c r="AE146" s="81"/>
      <c r="AF146" s="81"/>
      <c r="AG146" s="81"/>
      <c r="AH146" s="81"/>
      <c r="AI146" s="81"/>
      <c r="AJ146" s="81"/>
      <c r="AK146" s="81"/>
      <c r="AL146" s="81"/>
      <c r="AM146" s="81"/>
      <c r="AN146" s="81" t="s">
        <v>1141</v>
      </c>
      <c r="AO146" s="81"/>
      <c r="AP146" s="81"/>
      <c r="AQ146" s="81"/>
      <c r="AR146" s="131"/>
      <c r="AS146" s="25"/>
    </row>
    <row r="147">
      <c r="A147" s="391"/>
      <c r="B147" s="167"/>
      <c r="C147" s="168"/>
      <c r="D147" s="169"/>
      <c r="E147" s="197"/>
      <c r="F147" s="197"/>
      <c r="G147" s="197"/>
      <c r="H147" s="197"/>
      <c r="I147" s="171"/>
      <c r="J147" s="172"/>
      <c r="K147" s="173"/>
      <c r="L147" s="127" t="s">
        <v>322</v>
      </c>
      <c r="M147" s="114" t="s">
        <v>393</v>
      </c>
      <c r="N147" s="122" t="s">
        <v>493</v>
      </c>
      <c r="O147" s="114"/>
      <c r="P147" s="122" t="s">
        <v>782</v>
      </c>
      <c r="Q147" s="114" t="s">
        <v>369</v>
      </c>
      <c r="R147" s="114"/>
      <c r="S147" s="118"/>
      <c r="T147" s="114" t="s">
        <v>324</v>
      </c>
      <c r="U147" s="114" t="s">
        <v>324</v>
      </c>
      <c r="V147" s="114" t="s">
        <v>324</v>
      </c>
      <c r="W147" s="114" t="s">
        <v>324</v>
      </c>
      <c r="X147" s="114" t="s">
        <v>324</v>
      </c>
      <c r="Y147" s="114" t="s">
        <v>324</v>
      </c>
      <c r="Z147" s="114" t="s">
        <v>324</v>
      </c>
      <c r="AA147" s="114" t="s">
        <v>324</v>
      </c>
      <c r="AB147" s="118"/>
      <c r="AC147" s="114"/>
      <c r="AD147" s="118"/>
      <c r="AE147" s="114" t="s">
        <v>315</v>
      </c>
      <c r="AF147" s="114" t="s">
        <v>315</v>
      </c>
      <c r="AG147" s="114" t="s">
        <v>315</v>
      </c>
      <c r="AH147" s="122" t="s">
        <v>1132</v>
      </c>
      <c r="AI147" s="114" t="s">
        <v>615</v>
      </c>
      <c r="AJ147" s="114" t="s">
        <v>1137</v>
      </c>
      <c r="AK147" s="114" t="s">
        <v>324</v>
      </c>
      <c r="AL147" s="114" t="s">
        <v>315</v>
      </c>
      <c r="AM147" s="114" t="s">
        <v>1138</v>
      </c>
      <c r="AN147" s="114"/>
      <c r="AO147" s="114"/>
      <c r="AP147" s="114"/>
      <c r="AQ147" s="114" t="s">
        <v>1140</v>
      </c>
      <c r="AR147" s="142"/>
      <c r="AS147" s="176"/>
    </row>
    <row r="148">
      <c r="A148" s="240"/>
      <c r="B148" s="69" t="s">
        <v>238</v>
      </c>
      <c r="C148" s="70">
        <v>43438.0</v>
      </c>
      <c r="D148" s="71" t="s">
        <v>280</v>
      </c>
      <c r="E148" s="72">
        <v>43566.0</v>
      </c>
      <c r="F148" s="73" t="s">
        <v>258</v>
      </c>
      <c r="G148" s="72">
        <v>43580.0</v>
      </c>
      <c r="H148" s="73" t="s">
        <v>282</v>
      </c>
      <c r="I148" s="132" t="s">
        <v>1145</v>
      </c>
      <c r="J148" s="98" t="s">
        <v>152</v>
      </c>
      <c r="K148" s="100" t="s">
        <v>789</v>
      </c>
      <c r="L148" s="79" t="s">
        <v>323</v>
      </c>
      <c r="M148" s="81" t="s">
        <v>315</v>
      </c>
      <c r="N148" s="102" t="s">
        <v>500</v>
      </c>
      <c r="O148" s="102"/>
      <c r="P148" s="82" t="s">
        <v>560</v>
      </c>
      <c r="Q148" s="81" t="s">
        <v>282</v>
      </c>
      <c r="R148" s="81" t="s">
        <v>324</v>
      </c>
      <c r="S148" s="85"/>
      <c r="T148" s="81" t="s">
        <v>324</v>
      </c>
      <c r="U148" s="81" t="s">
        <v>324</v>
      </c>
      <c r="V148" s="81" t="s">
        <v>324</v>
      </c>
      <c r="W148" s="81" t="s">
        <v>324</v>
      </c>
      <c r="X148" s="81" t="s">
        <v>324</v>
      </c>
      <c r="Y148" s="81" t="s">
        <v>324</v>
      </c>
      <c r="Z148" s="81" t="s">
        <v>324</v>
      </c>
      <c r="AA148" s="81" t="s">
        <v>324</v>
      </c>
      <c r="AB148" s="85"/>
      <c r="AC148" s="81" t="s">
        <v>991</v>
      </c>
      <c r="AD148" s="82" t="s">
        <v>560</v>
      </c>
      <c r="AE148" s="81" t="s">
        <v>324</v>
      </c>
      <c r="AF148" s="81" t="s">
        <v>315</v>
      </c>
      <c r="AG148" s="81" t="s">
        <v>315</v>
      </c>
      <c r="AH148" s="82" t="s">
        <v>1133</v>
      </c>
      <c r="AI148" s="81" t="s">
        <v>1147</v>
      </c>
      <c r="AJ148" s="181" t="s">
        <v>1148</v>
      </c>
      <c r="AK148" s="81" t="s">
        <v>324</v>
      </c>
      <c r="AL148" s="81" t="s">
        <v>315</v>
      </c>
      <c r="AM148" s="181" t="s">
        <v>1149</v>
      </c>
      <c r="AN148" s="81" t="s">
        <v>324</v>
      </c>
      <c r="AO148" s="81" t="s">
        <v>324</v>
      </c>
      <c r="AP148" s="81" t="s">
        <v>324</v>
      </c>
      <c r="AQ148" s="81" t="s">
        <v>1150</v>
      </c>
      <c r="AR148" s="131" t="s">
        <v>703</v>
      </c>
      <c r="AS148" s="67"/>
    </row>
    <row r="149">
      <c r="A149" s="240"/>
      <c r="B149" s="69"/>
      <c r="C149" s="70"/>
      <c r="D149" s="71"/>
      <c r="E149" s="72"/>
      <c r="F149" s="72"/>
      <c r="G149" s="72"/>
      <c r="H149" s="72"/>
      <c r="I149" s="132"/>
      <c r="J149" s="98"/>
      <c r="K149" s="100"/>
      <c r="L149" s="79"/>
      <c r="M149" s="81"/>
      <c r="N149" s="102"/>
      <c r="O149" s="102"/>
      <c r="P149" s="81"/>
      <c r="Q149" s="81"/>
      <c r="R149" s="81"/>
      <c r="S149" s="85"/>
      <c r="T149" s="81"/>
      <c r="U149" s="81"/>
      <c r="V149" s="81"/>
      <c r="W149" s="81"/>
      <c r="X149" s="81"/>
      <c r="Y149" s="81"/>
      <c r="Z149" s="81"/>
      <c r="AA149" s="81"/>
      <c r="AB149" s="85"/>
      <c r="AC149" s="81"/>
      <c r="AD149" s="81"/>
      <c r="AE149" s="81"/>
      <c r="AF149" s="81"/>
      <c r="AG149" s="81"/>
      <c r="AH149" s="81"/>
      <c r="AI149" s="81"/>
      <c r="AJ149" s="181"/>
      <c r="AK149" s="81"/>
      <c r="AL149" s="81"/>
      <c r="AM149" s="181"/>
      <c r="AN149" s="81"/>
      <c r="AO149" s="81"/>
      <c r="AP149" s="81"/>
      <c r="AQ149" s="81"/>
      <c r="AR149" s="131"/>
      <c r="AS149" s="67"/>
    </row>
    <row r="150">
      <c r="A150" s="391"/>
      <c r="B150" s="392"/>
      <c r="C150" s="393"/>
      <c r="D150" s="394"/>
      <c r="E150" s="395"/>
      <c r="F150" s="395"/>
      <c r="G150" s="395"/>
      <c r="H150" s="395"/>
      <c r="I150" s="396"/>
      <c r="J150" s="397"/>
      <c r="K150" s="398"/>
      <c r="L150" s="399" t="s">
        <v>323</v>
      </c>
      <c r="M150" s="400" t="s">
        <v>315</v>
      </c>
      <c r="N150" s="401" t="s">
        <v>500</v>
      </c>
      <c r="O150" s="401"/>
      <c r="P150" s="402" t="s">
        <v>560</v>
      </c>
      <c r="Q150" s="400" t="s">
        <v>282</v>
      </c>
      <c r="R150" s="400" t="s">
        <v>324</v>
      </c>
      <c r="S150" s="403"/>
      <c r="T150" s="400" t="s">
        <v>324</v>
      </c>
      <c r="U150" s="400" t="s">
        <v>324</v>
      </c>
      <c r="V150" s="400" t="s">
        <v>324</v>
      </c>
      <c r="W150" s="400" t="s">
        <v>324</v>
      </c>
      <c r="X150" s="400" t="s">
        <v>324</v>
      </c>
      <c r="Y150" s="400" t="s">
        <v>324</v>
      </c>
      <c r="Z150" s="400" t="s">
        <v>324</v>
      </c>
      <c r="AA150" s="400" t="s">
        <v>324</v>
      </c>
      <c r="AB150" s="403"/>
      <c r="AC150" s="400" t="s">
        <v>991</v>
      </c>
      <c r="AD150" s="402" t="s">
        <v>560</v>
      </c>
      <c r="AE150" s="400" t="s">
        <v>315</v>
      </c>
      <c r="AF150" s="400" t="s">
        <v>315</v>
      </c>
      <c r="AG150" s="400" t="s">
        <v>315</v>
      </c>
      <c r="AH150" s="402" t="s">
        <v>1133</v>
      </c>
      <c r="AI150" s="404" t="s">
        <v>615</v>
      </c>
      <c r="AJ150" s="405" t="s">
        <v>1148</v>
      </c>
      <c r="AK150" s="400" t="s">
        <v>324</v>
      </c>
      <c r="AL150" s="400" t="s">
        <v>315</v>
      </c>
      <c r="AM150" s="405" t="s">
        <v>1149</v>
      </c>
      <c r="AN150" s="400"/>
      <c r="AO150" s="400"/>
      <c r="AP150" s="400"/>
      <c r="AQ150" s="400" t="s">
        <v>1150</v>
      </c>
      <c r="AR150" s="406"/>
      <c r="AS150" s="407"/>
    </row>
    <row r="151">
      <c r="A151" s="240"/>
      <c r="B151" s="408" t="s">
        <v>238</v>
      </c>
      <c r="C151" s="409">
        <v>43438.0</v>
      </c>
      <c r="D151" s="410" t="s">
        <v>767</v>
      </c>
      <c r="E151" s="411">
        <v>43579.0</v>
      </c>
      <c r="F151" s="412" t="s">
        <v>280</v>
      </c>
      <c r="G151" s="411">
        <v>43581.0</v>
      </c>
      <c r="H151" s="412" t="s">
        <v>282</v>
      </c>
      <c r="I151" s="413" t="s">
        <v>1154</v>
      </c>
      <c r="J151" s="414" t="s">
        <v>153</v>
      </c>
      <c r="K151" s="414" t="s">
        <v>286</v>
      </c>
      <c r="L151" s="415" t="s">
        <v>305</v>
      </c>
      <c r="M151" s="416" t="s">
        <v>393</v>
      </c>
      <c r="N151" s="417" t="s">
        <v>501</v>
      </c>
      <c r="P151" s="417" t="s">
        <v>747</v>
      </c>
      <c r="Q151" s="416" t="s">
        <v>282</v>
      </c>
      <c r="R151" s="416" t="s">
        <v>748</v>
      </c>
      <c r="S151" s="417" t="s">
        <v>749</v>
      </c>
      <c r="T151" s="416" t="s">
        <v>282</v>
      </c>
      <c r="U151" s="416" t="s">
        <v>282</v>
      </c>
      <c r="V151" s="416" t="s">
        <v>282</v>
      </c>
      <c r="W151" s="416" t="s">
        <v>282</v>
      </c>
      <c r="X151" s="416" t="s">
        <v>282</v>
      </c>
      <c r="Y151" s="416" t="s">
        <v>282</v>
      </c>
      <c r="Z151" s="416" t="s">
        <v>282</v>
      </c>
      <c r="AA151" s="416" t="s">
        <v>282</v>
      </c>
      <c r="AB151" s="418"/>
      <c r="AC151" s="416" t="s">
        <v>798</v>
      </c>
      <c r="AD151" s="417" t="s">
        <v>559</v>
      </c>
      <c r="AE151" s="416" t="s">
        <v>315</v>
      </c>
      <c r="AF151" s="416" t="s">
        <v>315</v>
      </c>
      <c r="AG151" s="416" t="s">
        <v>315</v>
      </c>
      <c r="AH151" s="417" t="s">
        <v>752</v>
      </c>
      <c r="AI151" s="416" t="s">
        <v>1161</v>
      </c>
      <c r="AJ151" s="416" t="s">
        <v>324</v>
      </c>
      <c r="AK151" s="416" t="s">
        <v>324</v>
      </c>
      <c r="AL151" s="416" t="s">
        <v>315</v>
      </c>
      <c r="AM151" s="416" t="s">
        <v>324</v>
      </c>
      <c r="AN151" s="416" t="s">
        <v>754</v>
      </c>
      <c r="AO151" s="416" t="s">
        <v>324</v>
      </c>
      <c r="AP151" s="416" t="s">
        <v>324</v>
      </c>
      <c r="AQ151" s="416" t="s">
        <v>1162</v>
      </c>
      <c r="AR151" s="419" t="s">
        <v>660</v>
      </c>
      <c r="AS151" s="420"/>
    </row>
    <row r="152">
      <c r="A152" s="240"/>
      <c r="B152" s="408"/>
      <c r="C152" s="409"/>
      <c r="D152" s="410"/>
      <c r="E152" s="421"/>
      <c r="F152" s="421"/>
      <c r="G152" s="421"/>
      <c r="H152" s="421"/>
      <c r="I152" s="422"/>
      <c r="J152" s="423"/>
      <c r="K152" s="424"/>
      <c r="L152" s="425"/>
      <c r="M152" s="416"/>
      <c r="N152" s="426"/>
      <c r="O152" s="426"/>
      <c r="P152" s="416"/>
      <c r="Q152" s="427" t="s">
        <v>799</v>
      </c>
      <c r="R152" s="416"/>
      <c r="S152" s="416"/>
      <c r="T152" s="416"/>
      <c r="U152" s="416"/>
      <c r="V152" s="416"/>
      <c r="W152" s="416"/>
      <c r="X152" s="416"/>
      <c r="Y152" s="416"/>
      <c r="Z152" s="416"/>
      <c r="AA152" s="416"/>
      <c r="AB152" s="428"/>
      <c r="AC152" s="429"/>
      <c r="AD152" s="427" t="s">
        <v>799</v>
      </c>
      <c r="AE152" s="416"/>
      <c r="AF152" s="416"/>
      <c r="AG152" s="416"/>
      <c r="AH152" s="416"/>
      <c r="AI152" s="429"/>
      <c r="AJ152" s="416"/>
      <c r="AK152" s="416"/>
      <c r="AL152" s="416"/>
      <c r="AM152" s="416"/>
      <c r="AN152" s="416"/>
      <c r="AO152" s="416"/>
      <c r="AP152" s="416"/>
      <c r="AQ152" s="416"/>
      <c r="AR152" s="419"/>
      <c r="AS152" s="430"/>
    </row>
    <row r="153">
      <c r="A153" s="240"/>
      <c r="B153" s="408"/>
      <c r="C153" s="409"/>
      <c r="D153" s="410"/>
      <c r="E153" s="421"/>
      <c r="F153" s="421"/>
      <c r="G153" s="421"/>
      <c r="H153" s="412" t="s">
        <v>1164</v>
      </c>
      <c r="I153" s="422"/>
      <c r="J153" s="423"/>
      <c r="K153" s="423"/>
      <c r="L153" s="415" t="s">
        <v>305</v>
      </c>
      <c r="M153" s="416" t="s">
        <v>393</v>
      </c>
      <c r="N153" s="426" t="s">
        <v>501</v>
      </c>
      <c r="O153" s="426"/>
      <c r="P153" s="417" t="s">
        <v>747</v>
      </c>
      <c r="Q153" s="427" t="s">
        <v>819</v>
      </c>
      <c r="R153" s="416" t="s">
        <v>748</v>
      </c>
      <c r="S153" s="417" t="s">
        <v>749</v>
      </c>
      <c r="T153" s="427" t="s">
        <v>324</v>
      </c>
      <c r="U153" s="427" t="s">
        <v>324</v>
      </c>
      <c r="V153" s="427" t="s">
        <v>324</v>
      </c>
      <c r="W153" s="427" t="s">
        <v>324</v>
      </c>
      <c r="X153" s="427" t="s">
        <v>324</v>
      </c>
      <c r="Y153" s="427" t="s">
        <v>324</v>
      </c>
      <c r="Z153" s="427" t="s">
        <v>324</v>
      </c>
      <c r="AA153" s="427" t="s">
        <v>324</v>
      </c>
      <c r="AB153" s="431"/>
      <c r="AC153" s="429" t="s">
        <v>798</v>
      </c>
      <c r="AD153" s="417" t="s">
        <v>559</v>
      </c>
      <c r="AE153" s="416" t="s">
        <v>315</v>
      </c>
      <c r="AF153" s="416" t="s">
        <v>315</v>
      </c>
      <c r="AG153" s="416" t="s">
        <v>315</v>
      </c>
      <c r="AH153" s="432" t="s">
        <v>761</v>
      </c>
      <c r="AI153" s="433" t="s">
        <v>1171</v>
      </c>
      <c r="AJ153" s="427" t="s">
        <v>1172</v>
      </c>
      <c r="AK153" s="427" t="s">
        <v>324</v>
      </c>
      <c r="AL153" s="427" t="s">
        <v>315</v>
      </c>
      <c r="AM153" s="427"/>
      <c r="AN153" s="427"/>
      <c r="AO153" s="427"/>
      <c r="AP153" s="427"/>
      <c r="AQ153" s="427"/>
      <c r="AR153" s="434"/>
      <c r="AS153" s="435"/>
    </row>
    <row r="154">
      <c r="A154" s="240"/>
      <c r="B154" s="408" t="s">
        <v>258</v>
      </c>
      <c r="C154" s="409">
        <v>43511.0</v>
      </c>
      <c r="D154" s="410" t="s">
        <v>767</v>
      </c>
      <c r="E154" s="411">
        <v>43579.0</v>
      </c>
      <c r="F154" s="412" t="s">
        <v>280</v>
      </c>
      <c r="G154" s="411">
        <v>43583.0</v>
      </c>
      <c r="H154" s="412" t="s">
        <v>282</v>
      </c>
      <c r="I154" s="413" t="s">
        <v>1173</v>
      </c>
      <c r="J154" s="436" t="s">
        <v>154</v>
      </c>
      <c r="K154" s="437" t="s">
        <v>286</v>
      </c>
      <c r="L154" s="438" t="s">
        <v>305</v>
      </c>
      <c r="M154" s="439" t="s">
        <v>393</v>
      </c>
      <c r="N154" s="440" t="s">
        <v>1174</v>
      </c>
      <c r="Q154" s="439" t="s">
        <v>315</v>
      </c>
      <c r="R154" s="439" t="s">
        <v>840</v>
      </c>
      <c r="S154" s="441" t="s">
        <v>896</v>
      </c>
      <c r="T154" s="439" t="s">
        <v>282</v>
      </c>
      <c r="U154" s="439" t="s">
        <v>282</v>
      </c>
      <c r="V154" s="439" t="s">
        <v>282</v>
      </c>
      <c r="W154" s="439" t="s">
        <v>282</v>
      </c>
      <c r="X154" s="439" t="s">
        <v>282</v>
      </c>
      <c r="Y154" s="439" t="s">
        <v>282</v>
      </c>
      <c r="Z154" s="439" t="s">
        <v>282</v>
      </c>
      <c r="AA154" s="439" t="s">
        <v>315</v>
      </c>
      <c r="AB154" s="442"/>
      <c r="AC154" s="442"/>
      <c r="AD154" s="442"/>
      <c r="AE154" s="439" t="s">
        <v>282</v>
      </c>
      <c r="AF154" s="439" t="s">
        <v>315</v>
      </c>
      <c r="AG154" s="439" t="s">
        <v>315</v>
      </c>
      <c r="AH154" s="441" t="s">
        <v>761</v>
      </c>
      <c r="AI154" s="439" t="s">
        <v>615</v>
      </c>
      <c r="AJ154" s="439" t="s">
        <v>1175</v>
      </c>
      <c r="AK154" s="439" t="s">
        <v>315</v>
      </c>
      <c r="AL154" s="439" t="s">
        <v>315</v>
      </c>
      <c r="AM154" s="442"/>
      <c r="AN154" s="443" t="s">
        <v>1176</v>
      </c>
      <c r="AO154" s="444"/>
      <c r="AP154" s="442"/>
      <c r="AQ154" s="439" t="s">
        <v>1177</v>
      </c>
      <c r="AR154" s="445" t="s">
        <v>1178</v>
      </c>
      <c r="AS154" s="442"/>
    </row>
    <row r="155">
      <c r="A155" s="240"/>
      <c r="B155" s="408"/>
      <c r="C155" s="409"/>
      <c r="D155" s="410"/>
      <c r="E155" s="421"/>
      <c r="F155" s="421"/>
      <c r="G155" s="421"/>
      <c r="H155" s="421"/>
      <c r="I155" s="422"/>
      <c r="J155" s="436"/>
      <c r="K155" s="437"/>
      <c r="L155" s="438"/>
      <c r="M155" s="446" t="s">
        <v>1179</v>
      </c>
      <c r="N155" s="447"/>
      <c r="O155" s="447"/>
      <c r="P155" s="447"/>
      <c r="Q155" s="439"/>
      <c r="R155" s="439"/>
      <c r="S155" s="448"/>
      <c r="T155" s="439"/>
      <c r="U155" s="439"/>
      <c r="V155" s="439"/>
      <c r="W155" s="439"/>
      <c r="X155" s="439"/>
      <c r="Y155" s="439"/>
      <c r="Z155" s="439"/>
      <c r="AA155" s="439"/>
      <c r="AB155" s="449"/>
      <c r="AC155" s="449"/>
      <c r="AD155" s="450" t="s">
        <v>799</v>
      </c>
      <c r="AE155" s="439"/>
      <c r="AF155" s="439"/>
      <c r="AG155" s="439"/>
      <c r="AH155" s="448"/>
      <c r="AI155" s="439"/>
      <c r="AJ155" s="451"/>
      <c r="AK155" s="439"/>
      <c r="AL155" s="439"/>
      <c r="AM155" s="449"/>
      <c r="AN155" s="452"/>
      <c r="AO155" s="449"/>
      <c r="AP155" s="449"/>
      <c r="AQ155" s="439"/>
      <c r="AR155" s="445"/>
      <c r="AS155" s="449"/>
    </row>
    <row r="156">
      <c r="A156" s="240"/>
      <c r="B156" s="408"/>
      <c r="C156" s="409"/>
      <c r="D156" s="410"/>
      <c r="E156" s="421"/>
      <c r="F156" s="421"/>
      <c r="G156" s="421"/>
      <c r="H156" s="412" t="s">
        <v>1181</v>
      </c>
      <c r="I156" s="422"/>
      <c r="J156" s="436"/>
      <c r="K156" s="437"/>
      <c r="L156" s="414"/>
      <c r="M156" s="427" t="s">
        <v>398</v>
      </c>
      <c r="N156" s="432" t="s">
        <v>502</v>
      </c>
      <c r="O156" s="453"/>
      <c r="P156" s="453"/>
      <c r="Q156" s="439" t="s">
        <v>315</v>
      </c>
      <c r="R156" s="439" t="s">
        <v>840</v>
      </c>
      <c r="S156" s="448" t="s">
        <v>896</v>
      </c>
      <c r="T156" s="427" t="s">
        <v>324</v>
      </c>
      <c r="U156" s="427" t="s">
        <v>324</v>
      </c>
      <c r="V156" s="427" t="s">
        <v>324</v>
      </c>
      <c r="W156" s="427" t="s">
        <v>324</v>
      </c>
      <c r="X156" s="427" t="s">
        <v>324</v>
      </c>
      <c r="Y156" s="427" t="s">
        <v>324</v>
      </c>
      <c r="Z156" s="427" t="s">
        <v>324</v>
      </c>
      <c r="AA156" s="427" t="s">
        <v>324</v>
      </c>
      <c r="AB156" s="431"/>
      <c r="AC156" s="429" t="s">
        <v>798</v>
      </c>
      <c r="AD156" s="417" t="s">
        <v>559</v>
      </c>
      <c r="AE156" s="416" t="s">
        <v>315</v>
      </c>
      <c r="AF156" s="439" t="s">
        <v>315</v>
      </c>
      <c r="AG156" s="439" t="s">
        <v>315</v>
      </c>
      <c r="AH156" s="432" t="s">
        <v>761</v>
      </c>
      <c r="AI156" s="433" t="s">
        <v>1171</v>
      </c>
      <c r="AJ156" s="427" t="s">
        <v>1172</v>
      </c>
      <c r="AK156" s="439" t="s">
        <v>315</v>
      </c>
      <c r="AL156" s="427" t="s">
        <v>315</v>
      </c>
      <c r="AM156" s="431"/>
      <c r="AN156" s="454"/>
      <c r="AO156" s="431"/>
      <c r="AP156" s="431"/>
      <c r="AQ156" s="427"/>
      <c r="AR156" s="434"/>
      <c r="AS156" s="435"/>
    </row>
    <row r="157">
      <c r="A157" s="240"/>
      <c r="B157" s="408" t="s">
        <v>238</v>
      </c>
      <c r="C157" s="455"/>
      <c r="D157" s="410" t="s">
        <v>767</v>
      </c>
      <c r="E157" s="411">
        <v>43579.0</v>
      </c>
      <c r="F157" s="412" t="s">
        <v>280</v>
      </c>
      <c r="G157" s="411">
        <v>43583.0</v>
      </c>
      <c r="H157" s="412" t="s">
        <v>282</v>
      </c>
      <c r="I157" s="413" t="s">
        <v>1189</v>
      </c>
      <c r="J157" s="436" t="s">
        <v>155</v>
      </c>
      <c r="K157" s="437"/>
      <c r="L157" s="415" t="s">
        <v>325</v>
      </c>
      <c r="M157" s="416" t="s">
        <v>392</v>
      </c>
      <c r="N157" s="456" t="s">
        <v>503</v>
      </c>
      <c r="O157" s="416" t="s">
        <v>750</v>
      </c>
      <c r="P157" s="416" t="s">
        <v>324</v>
      </c>
      <c r="Q157" s="416" t="s">
        <v>315</v>
      </c>
      <c r="R157" s="416" t="s">
        <v>841</v>
      </c>
      <c r="S157" s="456" t="s">
        <v>897</v>
      </c>
      <c r="T157" s="416" t="s">
        <v>282</v>
      </c>
      <c r="U157" s="416" t="s">
        <v>282</v>
      </c>
      <c r="V157" s="416" t="s">
        <v>324</v>
      </c>
      <c r="W157" s="416" t="s">
        <v>324</v>
      </c>
      <c r="X157" s="416" t="s">
        <v>282</v>
      </c>
      <c r="Y157" s="416" t="s">
        <v>282</v>
      </c>
      <c r="Z157" s="416" t="s">
        <v>282</v>
      </c>
      <c r="AA157" s="416" t="s">
        <v>282</v>
      </c>
      <c r="AB157" s="416" t="s">
        <v>1191</v>
      </c>
      <c r="AC157" s="416" t="s">
        <v>324</v>
      </c>
      <c r="AD157" s="418"/>
      <c r="AE157" s="416" t="s">
        <v>315</v>
      </c>
      <c r="AF157" s="416" t="s">
        <v>315</v>
      </c>
      <c r="AG157" s="416" t="s">
        <v>315</v>
      </c>
      <c r="AH157" s="456" t="s">
        <v>743</v>
      </c>
      <c r="AI157" s="416" t="s">
        <v>1193</v>
      </c>
      <c r="AJ157" s="416" t="s">
        <v>1194</v>
      </c>
      <c r="AK157" s="416" t="s">
        <v>324</v>
      </c>
      <c r="AL157" s="416" t="s">
        <v>324</v>
      </c>
      <c r="AM157" s="416" t="s">
        <v>1195</v>
      </c>
      <c r="AN157" s="416" t="s">
        <v>1196</v>
      </c>
      <c r="AO157" s="416" t="s">
        <v>324</v>
      </c>
      <c r="AP157" s="416" t="s">
        <v>324</v>
      </c>
      <c r="AQ157" s="416" t="s">
        <v>1197</v>
      </c>
      <c r="AR157" s="419" t="s">
        <v>1198</v>
      </c>
      <c r="AS157" s="420"/>
    </row>
    <row r="158">
      <c r="A158" s="240"/>
      <c r="B158" s="408"/>
      <c r="C158" s="455"/>
      <c r="D158" s="410"/>
      <c r="E158" s="421"/>
      <c r="F158" s="421"/>
      <c r="G158" s="421"/>
      <c r="H158" s="421"/>
      <c r="I158" s="422"/>
      <c r="J158" s="457"/>
      <c r="K158" s="437"/>
      <c r="L158" s="415"/>
      <c r="M158" s="416"/>
      <c r="N158" s="458"/>
      <c r="O158" s="416"/>
      <c r="P158" s="416"/>
      <c r="Q158" s="416"/>
      <c r="R158" s="416"/>
      <c r="S158" s="458"/>
      <c r="T158" s="416"/>
      <c r="U158" s="416"/>
      <c r="V158" s="416"/>
      <c r="W158" s="416"/>
      <c r="X158" s="416"/>
      <c r="Y158" s="416"/>
      <c r="Z158" s="416"/>
      <c r="AA158" s="416"/>
      <c r="AB158" s="416"/>
      <c r="AC158" s="459" t="s">
        <v>1201</v>
      </c>
      <c r="AD158" s="428"/>
      <c r="AE158" s="416"/>
      <c r="AF158" s="416"/>
      <c r="AG158" s="416"/>
      <c r="AH158" s="458"/>
      <c r="AI158" s="429"/>
      <c r="AJ158" s="416"/>
      <c r="AK158" s="416"/>
      <c r="AL158" s="416"/>
      <c r="AM158" s="416"/>
      <c r="AN158" s="416"/>
      <c r="AO158" s="416"/>
      <c r="AP158" s="416"/>
      <c r="AQ158" s="416"/>
      <c r="AR158" s="419"/>
      <c r="AS158" s="430"/>
    </row>
    <row r="159">
      <c r="A159" s="240"/>
      <c r="B159" s="408"/>
      <c r="C159" s="455"/>
      <c r="D159" s="410"/>
      <c r="E159" s="421"/>
      <c r="F159" s="421"/>
      <c r="G159" s="421"/>
      <c r="H159" s="412" t="s">
        <v>1202</v>
      </c>
      <c r="I159" s="422"/>
      <c r="J159" s="457"/>
      <c r="K159" s="437"/>
      <c r="L159" s="415" t="s">
        <v>325</v>
      </c>
      <c r="M159" s="416" t="s">
        <v>392</v>
      </c>
      <c r="N159" s="458" t="s">
        <v>503</v>
      </c>
      <c r="O159" s="427"/>
      <c r="P159" s="427"/>
      <c r="Q159" s="416" t="s">
        <v>315</v>
      </c>
      <c r="R159" s="416" t="s">
        <v>841</v>
      </c>
      <c r="S159" s="458" t="s">
        <v>897</v>
      </c>
      <c r="T159" s="416" t="s">
        <v>282</v>
      </c>
      <c r="U159" s="416" t="s">
        <v>282</v>
      </c>
      <c r="V159" s="416" t="s">
        <v>324</v>
      </c>
      <c r="W159" s="416" t="s">
        <v>324</v>
      </c>
      <c r="X159" s="416" t="s">
        <v>282</v>
      </c>
      <c r="Y159" s="416" t="s">
        <v>282</v>
      </c>
      <c r="Z159" s="416" t="s">
        <v>282</v>
      </c>
      <c r="AA159" s="416" t="s">
        <v>282</v>
      </c>
      <c r="AB159" s="460"/>
      <c r="AC159" s="459" t="s">
        <v>992</v>
      </c>
      <c r="AD159" s="461" t="s">
        <v>503</v>
      </c>
      <c r="AE159" s="427" t="s">
        <v>369</v>
      </c>
      <c r="AF159" s="427" t="s">
        <v>315</v>
      </c>
      <c r="AG159" s="427" t="s">
        <v>315</v>
      </c>
      <c r="AH159" s="432" t="s">
        <v>743</v>
      </c>
      <c r="AI159" s="433" t="s">
        <v>1207</v>
      </c>
      <c r="AJ159" s="427" t="s">
        <v>1194</v>
      </c>
      <c r="AK159" s="427" t="s">
        <v>324</v>
      </c>
      <c r="AL159" s="427" t="s">
        <v>315</v>
      </c>
      <c r="AM159" s="416" t="s">
        <v>1195</v>
      </c>
      <c r="AN159" s="427" t="s">
        <v>1208</v>
      </c>
      <c r="AO159" s="427"/>
      <c r="AP159" s="427"/>
      <c r="AQ159" s="427"/>
      <c r="AR159" s="434"/>
      <c r="AS159" s="435"/>
    </row>
    <row r="160">
      <c r="A160" s="240"/>
      <c r="B160" s="408" t="s">
        <v>238</v>
      </c>
      <c r="C160" s="455"/>
      <c r="D160" s="410" t="s">
        <v>767</v>
      </c>
      <c r="E160" s="411">
        <v>43579.0</v>
      </c>
      <c r="F160" s="412" t="s">
        <v>280</v>
      </c>
      <c r="G160" s="411">
        <v>43583.0</v>
      </c>
      <c r="H160" s="412" t="s">
        <v>282</v>
      </c>
      <c r="I160" s="413" t="s">
        <v>1209</v>
      </c>
      <c r="J160" s="457" t="s">
        <v>156</v>
      </c>
      <c r="K160" s="437" t="s">
        <v>286</v>
      </c>
      <c r="L160" s="438" t="s">
        <v>326</v>
      </c>
      <c r="M160" s="439" t="s">
        <v>420</v>
      </c>
      <c r="N160" s="440" t="s">
        <v>506</v>
      </c>
      <c r="O160" s="439" t="s">
        <v>750</v>
      </c>
      <c r="P160" s="440" t="s">
        <v>784</v>
      </c>
      <c r="Q160" s="439" t="s">
        <v>315</v>
      </c>
      <c r="R160" s="439" t="s">
        <v>324</v>
      </c>
      <c r="S160" s="440" t="s">
        <v>784</v>
      </c>
      <c r="T160" s="439" t="s">
        <v>282</v>
      </c>
      <c r="U160" s="439" t="s">
        <v>324</v>
      </c>
      <c r="V160" s="439" t="s">
        <v>324</v>
      </c>
      <c r="W160" s="439" t="s">
        <v>282</v>
      </c>
      <c r="X160" s="439" t="s">
        <v>324</v>
      </c>
      <c r="Y160" s="439" t="s">
        <v>324</v>
      </c>
      <c r="Z160" s="439" t="s">
        <v>282</v>
      </c>
      <c r="AA160" s="439" t="s">
        <v>329</v>
      </c>
      <c r="AB160" s="442"/>
      <c r="AC160" s="439" t="s">
        <v>1212</v>
      </c>
      <c r="AD160" s="462" t="s">
        <v>784</v>
      </c>
      <c r="AE160" s="439" t="s">
        <v>369</v>
      </c>
      <c r="AF160" s="439" t="s">
        <v>315</v>
      </c>
      <c r="AG160" s="439" t="s">
        <v>315</v>
      </c>
      <c r="AH160" s="440" t="s">
        <v>1213</v>
      </c>
      <c r="AI160" s="439" t="s">
        <v>523</v>
      </c>
      <c r="AJ160" s="439" t="s">
        <v>1216</v>
      </c>
      <c r="AK160" s="439" t="s">
        <v>324</v>
      </c>
      <c r="AL160" s="439" t="s">
        <v>282</v>
      </c>
      <c r="AM160" s="439" t="s">
        <v>1217</v>
      </c>
      <c r="AN160" s="439" t="s">
        <v>324</v>
      </c>
      <c r="AO160" s="439" t="s">
        <v>1218</v>
      </c>
      <c r="AP160" s="439" t="s">
        <v>324</v>
      </c>
      <c r="AQ160" s="439" t="s">
        <v>1219</v>
      </c>
      <c r="AR160" s="445" t="s">
        <v>1220</v>
      </c>
      <c r="AS160" s="463" t="s">
        <v>1221</v>
      </c>
    </row>
    <row r="161">
      <c r="A161" s="240"/>
      <c r="B161" s="408"/>
      <c r="C161" s="455"/>
      <c r="D161" s="410"/>
      <c r="E161" s="421"/>
      <c r="F161" s="421"/>
      <c r="G161" s="421"/>
      <c r="H161" s="421"/>
      <c r="I161" s="422"/>
      <c r="J161" s="457"/>
      <c r="K161" s="437"/>
      <c r="L161" s="438"/>
      <c r="M161" s="446" t="s">
        <v>1221</v>
      </c>
      <c r="N161" s="464"/>
      <c r="O161" s="439"/>
      <c r="P161" s="447"/>
      <c r="Q161" s="439"/>
      <c r="R161" s="439"/>
      <c r="S161" s="447"/>
      <c r="T161" s="439"/>
      <c r="U161" s="439"/>
      <c r="V161" s="439"/>
      <c r="W161" s="439"/>
      <c r="X161" s="439"/>
      <c r="Y161" s="439"/>
      <c r="Z161" s="439"/>
      <c r="AA161" s="439"/>
      <c r="AB161" s="449"/>
      <c r="AC161" s="465"/>
      <c r="AD161" s="439"/>
      <c r="AE161" s="439"/>
      <c r="AF161" s="439"/>
      <c r="AG161" s="439"/>
      <c r="AH161" s="447"/>
      <c r="AI161" s="465"/>
      <c r="AJ161" s="439"/>
      <c r="AK161" s="439"/>
      <c r="AL161" s="439"/>
      <c r="AM161" s="439"/>
      <c r="AN161" s="439"/>
      <c r="AO161" s="439"/>
      <c r="AP161" s="439"/>
      <c r="AQ161" s="439"/>
      <c r="AR161" s="445"/>
      <c r="AS161" s="449"/>
    </row>
    <row r="162">
      <c r="A162" s="240"/>
      <c r="B162" s="408"/>
      <c r="C162" s="455"/>
      <c r="D162" s="410"/>
      <c r="E162" s="421"/>
      <c r="F162" s="421"/>
      <c r="G162" s="421"/>
      <c r="H162" s="412" t="s">
        <v>1222</v>
      </c>
      <c r="I162" s="422"/>
      <c r="J162" s="457"/>
      <c r="K162" s="437"/>
      <c r="L162" s="438" t="s">
        <v>326</v>
      </c>
      <c r="M162" s="427" t="s">
        <v>393</v>
      </c>
      <c r="N162" s="440" t="s">
        <v>506</v>
      </c>
      <c r="O162" s="427"/>
      <c r="P162" s="447" t="s">
        <v>784</v>
      </c>
      <c r="Q162" s="439" t="s">
        <v>315</v>
      </c>
      <c r="R162" s="460"/>
      <c r="S162" s="453"/>
      <c r="T162" s="439" t="s">
        <v>282</v>
      </c>
      <c r="U162" s="439" t="s">
        <v>324</v>
      </c>
      <c r="V162" s="439" t="s">
        <v>324</v>
      </c>
      <c r="W162" s="439" t="s">
        <v>282</v>
      </c>
      <c r="X162" s="439" t="s">
        <v>324</v>
      </c>
      <c r="Y162" s="439" t="s">
        <v>324</v>
      </c>
      <c r="Z162" s="439" t="s">
        <v>282</v>
      </c>
      <c r="AA162" s="466" t="s">
        <v>282</v>
      </c>
      <c r="AB162" s="431"/>
      <c r="AC162" s="433" t="s">
        <v>993</v>
      </c>
      <c r="AD162" s="462" t="s">
        <v>784</v>
      </c>
      <c r="AE162" s="427" t="s">
        <v>369</v>
      </c>
      <c r="AF162" s="439" t="s">
        <v>315</v>
      </c>
      <c r="AG162" s="439" t="s">
        <v>315</v>
      </c>
      <c r="AH162" s="432" t="s">
        <v>506</v>
      </c>
      <c r="AI162" s="433" t="s">
        <v>1224</v>
      </c>
      <c r="AJ162" s="460" t="s">
        <v>1225</v>
      </c>
      <c r="AK162" s="427" t="s">
        <v>324</v>
      </c>
      <c r="AL162" s="427" t="s">
        <v>315</v>
      </c>
      <c r="AM162" s="427" t="s">
        <v>1226</v>
      </c>
      <c r="AN162" s="427"/>
      <c r="AO162" s="427"/>
      <c r="AP162" s="427"/>
      <c r="AQ162" s="427"/>
      <c r="AR162" s="434"/>
      <c r="AS162" s="435"/>
    </row>
    <row r="163">
      <c r="A163" s="240"/>
      <c r="B163" s="408" t="s">
        <v>238</v>
      </c>
      <c r="C163" s="455"/>
      <c r="D163" s="410" t="s">
        <v>258</v>
      </c>
      <c r="E163" s="411">
        <v>43575.0</v>
      </c>
      <c r="F163" s="412" t="s">
        <v>280</v>
      </c>
      <c r="G163" s="411">
        <v>43581.0</v>
      </c>
      <c r="H163" s="412" t="s">
        <v>282</v>
      </c>
      <c r="I163" s="422" t="s">
        <v>1227</v>
      </c>
      <c r="J163" s="457" t="s">
        <v>157</v>
      </c>
      <c r="K163" s="437"/>
      <c r="L163" s="414" t="s">
        <v>328</v>
      </c>
      <c r="M163" s="427" t="s">
        <v>1228</v>
      </c>
      <c r="N163" s="453" t="s">
        <v>511</v>
      </c>
      <c r="O163" s="427" t="s">
        <v>750</v>
      </c>
      <c r="P163" s="427" t="s">
        <v>324</v>
      </c>
      <c r="Q163" s="427" t="s">
        <v>315</v>
      </c>
      <c r="R163" s="427" t="s">
        <v>324</v>
      </c>
      <c r="S163" s="431"/>
      <c r="T163" s="427" t="s">
        <v>324</v>
      </c>
      <c r="U163" s="427" t="s">
        <v>324</v>
      </c>
      <c r="V163" s="427" t="s">
        <v>324</v>
      </c>
      <c r="W163" s="427" t="s">
        <v>329</v>
      </c>
      <c r="X163" s="427" t="s">
        <v>282</v>
      </c>
      <c r="Y163" s="427" t="s">
        <v>282</v>
      </c>
      <c r="Z163" s="427" t="s">
        <v>324</v>
      </c>
      <c r="AA163" s="427" t="s">
        <v>324</v>
      </c>
      <c r="AB163" s="431"/>
      <c r="AC163" s="433" t="s">
        <v>324</v>
      </c>
      <c r="AD163" s="431"/>
      <c r="AE163" s="427" t="s">
        <v>315</v>
      </c>
      <c r="AF163" s="427" t="s">
        <v>315</v>
      </c>
      <c r="AG163" s="427" t="s">
        <v>315</v>
      </c>
      <c r="AH163" s="453" t="s">
        <v>511</v>
      </c>
      <c r="AI163" s="433" t="s">
        <v>1231</v>
      </c>
      <c r="AJ163" s="427" t="s">
        <v>1232</v>
      </c>
      <c r="AK163" s="427" t="s">
        <v>324</v>
      </c>
      <c r="AL163" s="427" t="s">
        <v>324</v>
      </c>
      <c r="AM163" s="427" t="s">
        <v>324</v>
      </c>
      <c r="AN163" s="427" t="s">
        <v>324</v>
      </c>
      <c r="AO163" s="427" t="s">
        <v>324</v>
      </c>
      <c r="AP163" s="427" t="s">
        <v>324</v>
      </c>
      <c r="AQ163" s="427" t="s">
        <v>1233</v>
      </c>
      <c r="AR163" s="434" t="s">
        <v>1234</v>
      </c>
      <c r="AS163" s="435"/>
    </row>
    <row r="164">
      <c r="A164" s="240"/>
      <c r="B164" s="408"/>
      <c r="C164" s="455"/>
      <c r="D164" s="410"/>
      <c r="E164" s="421"/>
      <c r="F164" s="421"/>
      <c r="G164" s="421"/>
      <c r="H164" s="421"/>
      <c r="I164" s="422"/>
      <c r="J164" s="457"/>
      <c r="K164" s="437"/>
      <c r="L164" s="414"/>
      <c r="M164" s="427" t="s">
        <v>1235</v>
      </c>
      <c r="N164" s="453"/>
      <c r="O164" s="427"/>
      <c r="P164" s="427"/>
      <c r="Q164" s="427" t="s">
        <v>1236</v>
      </c>
      <c r="R164" s="427"/>
      <c r="S164" s="431"/>
      <c r="T164" s="427"/>
      <c r="U164" s="427"/>
      <c r="V164" s="427"/>
      <c r="W164" s="427" t="s">
        <v>324</v>
      </c>
      <c r="X164" s="427"/>
      <c r="Y164" s="427"/>
      <c r="Z164" s="427"/>
      <c r="AA164" s="427"/>
      <c r="AB164" s="431"/>
      <c r="AC164" s="433"/>
      <c r="AD164" s="431"/>
      <c r="AE164" s="427"/>
      <c r="AF164" s="427"/>
      <c r="AG164" s="427"/>
      <c r="AH164" s="453"/>
      <c r="AI164" s="433" t="s">
        <v>443</v>
      </c>
      <c r="AJ164" s="468" t="s">
        <v>1237</v>
      </c>
      <c r="AK164" s="427"/>
      <c r="AL164" s="427"/>
      <c r="AM164" s="427"/>
      <c r="AN164" s="427"/>
      <c r="AO164" s="427"/>
      <c r="AP164" s="427"/>
      <c r="AQ164" s="427"/>
      <c r="AR164" s="434"/>
      <c r="AS164" s="435"/>
    </row>
    <row r="165">
      <c r="A165" s="240"/>
      <c r="B165" s="408"/>
      <c r="C165" s="455"/>
      <c r="D165" s="410"/>
      <c r="E165" s="421"/>
      <c r="F165" s="421"/>
      <c r="G165" s="421"/>
      <c r="H165" s="421"/>
      <c r="I165" s="422"/>
      <c r="J165" s="457"/>
      <c r="K165" s="437"/>
      <c r="L165" s="414" t="s">
        <v>328</v>
      </c>
      <c r="M165" s="427" t="s">
        <v>315</v>
      </c>
      <c r="N165" s="453" t="s">
        <v>511</v>
      </c>
      <c r="O165" s="427"/>
      <c r="P165" s="427"/>
      <c r="Q165" s="427" t="s">
        <v>315</v>
      </c>
      <c r="R165" s="427"/>
      <c r="S165" s="431"/>
      <c r="T165" s="427" t="s">
        <v>324</v>
      </c>
      <c r="U165" s="427" t="s">
        <v>324</v>
      </c>
      <c r="V165" s="427" t="s">
        <v>324</v>
      </c>
      <c r="W165" s="427" t="s">
        <v>324</v>
      </c>
      <c r="X165" s="427" t="s">
        <v>282</v>
      </c>
      <c r="Y165" s="427" t="s">
        <v>282</v>
      </c>
      <c r="Z165" s="427" t="s">
        <v>324</v>
      </c>
      <c r="AA165" s="427" t="s">
        <v>324</v>
      </c>
      <c r="AB165" s="431"/>
      <c r="AC165" s="433"/>
      <c r="AD165" s="431"/>
      <c r="AE165" s="427" t="s">
        <v>315</v>
      </c>
      <c r="AF165" s="427" t="s">
        <v>315</v>
      </c>
      <c r="AG165" s="427" t="s">
        <v>315</v>
      </c>
      <c r="AH165" s="453" t="s">
        <v>511</v>
      </c>
      <c r="AI165" s="433" t="s">
        <v>443</v>
      </c>
      <c r="AJ165" s="468" t="s">
        <v>1237</v>
      </c>
      <c r="AK165" s="427" t="s">
        <v>324</v>
      </c>
      <c r="AL165" s="427" t="s">
        <v>315</v>
      </c>
      <c r="AM165" s="427"/>
      <c r="AN165" s="427"/>
      <c r="AO165" s="427"/>
      <c r="AP165" s="427"/>
      <c r="AQ165" s="427"/>
      <c r="AR165" s="434"/>
      <c r="AS165" s="435"/>
    </row>
    <row r="166">
      <c r="A166" s="240"/>
      <c r="B166" s="408" t="s">
        <v>238</v>
      </c>
      <c r="C166" s="455"/>
      <c r="D166" s="410" t="s">
        <v>258</v>
      </c>
      <c r="E166" s="411">
        <v>43575.0</v>
      </c>
      <c r="F166" s="412" t="s">
        <v>280</v>
      </c>
      <c r="G166" s="411">
        <v>43581.0</v>
      </c>
      <c r="H166" s="412" t="s">
        <v>282</v>
      </c>
      <c r="I166" s="422" t="s">
        <v>1248</v>
      </c>
      <c r="J166" s="457" t="s">
        <v>158</v>
      </c>
      <c r="K166" s="437"/>
      <c r="L166" s="414" t="s">
        <v>330</v>
      </c>
      <c r="M166" s="427" t="s">
        <v>315</v>
      </c>
      <c r="N166" s="453" t="s">
        <v>512</v>
      </c>
      <c r="O166" s="427" t="s">
        <v>750</v>
      </c>
      <c r="P166" s="427" t="s">
        <v>324</v>
      </c>
      <c r="Q166" s="427" t="s">
        <v>315</v>
      </c>
      <c r="R166" s="427" t="s">
        <v>324</v>
      </c>
      <c r="S166" s="431"/>
      <c r="T166" s="427" t="s">
        <v>324</v>
      </c>
      <c r="U166" s="427" t="s">
        <v>324</v>
      </c>
      <c r="V166" s="427" t="s">
        <v>324</v>
      </c>
      <c r="W166" s="427" t="s">
        <v>324</v>
      </c>
      <c r="X166" s="427" t="s">
        <v>324</v>
      </c>
      <c r="Y166" s="427" t="s">
        <v>324</v>
      </c>
      <c r="Z166" s="427" t="s">
        <v>324</v>
      </c>
      <c r="AA166" s="427" t="s">
        <v>324</v>
      </c>
      <c r="AB166" s="431"/>
      <c r="AC166" s="433" t="s">
        <v>324</v>
      </c>
      <c r="AD166" s="431"/>
      <c r="AE166" s="427" t="s">
        <v>315</v>
      </c>
      <c r="AF166" s="427" t="s">
        <v>315</v>
      </c>
      <c r="AG166" s="427" t="s">
        <v>315</v>
      </c>
      <c r="AH166" s="453" t="s">
        <v>1249</v>
      </c>
      <c r="AI166" s="433" t="s">
        <v>315</v>
      </c>
      <c r="AJ166" s="427" t="s">
        <v>324</v>
      </c>
      <c r="AK166" s="427" t="s">
        <v>324</v>
      </c>
      <c r="AL166" s="427" t="s">
        <v>324</v>
      </c>
      <c r="AM166" s="427" t="s">
        <v>324</v>
      </c>
      <c r="AN166" s="427" t="s">
        <v>324</v>
      </c>
      <c r="AO166" s="427" t="s">
        <v>324</v>
      </c>
      <c r="AP166" s="427" t="s">
        <v>324</v>
      </c>
      <c r="AQ166" s="427" t="s">
        <v>1250</v>
      </c>
      <c r="AR166" s="434" t="s">
        <v>1251</v>
      </c>
      <c r="AS166" s="435"/>
    </row>
    <row r="167">
      <c r="A167" s="240"/>
      <c r="B167" s="408"/>
      <c r="C167" s="455"/>
      <c r="D167" s="410"/>
      <c r="E167" s="421"/>
      <c r="F167" s="421"/>
      <c r="G167" s="421"/>
      <c r="H167" s="421"/>
      <c r="I167" s="422"/>
      <c r="J167" s="471"/>
      <c r="K167" s="437"/>
      <c r="L167" s="414"/>
      <c r="M167" s="427"/>
      <c r="N167" s="453"/>
      <c r="O167" s="427"/>
      <c r="P167" s="427"/>
      <c r="Q167" s="427"/>
      <c r="R167" s="427"/>
      <c r="S167" s="431"/>
      <c r="T167" s="427"/>
      <c r="U167" s="427"/>
      <c r="V167" s="427"/>
      <c r="W167" s="427"/>
      <c r="X167" s="427"/>
      <c r="Y167" s="427"/>
      <c r="Z167" s="427"/>
      <c r="AA167" s="427"/>
      <c r="AB167" s="431"/>
      <c r="AC167" s="433"/>
      <c r="AD167" s="431"/>
      <c r="AE167" s="427"/>
      <c r="AF167" s="427"/>
      <c r="AG167" s="427"/>
      <c r="AH167" s="432" t="s">
        <v>1142</v>
      </c>
      <c r="AI167" s="472" t="s">
        <v>443</v>
      </c>
      <c r="AJ167" s="427"/>
      <c r="AK167" s="427" t="s">
        <v>1252</v>
      </c>
      <c r="AL167" s="427" t="s">
        <v>315</v>
      </c>
      <c r="AM167" s="427"/>
      <c r="AN167" s="427"/>
      <c r="AO167" s="427"/>
      <c r="AP167" s="427"/>
      <c r="AQ167" s="427" t="s">
        <v>1253</v>
      </c>
      <c r="AR167" s="434"/>
      <c r="AS167" s="435"/>
    </row>
    <row r="168">
      <c r="A168" s="240"/>
      <c r="B168" s="408"/>
      <c r="C168" s="455"/>
      <c r="D168" s="410"/>
      <c r="E168" s="421"/>
      <c r="F168" s="421"/>
      <c r="G168" s="421"/>
      <c r="H168" s="412" t="s">
        <v>1254</v>
      </c>
      <c r="I168" s="422"/>
      <c r="J168" s="471"/>
      <c r="K168" s="437"/>
      <c r="L168" s="414"/>
      <c r="M168" s="427" t="s">
        <v>315</v>
      </c>
      <c r="N168" s="453" t="s">
        <v>512</v>
      </c>
      <c r="O168" s="427"/>
      <c r="P168" s="427"/>
      <c r="Q168" s="427" t="s">
        <v>315</v>
      </c>
      <c r="R168" s="427"/>
      <c r="S168" s="431"/>
      <c r="T168" s="427" t="s">
        <v>324</v>
      </c>
      <c r="U168" s="427" t="s">
        <v>324</v>
      </c>
      <c r="V168" s="427" t="s">
        <v>324</v>
      </c>
      <c r="W168" s="427" t="s">
        <v>324</v>
      </c>
      <c r="X168" s="427" t="s">
        <v>324</v>
      </c>
      <c r="Y168" s="427" t="s">
        <v>324</v>
      </c>
      <c r="Z168" s="427" t="s">
        <v>324</v>
      </c>
      <c r="AA168" s="427" t="s">
        <v>324</v>
      </c>
      <c r="AB168" s="431"/>
      <c r="AC168" s="433"/>
      <c r="AD168" s="431"/>
      <c r="AE168" s="427" t="s">
        <v>315</v>
      </c>
      <c r="AF168" s="427" t="s">
        <v>315</v>
      </c>
      <c r="AG168" s="427" t="s">
        <v>315</v>
      </c>
      <c r="AH168" s="432" t="s">
        <v>1142</v>
      </c>
      <c r="AI168" s="472" t="s">
        <v>443</v>
      </c>
      <c r="AJ168" s="427" t="s">
        <v>1252</v>
      </c>
      <c r="AK168" s="427" t="s">
        <v>324</v>
      </c>
      <c r="AL168" s="427" t="s">
        <v>315</v>
      </c>
      <c r="AM168" s="427"/>
      <c r="AN168" s="427"/>
      <c r="AO168" s="427"/>
      <c r="AP168" s="427"/>
      <c r="AQ168" s="427"/>
      <c r="AR168" s="434"/>
      <c r="AS168" s="435"/>
    </row>
    <row r="169">
      <c r="A169" s="240"/>
      <c r="B169" s="408" t="s">
        <v>238</v>
      </c>
      <c r="C169" s="455"/>
      <c r="D169" s="410" t="s">
        <v>258</v>
      </c>
      <c r="E169" s="411">
        <v>43575.0</v>
      </c>
      <c r="F169" s="412" t="s">
        <v>280</v>
      </c>
      <c r="G169" s="411">
        <v>43581.0</v>
      </c>
      <c r="H169" s="412" t="s">
        <v>282</v>
      </c>
      <c r="I169" s="422" t="s">
        <v>1279</v>
      </c>
      <c r="J169" s="471" t="s">
        <v>159</v>
      </c>
      <c r="K169" s="437" t="s">
        <v>1280</v>
      </c>
      <c r="L169" s="414" t="s">
        <v>330</v>
      </c>
      <c r="M169" s="427" t="s">
        <v>315</v>
      </c>
      <c r="N169" s="432" t="s">
        <v>513</v>
      </c>
      <c r="O169" s="427" t="s">
        <v>750</v>
      </c>
      <c r="P169" s="427" t="s">
        <v>324</v>
      </c>
      <c r="Q169" s="427" t="s">
        <v>315</v>
      </c>
      <c r="R169" s="427" t="s">
        <v>324</v>
      </c>
      <c r="S169" s="431"/>
      <c r="T169" s="427" t="s">
        <v>324</v>
      </c>
      <c r="U169" s="427" t="s">
        <v>324</v>
      </c>
      <c r="V169" s="427" t="s">
        <v>324</v>
      </c>
      <c r="W169" s="427" t="s">
        <v>324</v>
      </c>
      <c r="X169" s="427" t="s">
        <v>324</v>
      </c>
      <c r="Y169" s="427" t="s">
        <v>324</v>
      </c>
      <c r="Z169" s="427" t="s">
        <v>324</v>
      </c>
      <c r="AA169" s="427" t="s">
        <v>324</v>
      </c>
      <c r="AB169" s="431"/>
      <c r="AC169" s="433" t="s">
        <v>324</v>
      </c>
      <c r="AD169" s="431"/>
      <c r="AE169" s="427" t="s">
        <v>315</v>
      </c>
      <c r="AF169" s="427" t="s">
        <v>315</v>
      </c>
      <c r="AG169" s="427" t="s">
        <v>315</v>
      </c>
      <c r="AH169" s="453" t="s">
        <v>1249</v>
      </c>
      <c r="AI169" s="433" t="s">
        <v>315</v>
      </c>
      <c r="AJ169" s="427" t="s">
        <v>324</v>
      </c>
      <c r="AK169" s="427" t="s">
        <v>324</v>
      </c>
      <c r="AL169" s="427" t="s">
        <v>324</v>
      </c>
      <c r="AM169" s="427" t="s">
        <v>324</v>
      </c>
      <c r="AN169" s="427" t="s">
        <v>324</v>
      </c>
      <c r="AO169" s="427" t="s">
        <v>324</v>
      </c>
      <c r="AP169" s="427" t="s">
        <v>324</v>
      </c>
      <c r="AQ169" s="427" t="s">
        <v>1250</v>
      </c>
      <c r="AR169" s="434" t="s">
        <v>1251</v>
      </c>
      <c r="AS169" s="435"/>
    </row>
    <row r="170">
      <c r="A170" s="240"/>
      <c r="B170" s="408"/>
      <c r="C170" s="455"/>
      <c r="D170" s="410"/>
      <c r="E170" s="421"/>
      <c r="F170" s="421"/>
      <c r="G170" s="421"/>
      <c r="H170" s="421"/>
      <c r="I170" s="422"/>
      <c r="J170" s="471"/>
      <c r="K170" s="437"/>
      <c r="L170" s="414"/>
      <c r="M170" s="427"/>
      <c r="N170" s="474"/>
      <c r="O170" s="427"/>
      <c r="P170" s="427"/>
      <c r="Q170" s="427"/>
      <c r="R170" s="427"/>
      <c r="S170" s="431"/>
      <c r="T170" s="427"/>
      <c r="U170" s="427"/>
      <c r="V170" s="427"/>
      <c r="W170" s="427"/>
      <c r="X170" s="427"/>
      <c r="Y170" s="427"/>
      <c r="Z170" s="427"/>
      <c r="AA170" s="427"/>
      <c r="AB170" s="431"/>
      <c r="AC170" s="433"/>
      <c r="AD170" s="431"/>
      <c r="AE170" s="427"/>
      <c r="AF170" s="427"/>
      <c r="AG170" s="427"/>
      <c r="AH170" s="432" t="s">
        <v>1142</v>
      </c>
      <c r="AI170" s="472" t="s">
        <v>443</v>
      </c>
      <c r="AJ170" s="427"/>
      <c r="AK170" s="427" t="s">
        <v>1252</v>
      </c>
      <c r="AL170" s="427" t="s">
        <v>315</v>
      </c>
      <c r="AM170" s="427"/>
      <c r="AN170" s="427"/>
      <c r="AO170" s="427"/>
      <c r="AP170" s="427"/>
      <c r="AQ170" s="427" t="s">
        <v>1253</v>
      </c>
      <c r="AR170" s="434"/>
      <c r="AS170" s="435"/>
    </row>
    <row r="171">
      <c r="A171" s="240"/>
      <c r="B171" s="408"/>
      <c r="C171" s="455"/>
      <c r="D171" s="410"/>
      <c r="E171" s="421"/>
      <c r="F171" s="421"/>
      <c r="G171" s="421"/>
      <c r="H171" s="412" t="s">
        <v>1254</v>
      </c>
      <c r="I171" s="422"/>
      <c r="J171" s="471"/>
      <c r="K171" s="437"/>
      <c r="L171" s="414"/>
      <c r="M171" s="427" t="s">
        <v>315</v>
      </c>
      <c r="N171" s="432" t="s">
        <v>513</v>
      </c>
      <c r="O171" s="427"/>
      <c r="P171" s="427"/>
      <c r="Q171" s="427" t="s">
        <v>315</v>
      </c>
      <c r="R171" s="427"/>
      <c r="S171" s="431"/>
      <c r="T171" s="427" t="s">
        <v>324</v>
      </c>
      <c r="U171" s="427" t="s">
        <v>324</v>
      </c>
      <c r="V171" s="427" t="s">
        <v>324</v>
      </c>
      <c r="W171" s="427" t="s">
        <v>324</v>
      </c>
      <c r="X171" s="427" t="s">
        <v>324</v>
      </c>
      <c r="Y171" s="427" t="s">
        <v>324</v>
      </c>
      <c r="Z171" s="427" t="s">
        <v>324</v>
      </c>
      <c r="AA171" s="427" t="s">
        <v>324</v>
      </c>
      <c r="AB171" s="431"/>
      <c r="AC171" s="433" t="s">
        <v>324</v>
      </c>
      <c r="AD171" s="431"/>
      <c r="AE171" s="427" t="s">
        <v>315</v>
      </c>
      <c r="AF171" s="427" t="s">
        <v>315</v>
      </c>
      <c r="AG171" s="427" t="s">
        <v>315</v>
      </c>
      <c r="AH171" s="432" t="s">
        <v>1142</v>
      </c>
      <c r="AI171" s="472" t="s">
        <v>443</v>
      </c>
      <c r="AJ171" s="427" t="s">
        <v>1252</v>
      </c>
      <c r="AK171" s="427" t="s">
        <v>324</v>
      </c>
      <c r="AL171" s="427" t="s">
        <v>315</v>
      </c>
      <c r="AM171" s="427"/>
      <c r="AN171" s="427"/>
      <c r="AO171" s="427"/>
      <c r="AP171" s="427"/>
      <c r="AQ171" s="427"/>
      <c r="AR171" s="434"/>
      <c r="AS171" s="435"/>
    </row>
    <row r="172">
      <c r="A172" s="240"/>
      <c r="B172" s="408" t="s">
        <v>238</v>
      </c>
      <c r="C172" s="455"/>
      <c r="D172" s="410" t="s">
        <v>258</v>
      </c>
      <c r="E172" s="411">
        <v>43575.0</v>
      </c>
      <c r="F172" s="412" t="s">
        <v>280</v>
      </c>
      <c r="G172" s="411">
        <v>43581.0</v>
      </c>
      <c r="H172" s="412" t="s">
        <v>282</v>
      </c>
      <c r="I172" s="413" t="s">
        <v>1312</v>
      </c>
      <c r="J172" s="471" t="s">
        <v>160</v>
      </c>
      <c r="K172" s="475" t="s">
        <v>1280</v>
      </c>
      <c r="L172" s="414" t="s">
        <v>330</v>
      </c>
      <c r="M172" s="431"/>
      <c r="N172" s="476"/>
      <c r="O172" s="431"/>
      <c r="P172" s="431"/>
      <c r="Q172" s="431"/>
      <c r="R172" s="431"/>
      <c r="S172" s="431"/>
      <c r="T172" s="431"/>
      <c r="U172" s="431"/>
      <c r="V172" s="431"/>
      <c r="W172" s="431"/>
      <c r="X172" s="431"/>
      <c r="Y172" s="431"/>
      <c r="Z172" s="431"/>
      <c r="AA172" s="431"/>
      <c r="AB172" s="431"/>
      <c r="AC172" s="431"/>
      <c r="AD172" s="431"/>
      <c r="AE172" s="431"/>
      <c r="AF172" s="431"/>
      <c r="AG172" s="431"/>
      <c r="AH172" s="431"/>
      <c r="AI172" s="431"/>
      <c r="AJ172" s="431"/>
      <c r="AK172" s="431"/>
      <c r="AL172" s="431"/>
      <c r="AM172" s="431"/>
      <c r="AN172" s="431"/>
      <c r="AO172" s="431"/>
      <c r="AP172" s="431"/>
      <c r="AQ172" s="427" t="s">
        <v>1314</v>
      </c>
      <c r="AR172" s="434" t="s">
        <v>1315</v>
      </c>
      <c r="AS172" s="435"/>
    </row>
    <row r="173">
      <c r="A173" s="240"/>
      <c r="B173" s="408"/>
      <c r="C173" s="455"/>
      <c r="D173" s="410"/>
      <c r="E173" s="421"/>
      <c r="F173" s="421"/>
      <c r="G173" s="421"/>
      <c r="H173" s="421"/>
      <c r="I173" s="422"/>
      <c r="J173" s="471"/>
      <c r="K173" s="437"/>
      <c r="L173" s="414"/>
      <c r="M173" s="427" t="s">
        <v>393</v>
      </c>
      <c r="N173" s="432" t="s">
        <v>514</v>
      </c>
      <c r="O173" s="431"/>
      <c r="P173" s="431"/>
      <c r="Q173" s="427" t="s">
        <v>315</v>
      </c>
      <c r="R173" s="431"/>
      <c r="S173" s="431"/>
      <c r="T173" s="427" t="s">
        <v>282</v>
      </c>
      <c r="U173" s="427" t="s">
        <v>282</v>
      </c>
      <c r="V173" s="427" t="s">
        <v>282</v>
      </c>
      <c r="W173" s="427" t="s">
        <v>282</v>
      </c>
      <c r="X173" s="427" t="s">
        <v>282</v>
      </c>
      <c r="Y173" s="427" t="s">
        <v>282</v>
      </c>
      <c r="Z173" s="427" t="s">
        <v>282</v>
      </c>
      <c r="AA173" s="427" t="s">
        <v>282</v>
      </c>
      <c r="AB173" s="431"/>
      <c r="AC173" s="477"/>
      <c r="AD173" s="431"/>
      <c r="AE173" s="431"/>
      <c r="AF173" s="431"/>
      <c r="AG173" s="431"/>
      <c r="AH173" s="432" t="s">
        <v>1143</v>
      </c>
      <c r="AI173" s="472" t="s">
        <v>609</v>
      </c>
      <c r="AJ173" s="427" t="s">
        <v>1255</v>
      </c>
      <c r="AK173" s="427" t="s">
        <v>282</v>
      </c>
      <c r="AL173" s="427" t="s">
        <v>315</v>
      </c>
      <c r="AM173" s="431"/>
      <c r="AN173" s="431"/>
      <c r="AO173" s="431"/>
      <c r="AP173" s="431"/>
      <c r="AQ173" s="427" t="s">
        <v>1322</v>
      </c>
      <c r="AR173" s="434" t="s">
        <v>1198</v>
      </c>
      <c r="AS173" s="435"/>
    </row>
    <row r="174">
      <c r="A174" s="391"/>
      <c r="B174" s="392"/>
      <c r="C174" s="478"/>
      <c r="D174" s="394"/>
      <c r="E174" s="479"/>
      <c r="F174" s="479"/>
      <c r="G174" s="479"/>
      <c r="H174" s="480" t="s">
        <v>1325</v>
      </c>
      <c r="I174" s="396"/>
      <c r="J174" s="481"/>
      <c r="K174" s="482"/>
      <c r="L174" s="483"/>
      <c r="M174" s="400" t="s">
        <v>393</v>
      </c>
      <c r="N174" s="484" t="s">
        <v>514</v>
      </c>
      <c r="O174" s="403"/>
      <c r="P174" s="403"/>
      <c r="Q174" s="400" t="s">
        <v>315</v>
      </c>
      <c r="R174" s="403"/>
      <c r="S174" s="403"/>
      <c r="T174" s="400" t="s">
        <v>282</v>
      </c>
      <c r="U174" s="400" t="s">
        <v>282</v>
      </c>
      <c r="V174" s="400" t="s">
        <v>282</v>
      </c>
      <c r="W174" s="400" t="s">
        <v>282</v>
      </c>
      <c r="X174" s="400" t="s">
        <v>282</v>
      </c>
      <c r="Y174" s="400" t="s">
        <v>282</v>
      </c>
      <c r="Z174" s="400" t="s">
        <v>282</v>
      </c>
      <c r="AA174" s="400" t="s">
        <v>282</v>
      </c>
      <c r="AB174" s="403"/>
      <c r="AC174" s="405" t="s">
        <v>994</v>
      </c>
      <c r="AD174" s="484" t="s">
        <v>1034</v>
      </c>
      <c r="AE174" s="400" t="s">
        <v>369</v>
      </c>
      <c r="AF174" s="400" t="s">
        <v>315</v>
      </c>
      <c r="AG174" s="400" t="s">
        <v>315</v>
      </c>
      <c r="AH174" s="484" t="s">
        <v>1143</v>
      </c>
      <c r="AI174" s="404" t="s">
        <v>609</v>
      </c>
      <c r="AJ174" s="400" t="s">
        <v>1255</v>
      </c>
      <c r="AK174" s="400" t="s">
        <v>315</v>
      </c>
      <c r="AL174" s="400" t="s">
        <v>315</v>
      </c>
      <c r="AM174" s="403"/>
      <c r="AN174" s="403"/>
      <c r="AO174" s="403"/>
      <c r="AP174" s="403"/>
      <c r="AQ174" s="400"/>
      <c r="AR174" s="406"/>
      <c r="AS174" s="407"/>
    </row>
    <row r="175">
      <c r="A175" s="240"/>
      <c r="B175" s="408" t="s">
        <v>238</v>
      </c>
      <c r="C175" s="455"/>
      <c r="D175" s="410" t="s">
        <v>280</v>
      </c>
      <c r="E175" s="411">
        <v>43571.0</v>
      </c>
      <c r="F175" s="412" t="s">
        <v>258</v>
      </c>
      <c r="G175" s="411">
        <v>43581.0</v>
      </c>
      <c r="H175" s="412" t="s">
        <v>282</v>
      </c>
      <c r="I175" s="422" t="s">
        <v>1340</v>
      </c>
      <c r="J175" s="471" t="s">
        <v>161</v>
      </c>
      <c r="K175" s="475" t="s">
        <v>1280</v>
      </c>
      <c r="L175" s="414" t="s">
        <v>330</v>
      </c>
      <c r="M175" s="431"/>
      <c r="N175" s="474"/>
      <c r="O175" s="431"/>
      <c r="P175" s="431"/>
      <c r="Q175" s="431"/>
      <c r="R175" s="431"/>
      <c r="S175" s="431"/>
      <c r="T175" s="431"/>
      <c r="U175" s="431"/>
      <c r="V175" s="431"/>
      <c r="W175" s="431"/>
      <c r="X175" s="431"/>
      <c r="Y175" s="431"/>
      <c r="Z175" s="431"/>
      <c r="AA175" s="431"/>
      <c r="AB175" s="431"/>
      <c r="AC175" s="477"/>
      <c r="AD175" s="431"/>
      <c r="AE175" s="431"/>
      <c r="AF175" s="431"/>
      <c r="AG175" s="431"/>
      <c r="AH175" s="431"/>
      <c r="AI175" s="477"/>
      <c r="AJ175" s="431"/>
      <c r="AK175" s="431"/>
      <c r="AL175" s="431"/>
      <c r="AM175" s="431"/>
      <c r="AN175" s="431"/>
      <c r="AO175" s="431"/>
      <c r="AP175" s="431"/>
      <c r="AQ175" s="427" t="s">
        <v>1314</v>
      </c>
      <c r="AR175" s="434" t="s">
        <v>1315</v>
      </c>
      <c r="AS175" s="446" t="s">
        <v>1342</v>
      </c>
    </row>
    <row r="176">
      <c r="A176" s="240"/>
      <c r="B176" s="408"/>
      <c r="C176" s="455"/>
      <c r="D176" s="410"/>
      <c r="E176" s="421"/>
      <c r="F176" s="421"/>
      <c r="G176" s="421"/>
      <c r="H176" s="421"/>
      <c r="I176" s="422"/>
      <c r="J176" s="471"/>
      <c r="K176" s="437"/>
      <c r="L176" s="414"/>
      <c r="M176" s="485" t="s">
        <v>393</v>
      </c>
      <c r="N176" s="432" t="s">
        <v>517</v>
      </c>
      <c r="O176" s="431"/>
      <c r="P176" s="431"/>
      <c r="Q176" s="431"/>
      <c r="R176" s="431"/>
      <c r="S176" s="431"/>
      <c r="T176" s="427" t="s">
        <v>282</v>
      </c>
      <c r="U176" s="427" t="s">
        <v>282</v>
      </c>
      <c r="V176" s="427" t="s">
        <v>282</v>
      </c>
      <c r="W176" s="427" t="s">
        <v>282</v>
      </c>
      <c r="X176" s="427" t="s">
        <v>282</v>
      </c>
      <c r="Y176" s="427" t="s">
        <v>282</v>
      </c>
      <c r="Z176" s="427" t="s">
        <v>282</v>
      </c>
      <c r="AA176" s="427" t="s">
        <v>875</v>
      </c>
      <c r="AB176" s="431"/>
      <c r="AC176" s="433" t="s">
        <v>994</v>
      </c>
      <c r="AD176" s="486" t="s">
        <v>1035</v>
      </c>
      <c r="AE176" s="427" t="s">
        <v>369</v>
      </c>
      <c r="AF176" s="427" t="s">
        <v>315</v>
      </c>
      <c r="AG176" s="427" t="s">
        <v>315</v>
      </c>
      <c r="AH176" s="432" t="s">
        <v>1144</v>
      </c>
      <c r="AI176" s="433" t="s">
        <v>621</v>
      </c>
      <c r="AJ176" s="427" t="s">
        <v>1256</v>
      </c>
      <c r="AK176" s="427" t="s">
        <v>366</v>
      </c>
      <c r="AL176" s="427" t="s">
        <v>315</v>
      </c>
      <c r="AM176" s="427" t="s">
        <v>1316</v>
      </c>
      <c r="AN176" s="427" t="s">
        <v>324</v>
      </c>
      <c r="AO176" s="427" t="s">
        <v>324</v>
      </c>
      <c r="AP176" s="427" t="s">
        <v>324</v>
      </c>
      <c r="AQ176" s="427"/>
      <c r="AR176" s="434"/>
      <c r="AS176" s="435"/>
    </row>
    <row r="177">
      <c r="A177" s="391"/>
      <c r="B177" s="392"/>
      <c r="C177" s="478"/>
      <c r="D177" s="394"/>
      <c r="E177" s="479"/>
      <c r="F177" s="479"/>
      <c r="G177" s="479"/>
      <c r="H177" s="479"/>
      <c r="I177" s="396"/>
      <c r="J177" s="481"/>
      <c r="K177" s="482"/>
      <c r="L177" s="483"/>
      <c r="M177" s="487" t="s">
        <v>393</v>
      </c>
      <c r="N177" s="484" t="s">
        <v>517</v>
      </c>
      <c r="O177" s="403"/>
      <c r="P177" s="403"/>
      <c r="Q177" s="400" t="s">
        <v>315</v>
      </c>
      <c r="R177" s="403"/>
      <c r="S177" s="403"/>
      <c r="T177" s="400" t="s">
        <v>282</v>
      </c>
      <c r="U177" s="400" t="s">
        <v>282</v>
      </c>
      <c r="V177" s="400" t="s">
        <v>282</v>
      </c>
      <c r="W177" s="400" t="s">
        <v>282</v>
      </c>
      <c r="X177" s="400" t="s">
        <v>282</v>
      </c>
      <c r="Y177" s="400" t="s">
        <v>282</v>
      </c>
      <c r="Z177" s="400" t="s">
        <v>282</v>
      </c>
      <c r="AA177" s="400" t="s">
        <v>875</v>
      </c>
      <c r="AB177" s="403"/>
      <c r="AC177" s="405" t="s">
        <v>994</v>
      </c>
      <c r="AD177" s="402" t="s">
        <v>1035</v>
      </c>
      <c r="AE177" s="400" t="s">
        <v>369</v>
      </c>
      <c r="AF177" s="400" t="s">
        <v>315</v>
      </c>
      <c r="AG177" s="400" t="s">
        <v>315</v>
      </c>
      <c r="AH177" s="484" t="s">
        <v>1144</v>
      </c>
      <c r="AI177" s="405" t="s">
        <v>621</v>
      </c>
      <c r="AJ177" s="400" t="s">
        <v>1256</v>
      </c>
      <c r="AK177" s="400" t="s">
        <v>366</v>
      </c>
      <c r="AL177" s="400" t="s">
        <v>315</v>
      </c>
      <c r="AM177" s="400" t="s">
        <v>1316</v>
      </c>
      <c r="AN177" s="400" t="s">
        <v>324</v>
      </c>
      <c r="AO177" s="400" t="s">
        <v>324</v>
      </c>
      <c r="AP177" s="400" t="s">
        <v>324</v>
      </c>
      <c r="AQ177" s="400" t="s">
        <v>1350</v>
      </c>
      <c r="AR177" s="406"/>
      <c r="AS177" s="407"/>
    </row>
    <row r="178">
      <c r="A178" s="240"/>
      <c r="B178" s="408" t="s">
        <v>238</v>
      </c>
      <c r="C178" s="455"/>
      <c r="D178" s="410" t="s">
        <v>280</v>
      </c>
      <c r="E178" s="411">
        <v>43571.0</v>
      </c>
      <c r="F178" s="412" t="s">
        <v>258</v>
      </c>
      <c r="G178" s="411">
        <v>43581.0</v>
      </c>
      <c r="H178" s="412" t="s">
        <v>282</v>
      </c>
      <c r="I178" s="422" t="s">
        <v>1351</v>
      </c>
      <c r="J178" s="457" t="s">
        <v>162</v>
      </c>
      <c r="K178" s="475" t="s">
        <v>789</v>
      </c>
      <c r="L178" s="414" t="s">
        <v>330</v>
      </c>
      <c r="M178" s="427" t="s">
        <v>315</v>
      </c>
      <c r="N178" s="453" t="s">
        <v>521</v>
      </c>
      <c r="O178" s="427" t="s">
        <v>750</v>
      </c>
      <c r="P178" s="427" t="s">
        <v>324</v>
      </c>
      <c r="Q178" s="427" t="s">
        <v>315</v>
      </c>
      <c r="R178" s="427" t="s">
        <v>324</v>
      </c>
      <c r="S178" s="431"/>
      <c r="T178" s="427" t="s">
        <v>324</v>
      </c>
      <c r="U178" s="427" t="s">
        <v>324</v>
      </c>
      <c r="V178" s="427" t="s">
        <v>324</v>
      </c>
      <c r="W178" s="427" t="s">
        <v>324</v>
      </c>
      <c r="X178" s="427" t="s">
        <v>324</v>
      </c>
      <c r="Y178" s="427" t="s">
        <v>324</v>
      </c>
      <c r="Z178" s="427" t="s">
        <v>324</v>
      </c>
      <c r="AA178" s="427" t="s">
        <v>324</v>
      </c>
      <c r="AB178" s="431"/>
      <c r="AC178" s="433" t="s">
        <v>324</v>
      </c>
      <c r="AD178" s="431"/>
      <c r="AE178" s="427" t="s">
        <v>315</v>
      </c>
      <c r="AF178" s="427" t="s">
        <v>315</v>
      </c>
      <c r="AG178" s="427" t="s">
        <v>315</v>
      </c>
      <c r="AH178" s="453" t="s">
        <v>1146</v>
      </c>
      <c r="AI178" s="433" t="s">
        <v>1238</v>
      </c>
      <c r="AJ178" s="427" t="s">
        <v>1360</v>
      </c>
      <c r="AK178" s="427" t="s">
        <v>324</v>
      </c>
      <c r="AL178" s="427" t="s">
        <v>324</v>
      </c>
      <c r="AM178" s="427" t="s">
        <v>324</v>
      </c>
      <c r="AN178" s="427" t="s">
        <v>1335</v>
      </c>
      <c r="AO178" s="427" t="s">
        <v>324</v>
      </c>
      <c r="AP178" s="427" t="s">
        <v>324</v>
      </c>
      <c r="AQ178" s="427" t="s">
        <v>1361</v>
      </c>
      <c r="AR178" s="434" t="s">
        <v>1234</v>
      </c>
      <c r="AS178" s="435"/>
    </row>
    <row r="179" ht="18.0" customHeight="1">
      <c r="A179" s="240"/>
      <c r="B179" s="408"/>
      <c r="C179" s="455"/>
      <c r="D179" s="410"/>
      <c r="E179" s="421"/>
      <c r="F179" s="421"/>
      <c r="G179" s="421"/>
      <c r="H179" s="421"/>
      <c r="I179" s="422"/>
      <c r="J179" s="471"/>
      <c r="K179" s="437"/>
      <c r="L179" s="414"/>
      <c r="M179" s="427"/>
      <c r="N179" s="453"/>
      <c r="O179" s="427"/>
      <c r="P179" s="427"/>
      <c r="Q179" s="427"/>
      <c r="R179" s="427"/>
      <c r="S179" s="431"/>
      <c r="T179" s="427"/>
      <c r="U179" s="427"/>
      <c r="V179" s="427"/>
      <c r="W179" s="427"/>
      <c r="X179" s="427"/>
      <c r="Y179" s="427"/>
      <c r="Z179" s="427"/>
      <c r="AA179" s="427"/>
      <c r="AB179" s="431"/>
      <c r="AC179" s="433"/>
      <c r="AD179" s="431"/>
      <c r="AE179" s="427"/>
      <c r="AF179" s="427"/>
      <c r="AG179" s="427"/>
      <c r="AH179" s="453"/>
      <c r="AI179" s="433" t="s">
        <v>443</v>
      </c>
      <c r="AJ179" s="427" t="s">
        <v>1257</v>
      </c>
      <c r="AK179" s="427"/>
      <c r="AL179" s="427"/>
      <c r="AM179" s="427"/>
      <c r="AN179" s="427" t="s">
        <v>1336</v>
      </c>
      <c r="AO179" s="427"/>
      <c r="AP179" s="427"/>
      <c r="AQ179" s="427"/>
      <c r="AR179" s="434"/>
      <c r="AS179" s="435"/>
    </row>
    <row r="180" ht="16.5" customHeight="1">
      <c r="A180" s="391"/>
      <c r="B180" s="392"/>
      <c r="C180" s="478"/>
      <c r="D180" s="394"/>
      <c r="E180" s="479"/>
      <c r="F180" s="479"/>
      <c r="G180" s="479"/>
      <c r="H180" s="479"/>
      <c r="I180" s="396"/>
      <c r="J180" s="481"/>
      <c r="K180" s="482"/>
      <c r="L180" s="483" t="s">
        <v>330</v>
      </c>
      <c r="M180" s="400" t="s">
        <v>315</v>
      </c>
      <c r="N180" s="492" t="s">
        <v>521</v>
      </c>
      <c r="O180" s="400"/>
      <c r="P180" s="400"/>
      <c r="Q180" s="400" t="s">
        <v>315</v>
      </c>
      <c r="R180" s="400"/>
      <c r="S180" s="403"/>
      <c r="T180" s="400" t="s">
        <v>324</v>
      </c>
      <c r="U180" s="400" t="s">
        <v>324</v>
      </c>
      <c r="V180" s="400" t="s">
        <v>324</v>
      </c>
      <c r="W180" s="400" t="s">
        <v>324</v>
      </c>
      <c r="X180" s="400" t="s">
        <v>324</v>
      </c>
      <c r="Y180" s="400" t="s">
        <v>324</v>
      </c>
      <c r="Z180" s="400" t="s">
        <v>324</v>
      </c>
      <c r="AA180" s="400" t="s">
        <v>324</v>
      </c>
      <c r="AB180" s="403"/>
      <c r="AC180" s="405"/>
      <c r="AD180" s="403"/>
      <c r="AE180" s="400" t="s">
        <v>315</v>
      </c>
      <c r="AF180" s="400" t="s">
        <v>315</v>
      </c>
      <c r="AG180" s="400" t="s">
        <v>315</v>
      </c>
      <c r="AH180" s="492" t="s">
        <v>1146</v>
      </c>
      <c r="AI180" s="405" t="s">
        <v>443</v>
      </c>
      <c r="AJ180" s="400" t="s">
        <v>1257</v>
      </c>
      <c r="AK180" s="400" t="s">
        <v>324</v>
      </c>
      <c r="AL180" s="400" t="s">
        <v>315</v>
      </c>
      <c r="AM180" s="400"/>
      <c r="AN180" s="400" t="s">
        <v>1335</v>
      </c>
      <c r="AO180" s="400"/>
      <c r="AP180" s="400"/>
      <c r="AQ180" s="400" t="s">
        <v>1361</v>
      </c>
      <c r="AR180" s="406"/>
      <c r="AS180" s="407"/>
    </row>
    <row r="181">
      <c r="A181" s="240"/>
      <c r="B181" s="408" t="s">
        <v>238</v>
      </c>
      <c r="C181" s="455"/>
      <c r="D181" s="410" t="s">
        <v>280</v>
      </c>
      <c r="E181" s="411">
        <v>43571.0</v>
      </c>
      <c r="F181" s="412" t="s">
        <v>258</v>
      </c>
      <c r="G181" s="411">
        <v>43581.0</v>
      </c>
      <c r="H181" s="412" t="s">
        <v>282</v>
      </c>
      <c r="I181" s="422" t="s">
        <v>1362</v>
      </c>
      <c r="J181" s="471" t="s">
        <v>163</v>
      </c>
      <c r="K181" s="475" t="s">
        <v>1280</v>
      </c>
      <c r="L181" s="414" t="s">
        <v>331</v>
      </c>
      <c r="M181" s="427" t="s">
        <v>315</v>
      </c>
      <c r="N181" s="453" t="s">
        <v>521</v>
      </c>
      <c r="O181" s="427" t="s">
        <v>750</v>
      </c>
      <c r="P181" s="427" t="s">
        <v>324</v>
      </c>
      <c r="Q181" s="427" t="s">
        <v>315</v>
      </c>
      <c r="R181" s="427" t="s">
        <v>324</v>
      </c>
      <c r="S181" s="431"/>
      <c r="T181" s="427" t="s">
        <v>324</v>
      </c>
      <c r="U181" s="427" t="s">
        <v>324</v>
      </c>
      <c r="V181" s="427" t="s">
        <v>324</v>
      </c>
      <c r="W181" s="427" t="s">
        <v>324</v>
      </c>
      <c r="X181" s="427" t="s">
        <v>324</v>
      </c>
      <c r="Y181" s="427" t="s">
        <v>324</v>
      </c>
      <c r="Z181" s="427" t="s">
        <v>324</v>
      </c>
      <c r="AA181" s="427" t="s">
        <v>324</v>
      </c>
      <c r="AB181" s="431"/>
      <c r="AC181" s="433" t="s">
        <v>324</v>
      </c>
      <c r="AD181" s="431"/>
      <c r="AE181" s="427" t="s">
        <v>315</v>
      </c>
      <c r="AF181" s="427" t="s">
        <v>315</v>
      </c>
      <c r="AG181" s="427" t="s">
        <v>315</v>
      </c>
      <c r="AH181" s="453" t="s">
        <v>1146</v>
      </c>
      <c r="AI181" s="433" t="s">
        <v>1238</v>
      </c>
      <c r="AJ181" s="427" t="s">
        <v>1360</v>
      </c>
      <c r="AK181" s="427" t="s">
        <v>324</v>
      </c>
      <c r="AL181" s="427" t="s">
        <v>324</v>
      </c>
      <c r="AM181" s="427" t="s">
        <v>324</v>
      </c>
      <c r="AN181" s="427" t="s">
        <v>1335</v>
      </c>
      <c r="AO181" s="427" t="s">
        <v>324</v>
      </c>
      <c r="AP181" s="427" t="s">
        <v>324</v>
      </c>
      <c r="AQ181" s="427" t="s">
        <v>1361</v>
      </c>
      <c r="AR181" s="434" t="s">
        <v>1363</v>
      </c>
      <c r="AS181" s="435"/>
    </row>
    <row r="182" ht="16.5" customHeight="1">
      <c r="A182" s="240"/>
      <c r="B182" s="408"/>
      <c r="C182" s="455"/>
      <c r="D182" s="410"/>
      <c r="E182" s="421"/>
      <c r="F182" s="421"/>
      <c r="G182" s="421"/>
      <c r="H182" s="421"/>
      <c r="I182" s="422"/>
      <c r="J182" s="471"/>
      <c r="K182" s="437"/>
      <c r="L182" s="414"/>
      <c r="M182" s="427"/>
      <c r="N182" s="453"/>
      <c r="O182" s="427"/>
      <c r="P182" s="427"/>
      <c r="Q182" s="427"/>
      <c r="R182" s="427"/>
      <c r="S182" s="431"/>
      <c r="T182" s="427"/>
      <c r="U182" s="427"/>
      <c r="V182" s="427"/>
      <c r="W182" s="427"/>
      <c r="X182" s="427"/>
      <c r="Y182" s="427"/>
      <c r="Z182" s="427"/>
      <c r="AA182" s="427"/>
      <c r="AB182" s="431"/>
      <c r="AC182" s="433"/>
      <c r="AD182" s="431"/>
      <c r="AE182" s="427"/>
      <c r="AF182" s="427"/>
      <c r="AG182" s="427"/>
      <c r="AH182" s="453"/>
      <c r="AI182" s="433" t="s">
        <v>443</v>
      </c>
      <c r="AJ182" s="427" t="s">
        <v>1257</v>
      </c>
      <c r="AK182" s="427"/>
      <c r="AL182" s="427"/>
      <c r="AM182" s="427"/>
      <c r="AN182" s="427" t="s">
        <v>1336</v>
      </c>
      <c r="AO182" s="427"/>
      <c r="AP182" s="427"/>
      <c r="AQ182" s="427"/>
      <c r="AR182" s="434"/>
      <c r="AS182" s="435"/>
    </row>
    <row r="183" ht="19.5" customHeight="1">
      <c r="A183" s="391"/>
      <c r="B183" s="392"/>
      <c r="C183" s="478"/>
      <c r="D183" s="394"/>
      <c r="E183" s="479"/>
      <c r="F183" s="479"/>
      <c r="G183" s="479"/>
      <c r="H183" s="479"/>
      <c r="I183" s="396"/>
      <c r="J183" s="481"/>
      <c r="K183" s="482"/>
      <c r="L183" s="483" t="s">
        <v>331</v>
      </c>
      <c r="M183" s="400" t="s">
        <v>315</v>
      </c>
      <c r="N183" s="492" t="s">
        <v>521</v>
      </c>
      <c r="O183" s="400"/>
      <c r="P183" s="400"/>
      <c r="Q183" s="400" t="s">
        <v>315</v>
      </c>
      <c r="R183" s="400"/>
      <c r="S183" s="403"/>
      <c r="T183" s="400" t="s">
        <v>324</v>
      </c>
      <c r="U183" s="400" t="s">
        <v>324</v>
      </c>
      <c r="V183" s="400" t="s">
        <v>324</v>
      </c>
      <c r="W183" s="400" t="s">
        <v>324</v>
      </c>
      <c r="X183" s="400" t="s">
        <v>324</v>
      </c>
      <c r="Y183" s="400" t="s">
        <v>324</v>
      </c>
      <c r="Z183" s="400" t="s">
        <v>324</v>
      </c>
      <c r="AA183" s="400" t="s">
        <v>324</v>
      </c>
      <c r="AB183" s="403"/>
      <c r="AC183" s="405"/>
      <c r="AD183" s="403"/>
      <c r="AE183" s="400" t="s">
        <v>315</v>
      </c>
      <c r="AF183" s="400" t="s">
        <v>315</v>
      </c>
      <c r="AG183" s="400" t="s">
        <v>315</v>
      </c>
      <c r="AH183" s="492" t="s">
        <v>1146</v>
      </c>
      <c r="AI183" s="405" t="s">
        <v>1238</v>
      </c>
      <c r="AJ183" s="400" t="s">
        <v>1257</v>
      </c>
      <c r="AK183" s="400" t="s">
        <v>324</v>
      </c>
      <c r="AL183" s="400" t="s">
        <v>315</v>
      </c>
      <c r="AM183" s="400"/>
      <c r="AN183" s="400" t="s">
        <v>1335</v>
      </c>
      <c r="AO183" s="400"/>
      <c r="AP183" s="400"/>
      <c r="AQ183" s="400" t="s">
        <v>1361</v>
      </c>
      <c r="AR183" s="406"/>
      <c r="AS183" s="407"/>
    </row>
    <row r="184">
      <c r="A184" s="240"/>
      <c r="B184" s="408" t="s">
        <v>238</v>
      </c>
      <c r="C184" s="455"/>
      <c r="D184" s="410" t="s">
        <v>280</v>
      </c>
      <c r="E184" s="411">
        <v>43571.0</v>
      </c>
      <c r="F184" s="412" t="s">
        <v>258</v>
      </c>
      <c r="G184" s="411">
        <v>43581.0</v>
      </c>
      <c r="H184" s="412" t="s">
        <v>282</v>
      </c>
      <c r="I184" s="422" t="s">
        <v>1364</v>
      </c>
      <c r="J184" s="471" t="s">
        <v>164</v>
      </c>
      <c r="K184" s="437"/>
      <c r="L184" s="414" t="s">
        <v>331</v>
      </c>
      <c r="M184" s="427" t="s">
        <v>315</v>
      </c>
      <c r="N184" s="453" t="s">
        <v>521</v>
      </c>
      <c r="O184" s="427" t="s">
        <v>750</v>
      </c>
      <c r="P184" s="427" t="s">
        <v>324</v>
      </c>
      <c r="Q184" s="427" t="s">
        <v>315</v>
      </c>
      <c r="R184" s="427" t="s">
        <v>324</v>
      </c>
      <c r="S184" s="431"/>
      <c r="T184" s="427" t="s">
        <v>324</v>
      </c>
      <c r="U184" s="427" t="s">
        <v>324</v>
      </c>
      <c r="V184" s="427" t="s">
        <v>324</v>
      </c>
      <c r="W184" s="427" t="s">
        <v>324</v>
      </c>
      <c r="X184" s="427" t="s">
        <v>324</v>
      </c>
      <c r="Y184" s="427" t="s">
        <v>324</v>
      </c>
      <c r="Z184" s="427" t="s">
        <v>324</v>
      </c>
      <c r="AA184" s="427" t="s">
        <v>324</v>
      </c>
      <c r="AB184" s="431"/>
      <c r="AC184" s="433" t="s">
        <v>324</v>
      </c>
      <c r="AD184" s="431"/>
      <c r="AE184" s="427" t="s">
        <v>315</v>
      </c>
      <c r="AF184" s="427" t="s">
        <v>315</v>
      </c>
      <c r="AG184" s="427" t="s">
        <v>315</v>
      </c>
      <c r="AH184" s="453" t="s">
        <v>1146</v>
      </c>
      <c r="AI184" s="433" t="s">
        <v>1238</v>
      </c>
      <c r="AJ184" s="427" t="s">
        <v>1360</v>
      </c>
      <c r="AK184" s="427" t="s">
        <v>324</v>
      </c>
      <c r="AL184" s="427" t="s">
        <v>324</v>
      </c>
      <c r="AM184" s="427" t="s">
        <v>324</v>
      </c>
      <c r="AN184" s="427" t="s">
        <v>1335</v>
      </c>
      <c r="AO184" s="427" t="s">
        <v>324</v>
      </c>
      <c r="AP184" s="427" t="s">
        <v>324</v>
      </c>
      <c r="AQ184" s="427" t="s">
        <v>1361</v>
      </c>
      <c r="AR184" s="434" t="s">
        <v>1363</v>
      </c>
      <c r="AS184" s="435"/>
    </row>
    <row r="185" ht="17.25" customHeight="1">
      <c r="A185" s="240"/>
      <c r="B185" s="408"/>
      <c r="C185" s="455"/>
      <c r="D185" s="410"/>
      <c r="E185" s="421"/>
      <c r="F185" s="421"/>
      <c r="G185" s="421"/>
      <c r="H185" s="421"/>
      <c r="I185" s="422"/>
      <c r="J185" s="471"/>
      <c r="K185" s="437"/>
      <c r="L185" s="414"/>
      <c r="M185" s="427"/>
      <c r="N185" s="453"/>
      <c r="O185" s="427"/>
      <c r="P185" s="427"/>
      <c r="Q185" s="427"/>
      <c r="R185" s="427"/>
      <c r="S185" s="431"/>
      <c r="T185" s="427"/>
      <c r="U185" s="427"/>
      <c r="V185" s="427"/>
      <c r="W185" s="427"/>
      <c r="X185" s="427"/>
      <c r="Y185" s="427"/>
      <c r="Z185" s="427"/>
      <c r="AA185" s="427"/>
      <c r="AB185" s="431"/>
      <c r="AC185" s="433"/>
      <c r="AD185" s="431"/>
      <c r="AE185" s="427"/>
      <c r="AF185" s="427"/>
      <c r="AG185" s="427"/>
      <c r="AH185" s="453"/>
      <c r="AI185" s="433" t="s">
        <v>443</v>
      </c>
      <c r="AJ185" s="427" t="s">
        <v>1257</v>
      </c>
      <c r="AK185" s="427"/>
      <c r="AL185" s="427"/>
      <c r="AM185" s="427"/>
      <c r="AN185" s="427" t="s">
        <v>1336</v>
      </c>
      <c r="AO185" s="427"/>
      <c r="AP185" s="427"/>
      <c r="AQ185" s="427"/>
      <c r="AR185" s="434"/>
      <c r="AS185" s="435"/>
    </row>
    <row r="186" ht="17.25" customHeight="1">
      <c r="A186" s="391"/>
      <c r="B186" s="392"/>
      <c r="C186" s="478"/>
      <c r="D186" s="394"/>
      <c r="E186" s="479"/>
      <c r="F186" s="479"/>
      <c r="G186" s="479"/>
      <c r="H186" s="479"/>
      <c r="I186" s="396"/>
      <c r="J186" s="481"/>
      <c r="K186" s="482"/>
      <c r="L186" s="483" t="s">
        <v>331</v>
      </c>
      <c r="M186" s="400" t="s">
        <v>315</v>
      </c>
      <c r="N186" s="492" t="s">
        <v>521</v>
      </c>
      <c r="O186" s="400"/>
      <c r="P186" s="400"/>
      <c r="Q186" s="400" t="s">
        <v>315</v>
      </c>
      <c r="R186" s="400"/>
      <c r="S186" s="403"/>
      <c r="T186" s="400" t="s">
        <v>324</v>
      </c>
      <c r="U186" s="400" t="s">
        <v>324</v>
      </c>
      <c r="V186" s="400" t="s">
        <v>324</v>
      </c>
      <c r="W186" s="400" t="s">
        <v>324</v>
      </c>
      <c r="X186" s="400" t="s">
        <v>324</v>
      </c>
      <c r="Y186" s="400" t="s">
        <v>324</v>
      </c>
      <c r="Z186" s="400" t="s">
        <v>324</v>
      </c>
      <c r="AA186" s="400" t="s">
        <v>324</v>
      </c>
      <c r="AB186" s="403"/>
      <c r="AC186" s="405"/>
      <c r="AD186" s="403"/>
      <c r="AE186" s="400" t="s">
        <v>315</v>
      </c>
      <c r="AF186" s="400" t="s">
        <v>315</v>
      </c>
      <c r="AG186" s="400" t="s">
        <v>315</v>
      </c>
      <c r="AH186" s="492" t="s">
        <v>1146</v>
      </c>
      <c r="AI186" s="405" t="s">
        <v>443</v>
      </c>
      <c r="AJ186" s="400" t="s">
        <v>1257</v>
      </c>
      <c r="AK186" s="400" t="s">
        <v>324</v>
      </c>
      <c r="AL186" s="400"/>
      <c r="AM186" s="400"/>
      <c r="AN186" s="400" t="s">
        <v>1336</v>
      </c>
      <c r="AO186" s="400"/>
      <c r="AP186" s="400"/>
      <c r="AQ186" s="400" t="s">
        <v>1361</v>
      </c>
      <c r="AR186" s="406"/>
      <c r="AS186" s="407"/>
    </row>
    <row r="187">
      <c r="A187" s="240"/>
      <c r="B187" s="408" t="s">
        <v>238</v>
      </c>
      <c r="C187" s="455"/>
      <c r="D187" s="410" t="s">
        <v>479</v>
      </c>
      <c r="E187" s="411">
        <v>43575.0</v>
      </c>
      <c r="F187" s="412" t="s">
        <v>280</v>
      </c>
      <c r="G187" s="411">
        <v>43581.0</v>
      </c>
      <c r="H187" s="412" t="s">
        <v>282</v>
      </c>
      <c r="I187" s="422" t="s">
        <v>1365</v>
      </c>
      <c r="J187" s="471" t="s">
        <v>165</v>
      </c>
      <c r="K187" s="475" t="s">
        <v>1280</v>
      </c>
      <c r="L187" s="414" t="s">
        <v>331</v>
      </c>
      <c r="M187" s="427" t="s">
        <v>315</v>
      </c>
      <c r="N187" s="453" t="s">
        <v>521</v>
      </c>
      <c r="O187" s="427" t="s">
        <v>750</v>
      </c>
      <c r="P187" s="427" t="s">
        <v>324</v>
      </c>
      <c r="Q187" s="427" t="s">
        <v>315</v>
      </c>
      <c r="R187" s="427" t="s">
        <v>324</v>
      </c>
      <c r="S187" s="431"/>
      <c r="T187" s="427" t="s">
        <v>324</v>
      </c>
      <c r="U187" s="427" t="s">
        <v>324</v>
      </c>
      <c r="V187" s="427" t="s">
        <v>324</v>
      </c>
      <c r="W187" s="427" t="s">
        <v>324</v>
      </c>
      <c r="X187" s="427" t="s">
        <v>324</v>
      </c>
      <c r="Y187" s="427" t="s">
        <v>324</v>
      </c>
      <c r="Z187" s="427" t="s">
        <v>324</v>
      </c>
      <c r="AA187" s="427" t="s">
        <v>324</v>
      </c>
      <c r="AB187" s="431"/>
      <c r="AC187" s="433" t="s">
        <v>324</v>
      </c>
      <c r="AD187" s="431"/>
      <c r="AE187" s="427" t="s">
        <v>315</v>
      </c>
      <c r="AF187" s="427" t="s">
        <v>315</v>
      </c>
      <c r="AG187" s="427" t="s">
        <v>315</v>
      </c>
      <c r="AH187" s="453" t="s">
        <v>1146</v>
      </c>
      <c r="AI187" s="433" t="s">
        <v>1238</v>
      </c>
      <c r="AJ187" s="427" t="s">
        <v>1360</v>
      </c>
      <c r="AK187" s="427" t="s">
        <v>324</v>
      </c>
      <c r="AL187" s="427" t="s">
        <v>324</v>
      </c>
      <c r="AM187" s="427" t="s">
        <v>324</v>
      </c>
      <c r="AN187" s="427" t="s">
        <v>1335</v>
      </c>
      <c r="AO187" s="427" t="s">
        <v>324</v>
      </c>
      <c r="AP187" s="427" t="s">
        <v>324</v>
      </c>
      <c r="AQ187" s="427" t="s">
        <v>1361</v>
      </c>
      <c r="AR187" s="434" t="s">
        <v>1363</v>
      </c>
      <c r="AS187" s="435"/>
    </row>
    <row r="188" ht="15.0" customHeight="1">
      <c r="A188" s="240"/>
      <c r="B188" s="408"/>
      <c r="C188" s="455"/>
      <c r="D188" s="410"/>
      <c r="E188" s="421"/>
      <c r="F188" s="421"/>
      <c r="G188" s="421"/>
      <c r="H188" s="421"/>
      <c r="I188" s="422"/>
      <c r="J188" s="471"/>
      <c r="K188" s="437"/>
      <c r="L188" s="414"/>
      <c r="M188" s="427" t="s">
        <v>291</v>
      </c>
      <c r="N188" s="432" t="s">
        <v>528</v>
      </c>
      <c r="O188" s="427"/>
      <c r="P188" s="427"/>
      <c r="Q188" s="427"/>
      <c r="R188" s="427"/>
      <c r="S188" s="427" t="s">
        <v>750</v>
      </c>
      <c r="T188" s="427"/>
      <c r="U188" s="427"/>
      <c r="V188" s="427"/>
      <c r="W188" s="427"/>
      <c r="X188" s="427" t="s">
        <v>282</v>
      </c>
      <c r="Y188" s="427" t="s">
        <v>282</v>
      </c>
      <c r="Z188" s="427"/>
      <c r="AA188" s="427"/>
      <c r="AB188" s="431"/>
      <c r="AC188" s="433"/>
      <c r="AD188" s="431"/>
      <c r="AE188" s="427"/>
      <c r="AF188" s="427"/>
      <c r="AG188" s="427"/>
      <c r="AH188" s="453"/>
      <c r="AI188" s="433" t="s">
        <v>443</v>
      </c>
      <c r="AJ188" s="427" t="s">
        <v>1257</v>
      </c>
      <c r="AK188" s="427"/>
      <c r="AL188" s="427"/>
      <c r="AM188" s="427"/>
      <c r="AN188" s="427" t="s">
        <v>1336</v>
      </c>
      <c r="AO188" s="427"/>
      <c r="AP188" s="427"/>
      <c r="AQ188" s="427" t="s">
        <v>1366</v>
      </c>
      <c r="AR188" s="434"/>
      <c r="AS188" s="435"/>
    </row>
    <row r="189">
      <c r="A189" s="240"/>
      <c r="B189" s="408"/>
      <c r="C189" s="455"/>
      <c r="D189" s="410"/>
      <c r="E189" s="421"/>
      <c r="F189" s="421"/>
      <c r="G189" s="421"/>
      <c r="H189" s="421"/>
      <c r="I189" s="422"/>
      <c r="J189" s="471"/>
      <c r="K189" s="437"/>
      <c r="L189" s="414"/>
      <c r="M189" s="427" t="s">
        <v>291</v>
      </c>
      <c r="N189" s="432" t="s">
        <v>528</v>
      </c>
      <c r="O189" s="427"/>
      <c r="P189" s="427"/>
      <c r="Q189" s="427" t="s">
        <v>315</v>
      </c>
      <c r="R189" s="427"/>
      <c r="S189" s="427"/>
      <c r="T189" s="427" t="s">
        <v>324</v>
      </c>
      <c r="U189" s="427" t="s">
        <v>324</v>
      </c>
      <c r="V189" s="427" t="s">
        <v>324</v>
      </c>
      <c r="W189" s="427" t="s">
        <v>324</v>
      </c>
      <c r="X189" s="427" t="s">
        <v>282</v>
      </c>
      <c r="Y189" s="427" t="s">
        <v>282</v>
      </c>
      <c r="Z189" s="427" t="s">
        <v>324</v>
      </c>
      <c r="AA189" s="427" t="s">
        <v>324</v>
      </c>
      <c r="AB189" s="431"/>
      <c r="AC189" s="433"/>
      <c r="AD189" s="431"/>
      <c r="AE189" s="427" t="s">
        <v>315</v>
      </c>
      <c r="AF189" s="427" t="s">
        <v>315</v>
      </c>
      <c r="AG189" s="427" t="s">
        <v>315</v>
      </c>
      <c r="AH189" s="453" t="s">
        <v>1146</v>
      </c>
      <c r="AI189" s="433" t="s">
        <v>443</v>
      </c>
      <c r="AJ189" s="427" t="s">
        <v>1257</v>
      </c>
      <c r="AK189" s="427" t="s">
        <v>324</v>
      </c>
      <c r="AL189" s="427" t="s">
        <v>315</v>
      </c>
      <c r="AM189" s="427"/>
      <c r="AN189" s="427" t="s">
        <v>1336</v>
      </c>
      <c r="AO189" s="427"/>
      <c r="AP189" s="427"/>
      <c r="AQ189" s="427"/>
      <c r="AR189" s="434"/>
      <c r="AS189" s="435"/>
    </row>
    <row r="190">
      <c r="A190" s="240"/>
      <c r="B190" s="408" t="s">
        <v>238</v>
      </c>
      <c r="C190" s="455"/>
      <c r="D190" s="410" t="s">
        <v>479</v>
      </c>
      <c r="E190" s="411">
        <v>43575.0</v>
      </c>
      <c r="F190" s="412" t="s">
        <v>280</v>
      </c>
      <c r="G190" s="411">
        <v>43581.0</v>
      </c>
      <c r="H190" s="412" t="s">
        <v>282</v>
      </c>
      <c r="I190" s="422" t="s">
        <v>1367</v>
      </c>
      <c r="J190" s="457" t="s">
        <v>166</v>
      </c>
      <c r="K190" s="475" t="s">
        <v>789</v>
      </c>
      <c r="L190" s="414" t="s">
        <v>331</v>
      </c>
      <c r="M190" s="427" t="s">
        <v>315</v>
      </c>
      <c r="N190" s="453" t="s">
        <v>521</v>
      </c>
      <c r="O190" s="427" t="s">
        <v>750</v>
      </c>
      <c r="P190" s="427" t="s">
        <v>324</v>
      </c>
      <c r="Q190" s="427" t="s">
        <v>315</v>
      </c>
      <c r="R190" s="427" t="s">
        <v>324</v>
      </c>
      <c r="S190" s="431"/>
      <c r="T190" s="427" t="s">
        <v>324</v>
      </c>
      <c r="U190" s="427" t="s">
        <v>324</v>
      </c>
      <c r="V190" s="427" t="s">
        <v>324</v>
      </c>
      <c r="W190" s="427" t="s">
        <v>324</v>
      </c>
      <c r="X190" s="427" t="s">
        <v>324</v>
      </c>
      <c r="Y190" s="427" t="s">
        <v>324</v>
      </c>
      <c r="Z190" s="427" t="s">
        <v>324</v>
      </c>
      <c r="AA190" s="427" t="s">
        <v>324</v>
      </c>
      <c r="AB190" s="431"/>
      <c r="AC190" s="433" t="s">
        <v>324</v>
      </c>
      <c r="AD190" s="431"/>
      <c r="AE190" s="427" t="s">
        <v>315</v>
      </c>
      <c r="AF190" s="427" t="s">
        <v>315</v>
      </c>
      <c r="AG190" s="427" t="s">
        <v>315</v>
      </c>
      <c r="AH190" s="453" t="s">
        <v>1146</v>
      </c>
      <c r="AI190" s="433" t="s">
        <v>1238</v>
      </c>
      <c r="AJ190" s="427" t="s">
        <v>1360</v>
      </c>
      <c r="AK190" s="427" t="s">
        <v>324</v>
      </c>
      <c r="AL190" s="427" t="s">
        <v>324</v>
      </c>
      <c r="AM190" s="427" t="s">
        <v>324</v>
      </c>
      <c r="AN190" s="427" t="s">
        <v>1335</v>
      </c>
      <c r="AO190" s="427" t="s">
        <v>324</v>
      </c>
      <c r="AP190" s="427" t="s">
        <v>324</v>
      </c>
      <c r="AQ190" s="427" t="s">
        <v>1361</v>
      </c>
      <c r="AR190" s="434" t="s">
        <v>1363</v>
      </c>
      <c r="AS190" s="435"/>
    </row>
    <row r="191">
      <c r="A191" s="240"/>
      <c r="B191" s="408"/>
      <c r="C191" s="455"/>
      <c r="D191" s="410"/>
      <c r="E191" s="421"/>
      <c r="F191" s="421"/>
      <c r="G191" s="421"/>
      <c r="H191" s="421"/>
      <c r="I191" s="422"/>
      <c r="J191" s="457"/>
      <c r="K191" s="437"/>
      <c r="L191" s="414"/>
      <c r="M191" s="427" t="s">
        <v>291</v>
      </c>
      <c r="N191" s="432" t="s">
        <v>528</v>
      </c>
      <c r="O191" s="427"/>
      <c r="P191" s="427"/>
      <c r="Q191" s="427"/>
      <c r="R191" s="427"/>
      <c r="S191" s="427" t="s">
        <v>750</v>
      </c>
      <c r="T191" s="427"/>
      <c r="U191" s="427"/>
      <c r="V191" s="427"/>
      <c r="W191" s="427"/>
      <c r="X191" s="427" t="s">
        <v>282</v>
      </c>
      <c r="Y191" s="427" t="s">
        <v>282</v>
      </c>
      <c r="Z191" s="427"/>
      <c r="AA191" s="427"/>
      <c r="AB191" s="431"/>
      <c r="AC191" s="433" t="s">
        <v>995</v>
      </c>
      <c r="AD191" s="432" t="s">
        <v>1037</v>
      </c>
      <c r="AE191" s="427"/>
      <c r="AF191" s="427"/>
      <c r="AG191" s="427"/>
      <c r="AH191" s="453"/>
      <c r="AI191" s="433" t="s">
        <v>443</v>
      </c>
      <c r="AJ191" s="427" t="s">
        <v>1257</v>
      </c>
      <c r="AK191" s="427"/>
      <c r="AL191" s="427"/>
      <c r="AM191" s="427"/>
      <c r="AN191" s="427" t="s">
        <v>1336</v>
      </c>
      <c r="AO191" s="427"/>
      <c r="AP191" s="427"/>
      <c r="AQ191" s="427" t="s">
        <v>1368</v>
      </c>
      <c r="AR191" s="434"/>
      <c r="AS191" s="435"/>
    </row>
    <row r="192">
      <c r="A192" s="240"/>
      <c r="B192" s="408"/>
      <c r="C192" s="455"/>
      <c r="D192" s="410"/>
      <c r="E192" s="421"/>
      <c r="F192" s="421"/>
      <c r="G192" s="421"/>
      <c r="H192" s="421"/>
      <c r="I192" s="422"/>
      <c r="J192" s="457"/>
      <c r="K192" s="437"/>
      <c r="L192" s="414"/>
      <c r="M192" s="427" t="s">
        <v>291</v>
      </c>
      <c r="N192" s="432" t="s">
        <v>528</v>
      </c>
      <c r="O192" s="427"/>
      <c r="P192" s="427"/>
      <c r="Q192" s="427" t="s">
        <v>315</v>
      </c>
      <c r="R192" s="427"/>
      <c r="S192" s="427"/>
      <c r="T192" s="427" t="s">
        <v>324</v>
      </c>
      <c r="U192" s="427" t="s">
        <v>324</v>
      </c>
      <c r="V192" s="427" t="s">
        <v>324</v>
      </c>
      <c r="W192" s="427" t="s">
        <v>324</v>
      </c>
      <c r="X192" s="427" t="s">
        <v>282</v>
      </c>
      <c r="Y192" s="427" t="s">
        <v>282</v>
      </c>
      <c r="Z192" s="427" t="s">
        <v>324</v>
      </c>
      <c r="AA192" s="427" t="s">
        <v>324</v>
      </c>
      <c r="AB192" s="431"/>
      <c r="AC192" s="433" t="s">
        <v>995</v>
      </c>
      <c r="AD192" s="432" t="s">
        <v>1037</v>
      </c>
      <c r="AE192" s="427" t="s">
        <v>315</v>
      </c>
      <c r="AF192" s="427" t="s">
        <v>315</v>
      </c>
      <c r="AG192" s="427" t="s">
        <v>315</v>
      </c>
      <c r="AH192" s="453" t="s">
        <v>1146</v>
      </c>
      <c r="AI192" s="433" t="s">
        <v>443</v>
      </c>
      <c r="AJ192" s="427" t="s">
        <v>1257</v>
      </c>
      <c r="AK192" s="427" t="s">
        <v>324</v>
      </c>
      <c r="AL192" s="427" t="s">
        <v>315</v>
      </c>
      <c r="AM192" s="427"/>
      <c r="AN192" s="427"/>
      <c r="AO192" s="427"/>
      <c r="AP192" s="427"/>
      <c r="AQ192" s="427"/>
      <c r="AR192" s="434"/>
      <c r="AS192" s="435"/>
    </row>
    <row r="193">
      <c r="A193" s="240"/>
      <c r="B193" s="408" t="s">
        <v>238</v>
      </c>
      <c r="C193" s="455"/>
      <c r="D193" s="410" t="s">
        <v>479</v>
      </c>
      <c r="E193" s="411">
        <v>43575.0</v>
      </c>
      <c r="F193" s="412" t="s">
        <v>280</v>
      </c>
      <c r="G193" s="411">
        <v>43581.0</v>
      </c>
      <c r="H193" s="412" t="s">
        <v>282</v>
      </c>
      <c r="I193" s="422" t="s">
        <v>1369</v>
      </c>
      <c r="J193" s="457" t="s">
        <v>167</v>
      </c>
      <c r="K193" s="475" t="s">
        <v>812</v>
      </c>
      <c r="L193" s="414" t="s">
        <v>305</v>
      </c>
      <c r="M193" s="427"/>
      <c r="N193" s="453" t="s">
        <v>1151</v>
      </c>
      <c r="P193" s="431"/>
      <c r="Q193" s="431"/>
      <c r="R193" s="493" t="s">
        <v>842</v>
      </c>
      <c r="S193" s="453" t="s">
        <v>1151</v>
      </c>
      <c r="T193" s="431"/>
      <c r="U193" s="431"/>
      <c r="V193" s="431"/>
      <c r="W193" s="431"/>
      <c r="X193" s="431"/>
      <c r="Y193" s="431"/>
      <c r="Z193" s="431"/>
      <c r="AA193" s="431"/>
      <c r="AB193" s="431"/>
      <c r="AC193" s="477"/>
      <c r="AD193" s="431"/>
      <c r="AE193" s="431"/>
      <c r="AF193" s="431"/>
      <c r="AG193" s="431"/>
      <c r="AH193" s="453" t="s">
        <v>1151</v>
      </c>
      <c r="AI193" s="433" t="s">
        <v>1370</v>
      </c>
      <c r="AJ193" s="427" t="s">
        <v>1371</v>
      </c>
      <c r="AK193" s="427" t="s">
        <v>324</v>
      </c>
      <c r="AL193" s="427" t="s">
        <v>324</v>
      </c>
      <c r="AM193" s="460" t="s">
        <v>1317</v>
      </c>
      <c r="AN193" s="427" t="s">
        <v>324</v>
      </c>
      <c r="AO193" s="427" t="s">
        <v>324</v>
      </c>
      <c r="AP193" s="427" t="s">
        <v>324</v>
      </c>
      <c r="AQ193" s="427" t="s">
        <v>1372</v>
      </c>
      <c r="AR193" s="434" t="s">
        <v>660</v>
      </c>
      <c r="AS193" s="435"/>
    </row>
    <row r="194">
      <c r="A194" s="240"/>
      <c r="B194" s="408"/>
      <c r="C194" s="455"/>
      <c r="D194" s="410"/>
      <c r="E194" s="421"/>
      <c r="F194" s="421"/>
      <c r="G194" s="421"/>
      <c r="H194" s="421"/>
      <c r="I194" s="422"/>
      <c r="J194" s="457"/>
      <c r="K194" s="437"/>
      <c r="L194" s="414"/>
      <c r="M194" s="427" t="s">
        <v>291</v>
      </c>
      <c r="N194" s="432" t="s">
        <v>470</v>
      </c>
      <c r="O194" s="494" t="s">
        <v>750</v>
      </c>
      <c r="P194" s="427" t="s">
        <v>324</v>
      </c>
      <c r="Q194" s="427" t="s">
        <v>324</v>
      </c>
      <c r="R194" s="460"/>
      <c r="S194" s="453" t="s">
        <v>1373</v>
      </c>
      <c r="T194" s="427" t="s">
        <v>324</v>
      </c>
      <c r="U194" s="427" t="s">
        <v>324</v>
      </c>
      <c r="V194" s="427" t="s">
        <v>324</v>
      </c>
      <c r="W194" s="427" t="s">
        <v>324</v>
      </c>
      <c r="X194" s="427" t="s">
        <v>282</v>
      </c>
      <c r="Y194" s="427" t="s">
        <v>282</v>
      </c>
      <c r="Z194" s="427" t="s">
        <v>324</v>
      </c>
      <c r="AA194" s="427" t="s">
        <v>324</v>
      </c>
      <c r="AB194" s="431"/>
      <c r="AC194" s="433" t="s">
        <v>324</v>
      </c>
      <c r="AD194" s="427" t="s">
        <v>504</v>
      </c>
      <c r="AE194" s="427" t="s">
        <v>315</v>
      </c>
      <c r="AF194" s="427" t="s">
        <v>315</v>
      </c>
      <c r="AG194" s="427" t="s">
        <v>315</v>
      </c>
      <c r="AH194" s="453"/>
      <c r="AI194" s="472" t="s">
        <v>1374</v>
      </c>
      <c r="AJ194" s="495" t="s">
        <v>1258</v>
      </c>
      <c r="AK194" s="496" t="s">
        <v>1300</v>
      </c>
      <c r="AL194" s="427" t="s">
        <v>315</v>
      </c>
      <c r="AM194" s="460"/>
      <c r="AN194" s="427"/>
      <c r="AO194" s="427"/>
      <c r="AP194" s="427"/>
      <c r="AQ194" s="427" t="s">
        <v>1375</v>
      </c>
      <c r="AR194" s="434"/>
      <c r="AS194" s="435"/>
    </row>
    <row r="195">
      <c r="A195" s="240"/>
      <c r="B195" s="408"/>
      <c r="C195" s="455"/>
      <c r="D195" s="410"/>
      <c r="E195" s="421"/>
      <c r="F195" s="421"/>
      <c r="G195" s="421"/>
      <c r="H195" s="421"/>
      <c r="I195" s="422"/>
      <c r="J195" s="457"/>
      <c r="K195" s="437"/>
      <c r="L195" s="414" t="s">
        <v>305</v>
      </c>
      <c r="M195" s="427" t="s">
        <v>291</v>
      </c>
      <c r="N195" s="432" t="s">
        <v>470</v>
      </c>
      <c r="O195" s="494"/>
      <c r="P195" s="427"/>
      <c r="Q195" s="427" t="s">
        <v>315</v>
      </c>
      <c r="R195" s="493" t="s">
        <v>842</v>
      </c>
      <c r="S195" s="453" t="s">
        <v>898</v>
      </c>
      <c r="T195" s="427" t="s">
        <v>324</v>
      </c>
      <c r="U195" s="427" t="s">
        <v>324</v>
      </c>
      <c r="V195" s="427" t="s">
        <v>324</v>
      </c>
      <c r="W195" s="427" t="s">
        <v>324</v>
      </c>
      <c r="X195" s="427" t="s">
        <v>282</v>
      </c>
      <c r="Y195" s="427" t="s">
        <v>282</v>
      </c>
      <c r="Z195" s="427" t="s">
        <v>324</v>
      </c>
      <c r="AA195" s="427" t="s">
        <v>324</v>
      </c>
      <c r="AB195" s="431"/>
      <c r="AC195" s="433" t="s">
        <v>324</v>
      </c>
      <c r="AD195" s="427"/>
      <c r="AE195" s="427" t="s">
        <v>315</v>
      </c>
      <c r="AF195" s="427" t="s">
        <v>315</v>
      </c>
      <c r="AG195" s="427" t="s">
        <v>315</v>
      </c>
      <c r="AH195" s="453" t="s">
        <v>1151</v>
      </c>
      <c r="AI195" s="472" t="s">
        <v>443</v>
      </c>
      <c r="AJ195" s="495" t="s">
        <v>1258</v>
      </c>
      <c r="AK195" s="496" t="s">
        <v>1300</v>
      </c>
      <c r="AL195" s="427" t="s">
        <v>315</v>
      </c>
      <c r="AM195" s="460" t="s">
        <v>1317</v>
      </c>
      <c r="AN195" s="427"/>
      <c r="AO195" s="427"/>
      <c r="AP195" s="427"/>
      <c r="AQ195" s="427" t="s">
        <v>1375</v>
      </c>
      <c r="AR195" s="434"/>
      <c r="AS195" s="435"/>
    </row>
    <row r="196">
      <c r="A196" s="240"/>
      <c r="B196" s="408" t="s">
        <v>238</v>
      </c>
      <c r="C196" s="455"/>
      <c r="D196" s="410" t="s">
        <v>479</v>
      </c>
      <c r="E196" s="411">
        <v>43575.0</v>
      </c>
      <c r="F196" s="412" t="s">
        <v>280</v>
      </c>
      <c r="G196" s="411">
        <v>43581.0</v>
      </c>
      <c r="H196" s="412" t="s">
        <v>282</v>
      </c>
      <c r="I196" s="422" t="s">
        <v>1376</v>
      </c>
      <c r="J196" s="457" t="s">
        <v>168</v>
      </c>
      <c r="K196" s="475" t="s">
        <v>770</v>
      </c>
      <c r="L196" s="414" t="s">
        <v>332</v>
      </c>
      <c r="M196" s="427" t="s">
        <v>315</v>
      </c>
      <c r="N196" s="474"/>
      <c r="O196" s="427" t="s">
        <v>750</v>
      </c>
      <c r="P196" s="427" t="s">
        <v>750</v>
      </c>
      <c r="Q196" s="427" t="s">
        <v>315</v>
      </c>
      <c r="R196" s="427" t="s">
        <v>324</v>
      </c>
      <c r="S196" s="431"/>
      <c r="T196" s="427" t="s">
        <v>324</v>
      </c>
      <c r="U196" s="427" t="s">
        <v>324</v>
      </c>
      <c r="V196" s="427" t="s">
        <v>324</v>
      </c>
      <c r="W196" s="427" t="s">
        <v>324</v>
      </c>
      <c r="X196" s="427" t="s">
        <v>324</v>
      </c>
      <c r="Y196" s="427" t="s">
        <v>324</v>
      </c>
      <c r="Z196" s="427" t="s">
        <v>324</v>
      </c>
      <c r="AA196" s="427" t="s">
        <v>324</v>
      </c>
      <c r="AB196" s="431"/>
      <c r="AC196" s="433" t="s">
        <v>324</v>
      </c>
      <c r="AD196" s="431"/>
      <c r="AE196" s="427" t="s">
        <v>315</v>
      </c>
      <c r="AF196" s="427" t="s">
        <v>315</v>
      </c>
      <c r="AG196" s="427" t="s">
        <v>315</v>
      </c>
      <c r="AH196" s="431"/>
      <c r="AI196" s="433" t="s">
        <v>1377</v>
      </c>
      <c r="AJ196" s="427" t="s">
        <v>324</v>
      </c>
      <c r="AK196" s="427" t="s">
        <v>324</v>
      </c>
      <c r="AL196" s="427" t="s">
        <v>315</v>
      </c>
      <c r="AM196" s="427" t="s">
        <v>324</v>
      </c>
      <c r="AN196" s="427" t="s">
        <v>324</v>
      </c>
      <c r="AO196" s="427" t="s">
        <v>324</v>
      </c>
      <c r="AP196" s="427" t="s">
        <v>324</v>
      </c>
      <c r="AQ196" s="427" t="s">
        <v>1378</v>
      </c>
      <c r="AR196" s="434" t="s">
        <v>703</v>
      </c>
      <c r="AS196" s="435"/>
    </row>
    <row r="197">
      <c r="A197" s="240"/>
      <c r="B197" s="408"/>
      <c r="C197" s="455"/>
      <c r="D197" s="410"/>
      <c r="E197" s="421"/>
      <c r="F197" s="421"/>
      <c r="G197" s="421"/>
      <c r="H197" s="421"/>
      <c r="I197" s="422"/>
      <c r="J197" s="457"/>
      <c r="K197" s="437"/>
      <c r="L197" s="414"/>
      <c r="M197" s="427"/>
      <c r="N197" s="497" t="s">
        <v>750</v>
      </c>
      <c r="O197" s="427"/>
      <c r="P197" s="427"/>
      <c r="Q197" s="427"/>
      <c r="R197" s="427"/>
      <c r="S197" s="427" t="s">
        <v>750</v>
      </c>
      <c r="T197" s="427"/>
      <c r="U197" s="427"/>
      <c r="V197" s="427"/>
      <c r="W197" s="427"/>
      <c r="X197" s="427"/>
      <c r="Y197" s="427"/>
      <c r="Z197" s="427"/>
      <c r="AA197" s="427"/>
      <c r="AB197" s="431"/>
      <c r="AC197" s="433"/>
      <c r="AD197" s="427" t="s">
        <v>504</v>
      </c>
      <c r="AE197" s="427"/>
      <c r="AF197" s="427"/>
      <c r="AG197" s="427"/>
      <c r="AH197" s="427" t="s">
        <v>504</v>
      </c>
      <c r="AI197" s="433" t="s">
        <v>524</v>
      </c>
      <c r="AJ197" s="427"/>
      <c r="AK197" s="427"/>
      <c r="AL197" s="427"/>
      <c r="AM197" s="427"/>
      <c r="AN197" s="427"/>
      <c r="AO197" s="427"/>
      <c r="AP197" s="427"/>
      <c r="AQ197" s="427" t="s">
        <v>1379</v>
      </c>
      <c r="AR197" s="434"/>
      <c r="AS197" s="435"/>
    </row>
    <row r="198">
      <c r="A198" s="240"/>
      <c r="B198" s="408"/>
      <c r="C198" s="455"/>
      <c r="D198" s="410"/>
      <c r="E198" s="421"/>
      <c r="F198" s="421"/>
      <c r="G198" s="421"/>
      <c r="H198" s="421"/>
      <c r="I198" s="422"/>
      <c r="J198" s="457"/>
      <c r="K198" s="437"/>
      <c r="L198" s="414" t="s">
        <v>332</v>
      </c>
      <c r="M198" s="427" t="s">
        <v>315</v>
      </c>
      <c r="N198" s="497"/>
      <c r="O198" s="427"/>
      <c r="P198" s="427"/>
      <c r="Q198" s="427" t="s">
        <v>315</v>
      </c>
      <c r="R198" s="427"/>
      <c r="S198" s="427"/>
      <c r="T198" s="427" t="s">
        <v>324</v>
      </c>
      <c r="U198" s="427" t="s">
        <v>324</v>
      </c>
      <c r="V198" s="427" t="s">
        <v>324</v>
      </c>
      <c r="W198" s="427" t="s">
        <v>324</v>
      </c>
      <c r="X198" s="427" t="s">
        <v>324</v>
      </c>
      <c r="Y198" s="427" t="s">
        <v>324</v>
      </c>
      <c r="Z198" s="427" t="s">
        <v>324</v>
      </c>
      <c r="AA198" s="427" t="s">
        <v>324</v>
      </c>
      <c r="AB198" s="431"/>
      <c r="AC198" s="427" t="s">
        <v>324</v>
      </c>
      <c r="AD198" s="427"/>
      <c r="AE198" s="427" t="s">
        <v>315</v>
      </c>
      <c r="AF198" s="427" t="s">
        <v>315</v>
      </c>
      <c r="AG198" s="427" t="s">
        <v>315</v>
      </c>
      <c r="AH198" s="427"/>
      <c r="AI198" s="433" t="s">
        <v>524</v>
      </c>
      <c r="AJ198" s="427"/>
      <c r="AK198" s="427" t="s">
        <v>324</v>
      </c>
      <c r="AL198" s="427" t="s">
        <v>315</v>
      </c>
      <c r="AM198" s="427"/>
      <c r="AN198" s="427"/>
      <c r="AO198" s="427"/>
      <c r="AP198" s="427"/>
      <c r="AQ198" s="427"/>
      <c r="AR198" s="434"/>
      <c r="AS198" s="435"/>
    </row>
    <row r="199">
      <c r="A199" s="240"/>
      <c r="B199" s="408" t="s">
        <v>238</v>
      </c>
      <c r="C199" s="455"/>
      <c r="D199" s="410" t="s">
        <v>280</v>
      </c>
      <c r="E199" s="411">
        <v>43572.0</v>
      </c>
      <c r="F199" s="412" t="s">
        <v>258</v>
      </c>
      <c r="G199" s="411">
        <v>43581.0</v>
      </c>
      <c r="H199" s="412" t="s">
        <v>282</v>
      </c>
      <c r="I199" s="422" t="s">
        <v>1380</v>
      </c>
      <c r="J199" s="457" t="s">
        <v>169</v>
      </c>
      <c r="K199" s="475" t="s">
        <v>519</v>
      </c>
      <c r="L199" s="414" t="s">
        <v>305</v>
      </c>
      <c r="M199" s="427" t="s">
        <v>393</v>
      </c>
      <c r="N199" s="453" t="s">
        <v>532</v>
      </c>
      <c r="O199" s="427" t="s">
        <v>750</v>
      </c>
      <c r="P199" s="486" t="s">
        <v>780</v>
      </c>
      <c r="Q199" s="427" t="s">
        <v>315</v>
      </c>
      <c r="R199" s="427" t="s">
        <v>748</v>
      </c>
      <c r="S199" s="486" t="s">
        <v>749</v>
      </c>
      <c r="T199" s="427" t="s">
        <v>282</v>
      </c>
      <c r="U199" s="427" t="s">
        <v>282</v>
      </c>
      <c r="V199" s="427" t="s">
        <v>282</v>
      </c>
      <c r="W199" s="427" t="s">
        <v>282</v>
      </c>
      <c r="X199" s="427" t="s">
        <v>282</v>
      </c>
      <c r="Y199" s="427" t="s">
        <v>282</v>
      </c>
      <c r="Z199" s="427" t="s">
        <v>282</v>
      </c>
      <c r="AA199" s="427" t="s">
        <v>282</v>
      </c>
      <c r="AB199" s="427" t="s">
        <v>971</v>
      </c>
      <c r="AC199" s="433" t="s">
        <v>798</v>
      </c>
      <c r="AD199" s="486" t="s">
        <v>559</v>
      </c>
      <c r="AE199" s="427" t="s">
        <v>315</v>
      </c>
      <c r="AF199" s="427" t="s">
        <v>315</v>
      </c>
      <c r="AG199" s="427" t="s">
        <v>315</v>
      </c>
      <c r="AH199" s="486" t="s">
        <v>752</v>
      </c>
      <c r="AI199" s="433" t="s">
        <v>1161</v>
      </c>
      <c r="AJ199" s="427" t="s">
        <v>324</v>
      </c>
      <c r="AK199" s="427" t="s">
        <v>324</v>
      </c>
      <c r="AL199" s="427" t="s">
        <v>315</v>
      </c>
      <c r="AM199" s="427" t="s">
        <v>324</v>
      </c>
      <c r="AN199" s="427" t="s">
        <v>754</v>
      </c>
      <c r="AO199" s="427" t="s">
        <v>324</v>
      </c>
      <c r="AP199" s="427" t="s">
        <v>324</v>
      </c>
      <c r="AQ199" s="427" t="s">
        <v>1381</v>
      </c>
      <c r="AR199" s="434" t="s">
        <v>703</v>
      </c>
      <c r="AS199" s="435"/>
    </row>
    <row r="200">
      <c r="A200" s="240"/>
      <c r="B200" s="408"/>
      <c r="C200" s="455"/>
      <c r="D200" s="410"/>
      <c r="E200" s="421"/>
      <c r="F200" s="421"/>
      <c r="G200" s="421"/>
      <c r="H200" s="421"/>
      <c r="I200" s="422"/>
      <c r="J200" s="437"/>
      <c r="K200" s="427"/>
      <c r="L200" s="498"/>
      <c r="M200" s="427"/>
      <c r="N200" s="453"/>
      <c r="O200" s="427"/>
      <c r="P200" s="427"/>
      <c r="Q200" s="427"/>
      <c r="R200" s="427"/>
      <c r="S200" s="427"/>
      <c r="T200" s="427"/>
      <c r="U200" s="427"/>
      <c r="V200" s="427"/>
      <c r="W200" s="427"/>
      <c r="X200" s="427"/>
      <c r="Y200" s="427"/>
      <c r="Z200" s="427"/>
      <c r="AA200" s="427"/>
      <c r="AB200" s="427"/>
      <c r="AC200" s="433"/>
      <c r="AD200" s="427"/>
      <c r="AE200" s="427"/>
      <c r="AF200" s="427"/>
      <c r="AG200" s="427"/>
      <c r="AH200" s="432" t="s">
        <v>1152</v>
      </c>
      <c r="AI200" s="433" t="s">
        <v>1241</v>
      </c>
      <c r="AJ200" s="427" t="s">
        <v>1259</v>
      </c>
      <c r="AK200" s="427"/>
      <c r="AL200" s="427" t="s">
        <v>315</v>
      </c>
      <c r="AM200" s="427" t="s">
        <v>324</v>
      </c>
      <c r="AN200" s="427" t="s">
        <v>324</v>
      </c>
      <c r="AO200" s="427"/>
      <c r="AP200" s="427"/>
      <c r="AQ200" s="427"/>
      <c r="AR200" s="434"/>
      <c r="AS200" s="435"/>
    </row>
    <row r="201">
      <c r="A201" s="391"/>
      <c r="B201" s="392"/>
      <c r="C201" s="478"/>
      <c r="D201" s="394"/>
      <c r="E201" s="479"/>
      <c r="F201" s="479"/>
      <c r="G201" s="479"/>
      <c r="H201" s="479"/>
      <c r="I201" s="396"/>
      <c r="J201" s="482"/>
      <c r="K201" s="482"/>
      <c r="L201" s="483" t="s">
        <v>305</v>
      </c>
      <c r="M201" s="400" t="s">
        <v>393</v>
      </c>
      <c r="N201" s="492" t="s">
        <v>532</v>
      </c>
      <c r="O201" s="400" t="s">
        <v>750</v>
      </c>
      <c r="P201" s="402" t="s">
        <v>780</v>
      </c>
      <c r="Q201" s="400" t="s">
        <v>315</v>
      </c>
      <c r="R201" s="400" t="s">
        <v>748</v>
      </c>
      <c r="S201" s="402" t="s">
        <v>749</v>
      </c>
      <c r="T201" s="400" t="s">
        <v>282</v>
      </c>
      <c r="U201" s="400" t="s">
        <v>282</v>
      </c>
      <c r="V201" s="400" t="s">
        <v>282</v>
      </c>
      <c r="W201" s="400" t="s">
        <v>282</v>
      </c>
      <c r="X201" s="400" t="s">
        <v>282</v>
      </c>
      <c r="Y201" s="400" t="s">
        <v>282</v>
      </c>
      <c r="Z201" s="400" t="s">
        <v>282</v>
      </c>
      <c r="AA201" s="400" t="s">
        <v>282</v>
      </c>
      <c r="AB201" s="400" t="s">
        <v>971</v>
      </c>
      <c r="AC201" s="405" t="s">
        <v>798</v>
      </c>
      <c r="AD201" s="402" t="s">
        <v>559</v>
      </c>
      <c r="AE201" s="400" t="s">
        <v>315</v>
      </c>
      <c r="AF201" s="400" t="s">
        <v>315</v>
      </c>
      <c r="AG201" s="400" t="s">
        <v>315</v>
      </c>
      <c r="AH201" s="484" t="s">
        <v>1152</v>
      </c>
      <c r="AI201" s="404" t="s">
        <v>609</v>
      </c>
      <c r="AJ201" s="400" t="s">
        <v>1259</v>
      </c>
      <c r="AK201" s="400" t="s">
        <v>324</v>
      </c>
      <c r="AL201" s="400" t="s">
        <v>315</v>
      </c>
      <c r="AM201" s="400"/>
      <c r="AN201" s="400"/>
      <c r="AO201" s="400"/>
      <c r="AP201" s="400"/>
      <c r="AQ201" s="400" t="s">
        <v>1381</v>
      </c>
      <c r="AR201" s="406"/>
      <c r="AS201" s="407"/>
    </row>
    <row r="202">
      <c r="A202" s="383"/>
      <c r="B202" s="408" t="s">
        <v>238</v>
      </c>
      <c r="C202" s="409">
        <v>43441.0</v>
      </c>
      <c r="D202" s="410" t="s">
        <v>280</v>
      </c>
      <c r="E202" s="411">
        <v>43572.0</v>
      </c>
      <c r="F202" s="412" t="s">
        <v>258</v>
      </c>
      <c r="G202" s="411">
        <v>43581.0</v>
      </c>
      <c r="H202" s="412" t="s">
        <v>282</v>
      </c>
      <c r="I202" s="422" t="s">
        <v>1382</v>
      </c>
      <c r="J202" s="499" t="s">
        <v>170</v>
      </c>
      <c r="K202" s="475" t="s">
        <v>812</v>
      </c>
      <c r="L202" s="498" t="s">
        <v>333</v>
      </c>
      <c r="M202" s="427" t="s">
        <v>291</v>
      </c>
      <c r="N202" s="486" t="s">
        <v>533</v>
      </c>
      <c r="P202" s="431"/>
      <c r="Q202" s="427" t="s">
        <v>315</v>
      </c>
      <c r="R202" s="500" t="s">
        <v>843</v>
      </c>
      <c r="S202" s="486" t="s">
        <v>533</v>
      </c>
      <c r="T202" s="427" t="s">
        <v>282</v>
      </c>
      <c r="U202" s="427" t="s">
        <v>324</v>
      </c>
      <c r="V202" s="427" t="s">
        <v>324</v>
      </c>
      <c r="W202" s="427" t="s">
        <v>282</v>
      </c>
      <c r="X202" s="427" t="s">
        <v>324</v>
      </c>
      <c r="Y202" s="427" t="s">
        <v>329</v>
      </c>
      <c r="Z202" s="427" t="s">
        <v>282</v>
      </c>
      <c r="AA202" s="427" t="s">
        <v>324</v>
      </c>
      <c r="AB202" s="433" t="s">
        <v>972</v>
      </c>
      <c r="AC202" s="433" t="s">
        <v>324</v>
      </c>
      <c r="AD202" s="431"/>
      <c r="AE202" s="427" t="s">
        <v>315</v>
      </c>
      <c r="AF202" s="427" t="s">
        <v>315</v>
      </c>
      <c r="AG202" s="427" t="s">
        <v>315</v>
      </c>
      <c r="AH202" s="486" t="s">
        <v>1153</v>
      </c>
      <c r="AI202" s="433" t="s">
        <v>523</v>
      </c>
      <c r="AJ202" s="427" t="s">
        <v>324</v>
      </c>
      <c r="AK202" s="427" t="s">
        <v>324</v>
      </c>
      <c r="AL202" s="427" t="s">
        <v>282</v>
      </c>
      <c r="AM202" s="427" t="s">
        <v>1318</v>
      </c>
      <c r="AN202" s="427" t="s">
        <v>324</v>
      </c>
      <c r="AO202" s="427" t="s">
        <v>1383</v>
      </c>
      <c r="AP202" s="427" t="s">
        <v>324</v>
      </c>
      <c r="AQ202" s="427" t="s">
        <v>1384</v>
      </c>
      <c r="AR202" s="434" t="s">
        <v>435</v>
      </c>
      <c r="AS202" s="435"/>
    </row>
    <row r="203">
      <c r="A203" s="383"/>
      <c r="B203" s="408"/>
      <c r="C203" s="409"/>
      <c r="D203" s="410"/>
      <c r="E203" s="421"/>
      <c r="F203" s="421"/>
      <c r="G203" s="421"/>
      <c r="H203" s="421"/>
      <c r="I203" s="422"/>
      <c r="J203" s="499"/>
      <c r="K203" s="501"/>
      <c r="L203" s="498"/>
      <c r="M203" s="427"/>
      <c r="N203" s="427"/>
      <c r="O203" s="427"/>
      <c r="P203" s="431"/>
      <c r="Q203" s="427"/>
      <c r="R203" s="500"/>
      <c r="S203" s="427"/>
      <c r="T203" s="427"/>
      <c r="U203" s="427"/>
      <c r="V203" s="427"/>
      <c r="W203" s="427"/>
      <c r="X203" s="427"/>
      <c r="Y203" s="427" t="s">
        <v>327</v>
      </c>
      <c r="Z203" s="427"/>
      <c r="AA203" s="427"/>
      <c r="AB203" s="433"/>
      <c r="AC203" s="433"/>
      <c r="AD203" s="431"/>
      <c r="AE203" s="427"/>
      <c r="AF203" s="427"/>
      <c r="AG203" s="427"/>
      <c r="AH203" s="427"/>
      <c r="AI203" s="433"/>
      <c r="AJ203" s="427"/>
      <c r="AK203" s="427"/>
      <c r="AL203" s="427"/>
      <c r="AM203" s="427"/>
      <c r="AN203" s="427"/>
      <c r="AO203" s="427"/>
      <c r="AP203" s="427"/>
      <c r="AQ203" s="427"/>
      <c r="AR203" s="434"/>
      <c r="AS203" s="435"/>
    </row>
    <row r="204">
      <c r="A204" s="388"/>
      <c r="B204" s="392"/>
      <c r="C204" s="393"/>
      <c r="D204" s="394"/>
      <c r="E204" s="479"/>
      <c r="F204" s="479"/>
      <c r="G204" s="479"/>
      <c r="H204" s="479"/>
      <c r="I204" s="396"/>
      <c r="J204" s="502"/>
      <c r="K204" s="503"/>
      <c r="L204" s="399" t="s">
        <v>333</v>
      </c>
      <c r="M204" s="400" t="s">
        <v>291</v>
      </c>
      <c r="N204" s="402" t="s">
        <v>533</v>
      </c>
      <c r="O204" s="400"/>
      <c r="P204" s="403"/>
      <c r="Q204" s="400" t="s">
        <v>315</v>
      </c>
      <c r="R204" s="504" t="s">
        <v>843</v>
      </c>
      <c r="S204" s="402" t="s">
        <v>533</v>
      </c>
      <c r="T204" s="400" t="s">
        <v>282</v>
      </c>
      <c r="U204" s="400" t="s">
        <v>324</v>
      </c>
      <c r="V204" s="400" t="s">
        <v>324</v>
      </c>
      <c r="W204" s="400" t="s">
        <v>282</v>
      </c>
      <c r="X204" s="400" t="s">
        <v>324</v>
      </c>
      <c r="Y204" s="400" t="s">
        <v>327</v>
      </c>
      <c r="Z204" s="400" t="s">
        <v>282</v>
      </c>
      <c r="AA204" s="400" t="s">
        <v>324</v>
      </c>
      <c r="AB204" s="405" t="s">
        <v>972</v>
      </c>
      <c r="AC204" s="405"/>
      <c r="AD204" s="403"/>
      <c r="AE204" s="400" t="s">
        <v>315</v>
      </c>
      <c r="AF204" s="400" t="s">
        <v>315</v>
      </c>
      <c r="AG204" s="400" t="s">
        <v>315</v>
      </c>
      <c r="AH204" s="402" t="s">
        <v>1153</v>
      </c>
      <c r="AI204" s="405" t="s">
        <v>464</v>
      </c>
      <c r="AJ204" s="400"/>
      <c r="AK204" s="400" t="s">
        <v>324</v>
      </c>
      <c r="AL204" s="400" t="s">
        <v>282</v>
      </c>
      <c r="AM204" s="400" t="s">
        <v>1318</v>
      </c>
      <c r="AN204" s="400"/>
      <c r="AO204" s="400"/>
      <c r="AP204" s="400"/>
      <c r="AQ204" s="400" t="s">
        <v>1384</v>
      </c>
      <c r="AR204" s="406"/>
      <c r="AS204" s="407"/>
    </row>
    <row r="205">
      <c r="A205" s="383"/>
      <c r="B205" s="408" t="s">
        <v>238</v>
      </c>
      <c r="C205" s="409">
        <v>43441.0</v>
      </c>
      <c r="D205" s="410" t="s">
        <v>280</v>
      </c>
      <c r="E205" s="411">
        <v>43572.0</v>
      </c>
      <c r="F205" s="412" t="s">
        <v>258</v>
      </c>
      <c r="G205" s="411">
        <v>43581.0</v>
      </c>
      <c r="H205" s="412" t="s">
        <v>282</v>
      </c>
      <c r="I205" s="422" t="s">
        <v>1385</v>
      </c>
      <c r="J205" s="499" t="s">
        <v>171</v>
      </c>
      <c r="K205" s="501"/>
      <c r="L205" s="498" t="s">
        <v>334</v>
      </c>
      <c r="M205" s="427" t="s">
        <v>315</v>
      </c>
      <c r="N205" s="486" t="s">
        <v>534</v>
      </c>
      <c r="P205" s="431"/>
      <c r="Q205" s="431"/>
      <c r="R205" s="433" t="s">
        <v>844</v>
      </c>
      <c r="S205" s="486" t="s">
        <v>899</v>
      </c>
      <c r="T205" s="427" t="s">
        <v>324</v>
      </c>
      <c r="U205" s="427" t="s">
        <v>324</v>
      </c>
      <c r="V205" s="427" t="s">
        <v>324</v>
      </c>
      <c r="W205" s="427" t="s">
        <v>324</v>
      </c>
      <c r="X205" s="427" t="s">
        <v>324</v>
      </c>
      <c r="Y205" s="427" t="s">
        <v>324</v>
      </c>
      <c r="Z205" s="427" t="s">
        <v>324</v>
      </c>
      <c r="AA205" s="427" t="s">
        <v>324</v>
      </c>
      <c r="AB205" s="431"/>
      <c r="AC205" s="433" t="s">
        <v>324</v>
      </c>
      <c r="AD205" s="431"/>
      <c r="AE205" s="427" t="s">
        <v>315</v>
      </c>
      <c r="AF205" s="427" t="s">
        <v>315</v>
      </c>
      <c r="AG205" s="427" t="s">
        <v>315</v>
      </c>
      <c r="AH205" s="486" t="s">
        <v>761</v>
      </c>
      <c r="AI205" s="433" t="s">
        <v>621</v>
      </c>
      <c r="AJ205" s="427" t="s">
        <v>1386</v>
      </c>
      <c r="AK205" s="427" t="s">
        <v>324</v>
      </c>
      <c r="AL205" s="427" t="s">
        <v>315</v>
      </c>
      <c r="AM205" s="427" t="s">
        <v>324</v>
      </c>
      <c r="AN205" s="427" t="s">
        <v>754</v>
      </c>
      <c r="AO205" s="427" t="s">
        <v>324</v>
      </c>
      <c r="AP205" s="427" t="s">
        <v>324</v>
      </c>
      <c r="AQ205" s="427" t="s">
        <v>1387</v>
      </c>
      <c r="AR205" s="434" t="s">
        <v>1100</v>
      </c>
      <c r="AS205" s="435"/>
    </row>
    <row r="206" ht="16.5" customHeight="1">
      <c r="A206" s="383"/>
      <c r="B206" s="408"/>
      <c r="C206" s="409"/>
      <c r="D206" s="410"/>
      <c r="E206" s="421"/>
      <c r="F206" s="421"/>
      <c r="G206" s="421"/>
      <c r="H206" s="421"/>
      <c r="I206" s="422"/>
      <c r="J206" s="499"/>
      <c r="K206" s="501"/>
      <c r="L206" s="498"/>
      <c r="M206" s="427"/>
      <c r="N206" s="427"/>
      <c r="O206" s="427"/>
      <c r="P206" s="431"/>
      <c r="Q206" s="427" t="s">
        <v>315</v>
      </c>
      <c r="R206" s="433"/>
      <c r="S206" s="427"/>
      <c r="T206" s="427"/>
      <c r="U206" s="427"/>
      <c r="V206" s="427"/>
      <c r="W206" s="427"/>
      <c r="X206" s="427"/>
      <c r="Y206" s="427"/>
      <c r="Z206" s="427"/>
      <c r="AA206" s="427"/>
      <c r="AB206" s="431"/>
      <c r="AC206" s="433"/>
      <c r="AD206" s="431"/>
      <c r="AE206" s="427"/>
      <c r="AF206" s="427"/>
      <c r="AG206" s="427"/>
      <c r="AH206" s="432" t="s">
        <v>1388</v>
      </c>
      <c r="AI206" s="433" t="s">
        <v>315</v>
      </c>
      <c r="AJ206" s="427" t="s">
        <v>1260</v>
      </c>
      <c r="AK206" s="427"/>
      <c r="AL206" s="427"/>
      <c r="AM206" s="427"/>
      <c r="AN206" s="427" t="s">
        <v>324</v>
      </c>
      <c r="AO206" s="427"/>
      <c r="AP206" s="427"/>
      <c r="AQ206" s="427"/>
      <c r="AR206" s="434"/>
      <c r="AS206" s="435"/>
    </row>
    <row r="207" ht="18.75" customHeight="1">
      <c r="A207" s="388"/>
      <c r="B207" s="392"/>
      <c r="C207" s="393"/>
      <c r="D207" s="394"/>
      <c r="E207" s="479"/>
      <c r="F207" s="479"/>
      <c r="G207" s="479"/>
      <c r="H207" s="479"/>
      <c r="I207" s="396"/>
      <c r="J207" s="502"/>
      <c r="K207" s="503"/>
      <c r="L207" s="399" t="s">
        <v>334</v>
      </c>
      <c r="M207" s="400" t="s">
        <v>315</v>
      </c>
      <c r="N207" s="402" t="s">
        <v>534</v>
      </c>
      <c r="O207" s="400"/>
      <c r="P207" s="403"/>
      <c r="Q207" s="400" t="s">
        <v>315</v>
      </c>
      <c r="R207" s="405" t="s">
        <v>844</v>
      </c>
      <c r="S207" s="402" t="s">
        <v>899</v>
      </c>
      <c r="T207" s="400" t="s">
        <v>324</v>
      </c>
      <c r="U207" s="400" t="s">
        <v>324</v>
      </c>
      <c r="V207" s="400" t="s">
        <v>324</v>
      </c>
      <c r="W207" s="400" t="s">
        <v>324</v>
      </c>
      <c r="X207" s="400" t="s">
        <v>324</v>
      </c>
      <c r="Y207" s="400" t="s">
        <v>324</v>
      </c>
      <c r="Z207" s="400" t="s">
        <v>324</v>
      </c>
      <c r="AA207" s="400" t="s">
        <v>324</v>
      </c>
      <c r="AB207" s="403"/>
      <c r="AC207" s="405"/>
      <c r="AD207" s="403"/>
      <c r="AE207" s="400" t="s">
        <v>315</v>
      </c>
      <c r="AF207" s="400" t="s">
        <v>315</v>
      </c>
      <c r="AG207" s="400" t="s">
        <v>315</v>
      </c>
      <c r="AH207" s="402" t="s">
        <v>761</v>
      </c>
      <c r="AI207" s="405" t="s">
        <v>315</v>
      </c>
      <c r="AJ207" s="400" t="s">
        <v>1260</v>
      </c>
      <c r="AK207" s="400" t="s">
        <v>324</v>
      </c>
      <c r="AL207" s="400" t="s">
        <v>315</v>
      </c>
      <c r="AM207" s="400"/>
      <c r="AN207" s="400"/>
      <c r="AO207" s="400"/>
      <c r="AP207" s="400"/>
      <c r="AQ207" s="400" t="s">
        <v>1387</v>
      </c>
      <c r="AR207" s="406"/>
      <c r="AS207" s="407"/>
    </row>
    <row r="208">
      <c r="A208" s="383"/>
      <c r="B208" s="408" t="s">
        <v>238</v>
      </c>
      <c r="C208" s="409">
        <v>43441.0</v>
      </c>
      <c r="D208" s="410" t="s">
        <v>280</v>
      </c>
      <c r="E208" s="411">
        <v>43572.0</v>
      </c>
      <c r="F208" s="412" t="s">
        <v>258</v>
      </c>
      <c r="G208" s="411">
        <v>43581.0</v>
      </c>
      <c r="H208" s="412" t="s">
        <v>282</v>
      </c>
      <c r="I208" s="422" t="s">
        <v>1389</v>
      </c>
      <c r="J208" s="499" t="s">
        <v>172</v>
      </c>
      <c r="K208" s="475" t="s">
        <v>519</v>
      </c>
      <c r="L208" s="498" t="s">
        <v>305</v>
      </c>
      <c r="M208" s="427" t="s">
        <v>393</v>
      </c>
      <c r="N208" s="486" t="s">
        <v>535</v>
      </c>
      <c r="P208" s="486" t="s">
        <v>780</v>
      </c>
      <c r="R208" s="427" t="s">
        <v>748</v>
      </c>
      <c r="S208" s="486" t="s">
        <v>749</v>
      </c>
      <c r="T208" s="427" t="s">
        <v>282</v>
      </c>
      <c r="U208" s="427" t="s">
        <v>282</v>
      </c>
      <c r="V208" s="427" t="s">
        <v>282</v>
      </c>
      <c r="W208" s="427" t="s">
        <v>282</v>
      </c>
      <c r="X208" s="427" t="s">
        <v>282</v>
      </c>
      <c r="Y208" s="427" t="s">
        <v>282</v>
      </c>
      <c r="Z208" s="427" t="s">
        <v>282</v>
      </c>
      <c r="AA208" s="427" t="s">
        <v>282</v>
      </c>
      <c r="AB208" s="427" t="s">
        <v>971</v>
      </c>
      <c r="AC208" s="433" t="s">
        <v>798</v>
      </c>
      <c r="AD208" s="486" t="s">
        <v>559</v>
      </c>
      <c r="AE208" s="427" t="s">
        <v>315</v>
      </c>
      <c r="AF208" s="427" t="s">
        <v>315</v>
      </c>
      <c r="AG208" s="427" t="s">
        <v>315</v>
      </c>
      <c r="AH208" s="486" t="s">
        <v>752</v>
      </c>
      <c r="AI208" s="433" t="s">
        <v>1161</v>
      </c>
      <c r="AJ208" s="427" t="s">
        <v>324</v>
      </c>
      <c r="AK208" s="427" t="s">
        <v>324</v>
      </c>
      <c r="AL208" s="427" t="s">
        <v>315</v>
      </c>
      <c r="AM208" s="427" t="s">
        <v>324</v>
      </c>
      <c r="AN208" s="427" t="s">
        <v>754</v>
      </c>
      <c r="AO208" s="427" t="s">
        <v>324</v>
      </c>
      <c r="AP208" s="427" t="s">
        <v>324</v>
      </c>
      <c r="AQ208" s="427" t="s">
        <v>1390</v>
      </c>
      <c r="AR208" s="434" t="s">
        <v>703</v>
      </c>
      <c r="AS208" s="446" t="s">
        <v>1391</v>
      </c>
    </row>
    <row r="209">
      <c r="A209" s="383"/>
      <c r="B209" s="408"/>
      <c r="C209" s="409"/>
      <c r="D209" s="410"/>
      <c r="E209" s="421"/>
      <c r="F209" s="421"/>
      <c r="G209" s="421"/>
      <c r="H209" s="421"/>
      <c r="I209" s="422"/>
      <c r="J209" s="499"/>
      <c r="K209" s="501"/>
      <c r="L209" s="498"/>
      <c r="M209" s="427"/>
      <c r="N209" s="427"/>
      <c r="O209" s="427"/>
      <c r="P209" s="427"/>
      <c r="Q209" s="427"/>
      <c r="R209" s="427"/>
      <c r="S209" s="427"/>
      <c r="T209" s="427"/>
      <c r="U209" s="427"/>
      <c r="V209" s="427"/>
      <c r="W209" s="427"/>
      <c r="X209" s="427"/>
      <c r="Y209" s="427"/>
      <c r="Z209" s="427"/>
      <c r="AA209" s="427"/>
      <c r="AB209" s="427"/>
      <c r="AC209" s="433"/>
      <c r="AD209" s="427"/>
      <c r="AE209" s="427"/>
      <c r="AF209" s="427"/>
      <c r="AG209" s="427"/>
      <c r="AH209" s="486" t="s">
        <v>761</v>
      </c>
      <c r="AI209" s="433" t="s">
        <v>524</v>
      </c>
      <c r="AJ209" s="427"/>
      <c r="AK209" s="427"/>
      <c r="AL209" s="427"/>
      <c r="AM209" s="427"/>
      <c r="AN209" s="427" t="s">
        <v>324</v>
      </c>
      <c r="AO209" s="427"/>
      <c r="AP209" s="427"/>
      <c r="AQ209" s="427"/>
      <c r="AR209" s="434"/>
      <c r="AS209" s="435"/>
    </row>
    <row r="210">
      <c r="A210" s="388"/>
      <c r="B210" s="392"/>
      <c r="C210" s="393"/>
      <c r="D210" s="394"/>
      <c r="E210" s="479"/>
      <c r="F210" s="479"/>
      <c r="G210" s="479"/>
      <c r="H210" s="479"/>
      <c r="I210" s="396"/>
      <c r="J210" s="502"/>
      <c r="K210" s="503"/>
      <c r="L210" s="399" t="s">
        <v>305</v>
      </c>
      <c r="M210" s="400" t="s">
        <v>393</v>
      </c>
      <c r="N210" s="402" t="s">
        <v>535</v>
      </c>
      <c r="O210" s="400"/>
      <c r="P210" s="402" t="s">
        <v>780</v>
      </c>
      <c r="Q210" s="400" t="s">
        <v>315</v>
      </c>
      <c r="R210" s="400" t="s">
        <v>748</v>
      </c>
      <c r="S210" s="402" t="s">
        <v>749</v>
      </c>
      <c r="T210" s="400" t="s">
        <v>282</v>
      </c>
      <c r="U210" s="400" t="s">
        <v>282</v>
      </c>
      <c r="V210" s="400" t="s">
        <v>282</v>
      </c>
      <c r="W210" s="400" t="s">
        <v>282</v>
      </c>
      <c r="X210" s="400" t="s">
        <v>282</v>
      </c>
      <c r="Y210" s="400" t="s">
        <v>282</v>
      </c>
      <c r="Z210" s="400" t="s">
        <v>282</v>
      </c>
      <c r="AA210" s="400" t="s">
        <v>282</v>
      </c>
      <c r="AB210" s="400" t="s">
        <v>971</v>
      </c>
      <c r="AC210" s="405" t="s">
        <v>798</v>
      </c>
      <c r="AD210" s="402" t="s">
        <v>559</v>
      </c>
      <c r="AE210" s="400" t="s">
        <v>315</v>
      </c>
      <c r="AF210" s="400" t="s">
        <v>315</v>
      </c>
      <c r="AG210" s="400" t="s">
        <v>315</v>
      </c>
      <c r="AH210" s="402" t="s">
        <v>761</v>
      </c>
      <c r="AI210" s="405" t="s">
        <v>524</v>
      </c>
      <c r="AJ210" s="400"/>
      <c r="AK210" s="400" t="s">
        <v>324</v>
      </c>
      <c r="AL210" s="400" t="s">
        <v>315</v>
      </c>
      <c r="AM210" s="400"/>
      <c r="AN210" s="400"/>
      <c r="AO210" s="400"/>
      <c r="AP210" s="400"/>
      <c r="AQ210" s="400" t="s">
        <v>1390</v>
      </c>
      <c r="AR210" s="406" t="s">
        <v>703</v>
      </c>
      <c r="AS210" s="407"/>
    </row>
    <row r="211">
      <c r="A211" s="383"/>
      <c r="B211" s="408" t="s">
        <v>238</v>
      </c>
      <c r="C211" s="409">
        <v>43441.0</v>
      </c>
      <c r="D211" s="410" t="s">
        <v>626</v>
      </c>
      <c r="E211" s="505">
        <v>43571.0</v>
      </c>
      <c r="F211" s="412" t="s">
        <v>258</v>
      </c>
      <c r="G211" s="411">
        <v>43581.0</v>
      </c>
      <c r="H211" s="412" t="s">
        <v>282</v>
      </c>
      <c r="I211" s="422" t="s">
        <v>1392</v>
      </c>
      <c r="J211" s="499" t="s">
        <v>173</v>
      </c>
      <c r="K211" s="501" t="s">
        <v>1393</v>
      </c>
      <c r="L211" s="498" t="s">
        <v>335</v>
      </c>
      <c r="M211" s="427" t="s">
        <v>393</v>
      </c>
      <c r="N211" s="486" t="s">
        <v>536</v>
      </c>
      <c r="P211" s="486" t="s">
        <v>536</v>
      </c>
      <c r="Q211" s="427" t="s">
        <v>369</v>
      </c>
      <c r="R211" s="427" t="s">
        <v>324</v>
      </c>
      <c r="S211" s="431"/>
      <c r="T211" s="427" t="s">
        <v>282</v>
      </c>
      <c r="U211" s="427" t="s">
        <v>324</v>
      </c>
      <c r="V211" s="427" t="s">
        <v>324</v>
      </c>
      <c r="W211" s="427" t="s">
        <v>324</v>
      </c>
      <c r="X211" s="427" t="s">
        <v>329</v>
      </c>
      <c r="Y211" s="427" t="s">
        <v>324</v>
      </c>
      <c r="Z211" s="427" t="s">
        <v>324</v>
      </c>
      <c r="AA211" s="427" t="s">
        <v>324</v>
      </c>
      <c r="AB211" s="431"/>
      <c r="AC211" s="433" t="s">
        <v>324</v>
      </c>
      <c r="AD211" s="431"/>
      <c r="AE211" s="427" t="s">
        <v>315</v>
      </c>
      <c r="AF211" s="427" t="s">
        <v>315</v>
      </c>
      <c r="AG211" s="427" t="s">
        <v>315</v>
      </c>
      <c r="AH211" s="431"/>
      <c r="AI211" s="433" t="s">
        <v>524</v>
      </c>
      <c r="AJ211" s="427" t="s">
        <v>324</v>
      </c>
      <c r="AK211" s="427" t="s">
        <v>324</v>
      </c>
      <c r="AL211" s="427" t="s">
        <v>315</v>
      </c>
      <c r="AM211" s="427" t="s">
        <v>324</v>
      </c>
      <c r="AN211" s="427" t="s">
        <v>324</v>
      </c>
      <c r="AO211" s="427" t="s">
        <v>324</v>
      </c>
      <c r="AP211" s="427" t="s">
        <v>324</v>
      </c>
      <c r="AQ211" s="427" t="s">
        <v>1394</v>
      </c>
      <c r="AR211" s="434" t="s">
        <v>703</v>
      </c>
      <c r="AS211" s="435"/>
    </row>
    <row r="212">
      <c r="A212" s="383"/>
      <c r="B212" s="408"/>
      <c r="C212" s="409"/>
      <c r="D212" s="410"/>
      <c r="E212" s="421"/>
      <c r="F212" s="421"/>
      <c r="G212" s="421"/>
      <c r="H212" s="421"/>
      <c r="I212" s="422"/>
      <c r="J212" s="499"/>
      <c r="K212" s="501"/>
      <c r="L212" s="498"/>
      <c r="M212" s="427"/>
      <c r="N212" s="427"/>
      <c r="O212" s="427"/>
      <c r="P212" s="427"/>
      <c r="Q212" s="427"/>
      <c r="R212" s="427"/>
      <c r="S212" s="431"/>
      <c r="T212" s="427" t="s">
        <v>315</v>
      </c>
      <c r="U212" s="427"/>
      <c r="V212" s="427"/>
      <c r="W212" s="427"/>
      <c r="X212" s="427" t="s">
        <v>1395</v>
      </c>
      <c r="Y212" s="427"/>
      <c r="Z212" s="427"/>
      <c r="AA212" s="427"/>
      <c r="AB212" s="431"/>
      <c r="AC212" s="433"/>
      <c r="AD212" s="431"/>
      <c r="AE212" s="427"/>
      <c r="AF212" s="427"/>
      <c r="AG212" s="427"/>
      <c r="AH212" s="431"/>
      <c r="AI212" s="433"/>
      <c r="AJ212" s="427"/>
      <c r="AK212" s="427"/>
      <c r="AL212" s="427"/>
      <c r="AM212" s="427"/>
      <c r="AN212" s="427"/>
      <c r="AO212" s="427"/>
      <c r="AP212" s="427"/>
      <c r="AQ212" s="427"/>
      <c r="AR212" s="434" t="s">
        <v>1038</v>
      </c>
      <c r="AS212" s="435"/>
    </row>
    <row r="213">
      <c r="A213" s="388"/>
      <c r="B213" s="392"/>
      <c r="C213" s="393"/>
      <c r="D213" s="394"/>
      <c r="E213" s="479"/>
      <c r="F213" s="479"/>
      <c r="G213" s="479"/>
      <c r="H213" s="479"/>
      <c r="I213" s="396"/>
      <c r="J213" s="502"/>
      <c r="K213" s="503"/>
      <c r="L213" s="399" t="s">
        <v>335</v>
      </c>
      <c r="M213" s="400" t="s">
        <v>393</v>
      </c>
      <c r="N213" s="402" t="s">
        <v>536</v>
      </c>
      <c r="O213" s="400"/>
      <c r="P213" s="402" t="s">
        <v>536</v>
      </c>
      <c r="Q213" s="400" t="s">
        <v>369</v>
      </c>
      <c r="R213" s="400"/>
      <c r="S213" s="403"/>
      <c r="T213" s="400" t="s">
        <v>324</v>
      </c>
      <c r="U213" s="400" t="s">
        <v>324</v>
      </c>
      <c r="V213" s="400" t="s">
        <v>324</v>
      </c>
      <c r="W213" s="400" t="s">
        <v>324</v>
      </c>
      <c r="X213" s="400" t="s">
        <v>324</v>
      </c>
      <c r="Y213" s="400" t="s">
        <v>324</v>
      </c>
      <c r="Z213" s="400" t="s">
        <v>324</v>
      </c>
      <c r="AA213" s="400" t="s">
        <v>324</v>
      </c>
      <c r="AB213" s="403"/>
      <c r="AC213" s="405"/>
      <c r="AD213" s="403"/>
      <c r="AE213" s="400" t="s">
        <v>315</v>
      </c>
      <c r="AF213" s="400" t="s">
        <v>315</v>
      </c>
      <c r="AG213" s="400" t="s">
        <v>315</v>
      </c>
      <c r="AH213" s="403"/>
      <c r="AI213" s="405" t="s">
        <v>524</v>
      </c>
      <c r="AJ213" s="400" t="s">
        <v>324</v>
      </c>
      <c r="AK213" s="400" t="s">
        <v>324</v>
      </c>
      <c r="AL213" s="400" t="s">
        <v>315</v>
      </c>
      <c r="AM213" s="400"/>
      <c r="AN213" s="400"/>
      <c r="AO213" s="400"/>
      <c r="AP213" s="400"/>
      <c r="AQ213" s="400" t="s">
        <v>1394</v>
      </c>
      <c r="AR213" s="406" t="s">
        <v>703</v>
      </c>
      <c r="AS213" s="407"/>
    </row>
    <row r="214">
      <c r="A214" s="240"/>
      <c r="B214" s="408" t="s">
        <v>238</v>
      </c>
      <c r="C214" s="409">
        <v>43438.0</v>
      </c>
      <c r="D214" s="410" t="s">
        <v>626</v>
      </c>
      <c r="E214" s="505">
        <v>43571.0</v>
      </c>
      <c r="F214" s="412" t="s">
        <v>258</v>
      </c>
      <c r="G214" s="411">
        <v>43581.0</v>
      </c>
      <c r="H214" s="412" t="s">
        <v>282</v>
      </c>
      <c r="I214" s="422" t="s">
        <v>1396</v>
      </c>
      <c r="J214" s="506" t="s">
        <v>174</v>
      </c>
      <c r="K214" s="507" t="s">
        <v>519</v>
      </c>
      <c r="L214" s="498" t="s">
        <v>305</v>
      </c>
      <c r="M214" s="427" t="s">
        <v>393</v>
      </c>
      <c r="N214" s="486" t="s">
        <v>537</v>
      </c>
      <c r="P214" s="486" t="s">
        <v>747</v>
      </c>
      <c r="Q214" s="427" t="s">
        <v>282</v>
      </c>
      <c r="R214" s="427" t="s">
        <v>748</v>
      </c>
      <c r="S214" s="486" t="s">
        <v>749</v>
      </c>
      <c r="T214" s="427" t="s">
        <v>282</v>
      </c>
      <c r="U214" s="427" t="s">
        <v>282</v>
      </c>
      <c r="V214" s="427" t="s">
        <v>282</v>
      </c>
      <c r="W214" s="427" t="s">
        <v>282</v>
      </c>
      <c r="X214" s="427" t="s">
        <v>282</v>
      </c>
      <c r="Y214" s="427" t="s">
        <v>282</v>
      </c>
      <c r="Z214" s="427" t="s">
        <v>282</v>
      </c>
      <c r="AA214" s="427" t="s">
        <v>282</v>
      </c>
      <c r="AB214" s="431"/>
      <c r="AC214" s="433" t="s">
        <v>798</v>
      </c>
      <c r="AD214" s="486" t="s">
        <v>559</v>
      </c>
      <c r="AE214" s="427" t="s">
        <v>315</v>
      </c>
      <c r="AF214" s="427" t="s">
        <v>315</v>
      </c>
      <c r="AG214" s="427" t="s">
        <v>315</v>
      </c>
      <c r="AH214" s="486" t="s">
        <v>752</v>
      </c>
      <c r="AI214" s="433" t="s">
        <v>1161</v>
      </c>
      <c r="AJ214" s="427" t="s">
        <v>324</v>
      </c>
      <c r="AK214" s="427" t="s">
        <v>324</v>
      </c>
      <c r="AL214" s="427" t="s">
        <v>315</v>
      </c>
      <c r="AM214" s="427" t="s">
        <v>324</v>
      </c>
      <c r="AN214" s="427" t="s">
        <v>754</v>
      </c>
      <c r="AO214" s="427" t="s">
        <v>324</v>
      </c>
      <c r="AP214" s="427" t="s">
        <v>324</v>
      </c>
      <c r="AQ214" s="427" t="s">
        <v>1397</v>
      </c>
      <c r="AR214" s="434" t="s">
        <v>703</v>
      </c>
      <c r="AS214" s="435"/>
    </row>
    <row r="215">
      <c r="A215" s="240"/>
      <c r="B215" s="408"/>
      <c r="C215" s="409"/>
      <c r="D215" s="410"/>
      <c r="E215" s="421"/>
      <c r="F215" s="421"/>
      <c r="G215" s="421"/>
      <c r="H215" s="421"/>
      <c r="I215" s="422"/>
      <c r="J215" s="506"/>
      <c r="K215" s="507"/>
      <c r="L215" s="498"/>
      <c r="M215" s="427"/>
      <c r="N215" s="427"/>
      <c r="O215" s="427"/>
      <c r="P215" s="427"/>
      <c r="Q215" s="427" t="s">
        <v>1398</v>
      </c>
      <c r="R215" s="427"/>
      <c r="S215" s="427"/>
      <c r="T215" s="427" t="s">
        <v>315</v>
      </c>
      <c r="U215" s="427" t="s">
        <v>315</v>
      </c>
      <c r="V215" s="427" t="s">
        <v>315</v>
      </c>
      <c r="W215" s="427" t="s">
        <v>315</v>
      </c>
      <c r="X215" s="427" t="s">
        <v>324</v>
      </c>
      <c r="Y215" s="427" t="s">
        <v>324</v>
      </c>
      <c r="Z215" s="427" t="s">
        <v>324</v>
      </c>
      <c r="AA215" s="427" t="s">
        <v>315</v>
      </c>
      <c r="AB215" s="431"/>
      <c r="AC215" s="433"/>
      <c r="AD215" s="427"/>
      <c r="AE215" s="427"/>
      <c r="AF215" s="427"/>
      <c r="AG215" s="427"/>
      <c r="AH215" s="432" t="s">
        <v>761</v>
      </c>
      <c r="AI215" s="508" t="s">
        <v>810</v>
      </c>
      <c r="AJ215" s="427"/>
      <c r="AK215" s="427"/>
      <c r="AL215" s="427"/>
      <c r="AM215" s="427"/>
      <c r="AN215" s="427" t="s">
        <v>1399</v>
      </c>
      <c r="AO215" s="427"/>
      <c r="AP215" s="427"/>
      <c r="AQ215" s="427"/>
      <c r="AR215" s="434" t="s">
        <v>1038</v>
      </c>
      <c r="AS215" s="435"/>
    </row>
    <row r="216">
      <c r="A216" s="391"/>
      <c r="B216" s="392"/>
      <c r="C216" s="393"/>
      <c r="D216" s="394"/>
      <c r="E216" s="479"/>
      <c r="F216" s="479"/>
      <c r="G216" s="479"/>
      <c r="H216" s="479"/>
      <c r="I216" s="396"/>
      <c r="J216" s="397"/>
      <c r="K216" s="398"/>
      <c r="L216" s="399" t="s">
        <v>305</v>
      </c>
      <c r="M216" s="400" t="s">
        <v>393</v>
      </c>
      <c r="N216" s="402" t="s">
        <v>537</v>
      </c>
      <c r="O216" s="400"/>
      <c r="P216" s="402" t="s">
        <v>747</v>
      </c>
      <c r="Q216" s="400" t="s">
        <v>369</v>
      </c>
      <c r="R216" s="400" t="s">
        <v>748</v>
      </c>
      <c r="S216" s="402" t="s">
        <v>749</v>
      </c>
      <c r="T216" s="400" t="s">
        <v>324</v>
      </c>
      <c r="U216" s="400" t="s">
        <v>324</v>
      </c>
      <c r="V216" s="400" t="s">
        <v>324</v>
      </c>
      <c r="W216" s="400" t="s">
        <v>324</v>
      </c>
      <c r="X216" s="400" t="s">
        <v>324</v>
      </c>
      <c r="Y216" s="400" t="s">
        <v>324</v>
      </c>
      <c r="Z216" s="400" t="s">
        <v>324</v>
      </c>
      <c r="AA216" s="400" t="s">
        <v>324</v>
      </c>
      <c r="AB216" s="403"/>
      <c r="AC216" s="405" t="s">
        <v>798</v>
      </c>
      <c r="AD216" s="402" t="s">
        <v>559</v>
      </c>
      <c r="AE216" s="400" t="s">
        <v>315</v>
      </c>
      <c r="AF216" s="400" t="s">
        <v>315</v>
      </c>
      <c r="AG216" s="400" t="s">
        <v>315</v>
      </c>
      <c r="AH216" s="484" t="s">
        <v>761</v>
      </c>
      <c r="AI216" s="509" t="s">
        <v>315</v>
      </c>
      <c r="AJ216" s="509" t="s">
        <v>810</v>
      </c>
      <c r="AK216" s="400" t="s">
        <v>324</v>
      </c>
      <c r="AL216" s="400" t="s">
        <v>315</v>
      </c>
      <c r="AM216" s="400"/>
      <c r="AN216" s="400"/>
      <c r="AO216" s="400"/>
      <c r="AP216" s="400"/>
      <c r="AQ216" s="400" t="s">
        <v>1397</v>
      </c>
      <c r="AR216" s="406" t="s">
        <v>703</v>
      </c>
      <c r="AS216" s="407"/>
    </row>
    <row r="217">
      <c r="A217" s="240"/>
      <c r="B217" s="408" t="s">
        <v>238</v>
      </c>
      <c r="C217" s="409">
        <v>43438.0</v>
      </c>
      <c r="D217" s="410" t="s">
        <v>626</v>
      </c>
      <c r="E217" s="505">
        <v>43571.0</v>
      </c>
      <c r="F217" s="412" t="s">
        <v>258</v>
      </c>
      <c r="G217" s="411">
        <v>43581.0</v>
      </c>
      <c r="H217" s="412" t="s">
        <v>282</v>
      </c>
      <c r="I217" s="422" t="s">
        <v>1400</v>
      </c>
      <c r="J217" s="506" t="s">
        <v>175</v>
      </c>
      <c r="K217" s="507"/>
      <c r="L217" s="498" t="s">
        <v>305</v>
      </c>
      <c r="M217" s="427" t="s">
        <v>291</v>
      </c>
      <c r="N217" s="486" t="s">
        <v>541</v>
      </c>
      <c r="P217" s="486" t="s">
        <v>780</v>
      </c>
      <c r="Q217" s="427" t="s">
        <v>315</v>
      </c>
      <c r="R217" s="427" t="s">
        <v>748</v>
      </c>
      <c r="S217" s="486" t="s">
        <v>749</v>
      </c>
      <c r="T217" s="427" t="s">
        <v>282</v>
      </c>
      <c r="U217" s="427" t="s">
        <v>282</v>
      </c>
      <c r="V217" s="427" t="s">
        <v>282</v>
      </c>
      <c r="W217" s="427" t="s">
        <v>282</v>
      </c>
      <c r="X217" s="427" t="s">
        <v>282</v>
      </c>
      <c r="Y217" s="427" t="s">
        <v>282</v>
      </c>
      <c r="Z217" s="427" t="s">
        <v>282</v>
      </c>
      <c r="AA217" s="427" t="s">
        <v>282</v>
      </c>
      <c r="AB217" s="431"/>
      <c r="AC217" s="433" t="s">
        <v>798</v>
      </c>
      <c r="AD217" s="486" t="s">
        <v>559</v>
      </c>
      <c r="AE217" s="427" t="s">
        <v>315</v>
      </c>
      <c r="AF217" s="427" t="s">
        <v>315</v>
      </c>
      <c r="AG217" s="427" t="s">
        <v>315</v>
      </c>
      <c r="AH217" s="486" t="s">
        <v>752</v>
      </c>
      <c r="AI217" s="433" t="s">
        <v>1161</v>
      </c>
      <c r="AJ217" s="427" t="s">
        <v>324</v>
      </c>
      <c r="AK217" s="427" t="s">
        <v>324</v>
      </c>
      <c r="AL217" s="427" t="s">
        <v>315</v>
      </c>
      <c r="AM217" s="427" t="s">
        <v>324</v>
      </c>
      <c r="AN217" s="427" t="s">
        <v>754</v>
      </c>
      <c r="AO217" s="427" t="s">
        <v>324</v>
      </c>
      <c r="AP217" s="427" t="s">
        <v>324</v>
      </c>
      <c r="AQ217" s="427" t="s">
        <v>1401</v>
      </c>
      <c r="AR217" s="434" t="s">
        <v>1069</v>
      </c>
      <c r="AS217" s="435"/>
    </row>
    <row r="218">
      <c r="A218" s="240"/>
      <c r="B218" s="408"/>
      <c r="C218" s="409"/>
      <c r="D218" s="410"/>
      <c r="E218" s="421"/>
      <c r="F218" s="421"/>
      <c r="G218" s="421"/>
      <c r="H218" s="421"/>
      <c r="I218" s="422"/>
      <c r="J218" s="506"/>
      <c r="K218" s="507"/>
      <c r="L218" s="498"/>
      <c r="M218" s="427"/>
      <c r="N218" s="427"/>
      <c r="O218" s="427"/>
      <c r="P218" s="427"/>
      <c r="Q218" s="427" t="s">
        <v>1402</v>
      </c>
      <c r="R218" s="427"/>
      <c r="S218" s="427"/>
      <c r="T218" s="427" t="s">
        <v>1403</v>
      </c>
      <c r="U218" s="427" t="s">
        <v>1403</v>
      </c>
      <c r="V218" s="427" t="s">
        <v>1403</v>
      </c>
      <c r="W218" s="427" t="s">
        <v>1403</v>
      </c>
      <c r="X218" s="427" t="s">
        <v>1403</v>
      </c>
      <c r="Y218" s="427" t="s">
        <v>1403</v>
      </c>
      <c r="Z218" s="427" t="s">
        <v>1403</v>
      </c>
      <c r="AA218" s="427" t="s">
        <v>1403</v>
      </c>
      <c r="AB218" s="431"/>
      <c r="AC218" s="433"/>
      <c r="AD218" s="427"/>
      <c r="AE218" s="427"/>
      <c r="AF218" s="427"/>
      <c r="AG218" s="427"/>
      <c r="AH218" s="432" t="s">
        <v>761</v>
      </c>
      <c r="AI218" s="508" t="s">
        <v>810</v>
      </c>
      <c r="AJ218" s="427"/>
      <c r="AK218" s="427"/>
      <c r="AL218" s="427"/>
      <c r="AM218" s="427"/>
      <c r="AN218" s="427" t="s">
        <v>1399</v>
      </c>
      <c r="AO218" s="427"/>
      <c r="AP218" s="427"/>
      <c r="AQ218" s="427"/>
      <c r="AR218" s="434" t="s">
        <v>703</v>
      </c>
      <c r="AS218" s="435"/>
    </row>
    <row r="219">
      <c r="A219" s="391"/>
      <c r="B219" s="392"/>
      <c r="C219" s="393"/>
      <c r="D219" s="394"/>
      <c r="E219" s="479"/>
      <c r="F219" s="479"/>
      <c r="G219" s="479"/>
      <c r="H219" s="479"/>
      <c r="I219" s="396"/>
      <c r="J219" s="397"/>
      <c r="K219" s="398"/>
      <c r="L219" s="399" t="s">
        <v>305</v>
      </c>
      <c r="M219" s="400" t="s">
        <v>291</v>
      </c>
      <c r="N219" s="402" t="s">
        <v>541</v>
      </c>
      <c r="O219" s="400"/>
      <c r="P219" s="402" t="s">
        <v>780</v>
      </c>
      <c r="Q219" s="400" t="s">
        <v>369</v>
      </c>
      <c r="R219" s="400" t="s">
        <v>748</v>
      </c>
      <c r="S219" s="402" t="s">
        <v>749</v>
      </c>
      <c r="T219" s="400" t="s">
        <v>324</v>
      </c>
      <c r="U219" s="400" t="s">
        <v>324</v>
      </c>
      <c r="V219" s="400" t="s">
        <v>324</v>
      </c>
      <c r="W219" s="400" t="s">
        <v>324</v>
      </c>
      <c r="X219" s="400" t="s">
        <v>324</v>
      </c>
      <c r="Y219" s="400" t="s">
        <v>324</v>
      </c>
      <c r="Z219" s="400" t="s">
        <v>324</v>
      </c>
      <c r="AA219" s="400" t="s">
        <v>324</v>
      </c>
      <c r="AB219" s="400"/>
      <c r="AC219" s="405" t="s">
        <v>798</v>
      </c>
      <c r="AD219" s="402" t="s">
        <v>559</v>
      </c>
      <c r="AE219" s="400" t="s">
        <v>315</v>
      </c>
      <c r="AF219" s="400" t="s">
        <v>315</v>
      </c>
      <c r="AG219" s="400" t="s">
        <v>315</v>
      </c>
      <c r="AH219" s="484" t="s">
        <v>761</v>
      </c>
      <c r="AI219" s="509" t="s">
        <v>810</v>
      </c>
      <c r="AJ219" s="400"/>
      <c r="AK219" s="400" t="s">
        <v>324</v>
      </c>
      <c r="AL219" s="400" t="s">
        <v>315</v>
      </c>
      <c r="AM219" s="400"/>
      <c r="AN219" s="400"/>
      <c r="AO219" s="400"/>
      <c r="AP219" s="400"/>
      <c r="AQ219" s="400" t="s">
        <v>1401</v>
      </c>
      <c r="AR219" s="406" t="s">
        <v>1069</v>
      </c>
      <c r="AS219" s="407"/>
    </row>
    <row r="220">
      <c r="A220" s="240"/>
      <c r="B220" s="408" t="s">
        <v>238</v>
      </c>
      <c r="C220" s="409">
        <v>43438.0</v>
      </c>
      <c r="D220" s="410" t="s">
        <v>626</v>
      </c>
      <c r="E220" s="505">
        <v>43571.0</v>
      </c>
      <c r="F220" s="412" t="s">
        <v>258</v>
      </c>
      <c r="G220" s="411">
        <v>43581.0</v>
      </c>
      <c r="H220" s="412" t="s">
        <v>282</v>
      </c>
      <c r="I220" s="422" t="s">
        <v>1404</v>
      </c>
      <c r="J220" s="506" t="s">
        <v>176</v>
      </c>
      <c r="K220" s="507" t="s">
        <v>812</v>
      </c>
      <c r="L220" s="498" t="s">
        <v>336</v>
      </c>
      <c r="M220" s="427" t="s">
        <v>291</v>
      </c>
      <c r="N220" s="486" t="s">
        <v>544</v>
      </c>
      <c r="P220" s="486" t="s">
        <v>787</v>
      </c>
      <c r="Q220" s="427" t="s">
        <v>282</v>
      </c>
      <c r="R220" s="427" t="s">
        <v>324</v>
      </c>
      <c r="S220" s="431"/>
      <c r="T220" s="427" t="s">
        <v>282</v>
      </c>
      <c r="U220" s="427" t="s">
        <v>282</v>
      </c>
      <c r="V220" s="427" t="s">
        <v>282</v>
      </c>
      <c r="W220" s="427" t="s">
        <v>282</v>
      </c>
      <c r="X220" s="427" t="s">
        <v>282</v>
      </c>
      <c r="Y220" s="427" t="s">
        <v>282</v>
      </c>
      <c r="Z220" s="427" t="s">
        <v>282</v>
      </c>
      <c r="AA220" s="427" t="s">
        <v>282</v>
      </c>
      <c r="AB220" s="431"/>
      <c r="AC220" s="433" t="s">
        <v>324</v>
      </c>
      <c r="AD220" s="431"/>
      <c r="AE220" s="427" t="s">
        <v>315</v>
      </c>
      <c r="AF220" s="427" t="s">
        <v>315</v>
      </c>
      <c r="AG220" s="427" t="s">
        <v>315</v>
      </c>
      <c r="AH220" s="486" t="s">
        <v>1155</v>
      </c>
      <c r="AI220" s="427" t="s">
        <v>1147</v>
      </c>
      <c r="AJ220" s="427" t="s">
        <v>1261</v>
      </c>
      <c r="AK220" s="427" t="s">
        <v>324</v>
      </c>
      <c r="AL220" s="427" t="s">
        <v>282</v>
      </c>
      <c r="AM220" s="427" t="s">
        <v>324</v>
      </c>
      <c r="AN220" s="427" t="s">
        <v>498</v>
      </c>
      <c r="AO220" s="427" t="s">
        <v>324</v>
      </c>
      <c r="AP220" s="427" t="s">
        <v>324</v>
      </c>
      <c r="AQ220" s="427" t="s">
        <v>1405</v>
      </c>
      <c r="AR220" s="434" t="s">
        <v>703</v>
      </c>
      <c r="AS220" s="435"/>
    </row>
    <row r="221">
      <c r="A221" s="240"/>
      <c r="B221" s="408"/>
      <c r="C221" s="409"/>
      <c r="D221" s="410"/>
      <c r="E221" s="421"/>
      <c r="F221" s="421"/>
      <c r="G221" s="421"/>
      <c r="H221" s="421"/>
      <c r="I221" s="422"/>
      <c r="J221" s="506"/>
      <c r="K221" s="507"/>
      <c r="L221" s="498"/>
      <c r="M221" s="427"/>
      <c r="N221" s="427"/>
      <c r="O221" s="427"/>
      <c r="P221" s="427"/>
      <c r="Q221" s="427"/>
      <c r="R221" s="427"/>
      <c r="S221" s="431"/>
      <c r="T221" s="427"/>
      <c r="U221" s="427"/>
      <c r="V221" s="427"/>
      <c r="W221" s="427"/>
      <c r="X221" s="427"/>
      <c r="Y221" s="427"/>
      <c r="Z221" s="427"/>
      <c r="AA221" s="427"/>
      <c r="AB221" s="431"/>
      <c r="AC221" s="433"/>
      <c r="AD221" s="431"/>
      <c r="AE221" s="427"/>
      <c r="AF221" s="427"/>
      <c r="AG221" s="427"/>
      <c r="AH221" s="427"/>
      <c r="AI221" s="472" t="s">
        <v>443</v>
      </c>
      <c r="AJ221" s="427"/>
      <c r="AK221" s="427"/>
      <c r="AL221" s="427" t="s">
        <v>315</v>
      </c>
      <c r="AM221" s="427"/>
      <c r="AN221" s="427" t="s">
        <v>1406</v>
      </c>
      <c r="AO221" s="427"/>
      <c r="AP221" s="427"/>
      <c r="AQ221" s="427" t="s">
        <v>1407</v>
      </c>
      <c r="AR221" s="434" t="s">
        <v>1038</v>
      </c>
      <c r="AS221" s="435"/>
    </row>
    <row r="222">
      <c r="A222" s="391"/>
      <c r="B222" s="392"/>
      <c r="C222" s="393"/>
      <c r="D222" s="394"/>
      <c r="E222" s="479"/>
      <c r="F222" s="479"/>
      <c r="G222" s="479"/>
      <c r="H222" s="479"/>
      <c r="I222" s="396"/>
      <c r="J222" s="397"/>
      <c r="K222" s="398"/>
      <c r="L222" s="399" t="s">
        <v>336</v>
      </c>
      <c r="M222" s="400" t="s">
        <v>291</v>
      </c>
      <c r="N222" s="402" t="s">
        <v>544</v>
      </c>
      <c r="O222" s="400"/>
      <c r="P222" s="402" t="s">
        <v>787</v>
      </c>
      <c r="Q222" s="400" t="s">
        <v>282</v>
      </c>
      <c r="R222" s="400"/>
      <c r="S222" s="403"/>
      <c r="T222" s="400" t="s">
        <v>324</v>
      </c>
      <c r="U222" s="400" t="s">
        <v>324</v>
      </c>
      <c r="V222" s="400" t="s">
        <v>324</v>
      </c>
      <c r="W222" s="400" t="s">
        <v>324</v>
      </c>
      <c r="X222" s="400" t="s">
        <v>324</v>
      </c>
      <c r="Y222" s="400" t="s">
        <v>324</v>
      </c>
      <c r="Z222" s="400" t="s">
        <v>324</v>
      </c>
      <c r="AA222" s="400" t="s">
        <v>324</v>
      </c>
      <c r="AB222" s="403"/>
      <c r="AC222" s="405"/>
      <c r="AD222" s="403"/>
      <c r="AE222" s="400" t="s">
        <v>315</v>
      </c>
      <c r="AF222" s="400" t="s">
        <v>315</v>
      </c>
      <c r="AG222" s="400" t="s">
        <v>315</v>
      </c>
      <c r="AH222" s="402" t="s">
        <v>1155</v>
      </c>
      <c r="AI222" s="404" t="s">
        <v>443</v>
      </c>
      <c r="AJ222" s="400" t="s">
        <v>1261</v>
      </c>
      <c r="AK222" s="400" t="s">
        <v>324</v>
      </c>
      <c r="AL222" s="400" t="s">
        <v>315</v>
      </c>
      <c r="AM222" s="400"/>
      <c r="AN222" s="400"/>
      <c r="AO222" s="400"/>
      <c r="AP222" s="400"/>
      <c r="AQ222" s="400" t="s">
        <v>1408</v>
      </c>
      <c r="AR222" s="406" t="s">
        <v>703</v>
      </c>
      <c r="AS222" s="407"/>
    </row>
    <row r="223">
      <c r="A223" s="240"/>
      <c r="B223" s="408" t="s">
        <v>238</v>
      </c>
      <c r="C223" s="409">
        <v>43438.0</v>
      </c>
      <c r="D223" s="410" t="s">
        <v>258</v>
      </c>
      <c r="E223" s="411">
        <v>43575.0</v>
      </c>
      <c r="F223" s="412" t="s">
        <v>280</v>
      </c>
      <c r="G223" s="411">
        <v>43581.0</v>
      </c>
      <c r="H223" s="412" t="s">
        <v>282</v>
      </c>
      <c r="I223" s="413" t="s">
        <v>1409</v>
      </c>
      <c r="J223" s="414" t="s">
        <v>177</v>
      </c>
      <c r="K223" s="475" t="s">
        <v>770</v>
      </c>
      <c r="L223" s="498" t="s">
        <v>344</v>
      </c>
      <c r="M223" s="427" t="s">
        <v>393</v>
      </c>
      <c r="N223" s="486" t="s">
        <v>1410</v>
      </c>
      <c r="P223" s="431"/>
      <c r="Q223" s="427" t="s">
        <v>315</v>
      </c>
      <c r="R223" s="427" t="s">
        <v>1411</v>
      </c>
      <c r="S223" s="486" t="s">
        <v>1412</v>
      </c>
      <c r="T223" s="427" t="s">
        <v>324</v>
      </c>
      <c r="U223" s="427" t="s">
        <v>324</v>
      </c>
      <c r="V223" s="427" t="s">
        <v>324</v>
      </c>
      <c r="W223" s="427" t="s">
        <v>324</v>
      </c>
      <c r="X223" s="427" t="s">
        <v>324</v>
      </c>
      <c r="Y223" s="427" t="s">
        <v>324</v>
      </c>
      <c r="Z223" s="427" t="s">
        <v>324</v>
      </c>
      <c r="AA223" s="427" t="s">
        <v>324</v>
      </c>
      <c r="AB223" s="431"/>
      <c r="AC223" s="427" t="s">
        <v>324</v>
      </c>
      <c r="AD223" s="431"/>
      <c r="AE223" s="427" t="s">
        <v>315</v>
      </c>
      <c r="AF223" s="427" t="s">
        <v>315</v>
      </c>
      <c r="AG223" s="427" t="s">
        <v>315</v>
      </c>
      <c r="AH223" s="431"/>
      <c r="AI223" s="427" t="s">
        <v>324</v>
      </c>
      <c r="AJ223" s="427" t="s">
        <v>324</v>
      </c>
      <c r="AK223" s="427" t="s">
        <v>324</v>
      </c>
      <c r="AL223" s="427" t="s">
        <v>282</v>
      </c>
      <c r="AM223" s="427" t="s">
        <v>324</v>
      </c>
      <c r="AN223" s="427" t="s">
        <v>324</v>
      </c>
      <c r="AO223" s="427" t="s">
        <v>324</v>
      </c>
      <c r="AP223" s="427" t="s">
        <v>324</v>
      </c>
      <c r="AQ223" s="427" t="s">
        <v>1413</v>
      </c>
      <c r="AR223" s="434" t="s">
        <v>639</v>
      </c>
      <c r="AS223" s="435"/>
    </row>
    <row r="224">
      <c r="A224" s="240"/>
      <c r="B224" s="408"/>
      <c r="C224" s="409"/>
      <c r="D224" s="410"/>
      <c r="E224" s="421"/>
      <c r="F224" s="421"/>
      <c r="G224" s="421"/>
      <c r="H224" s="421"/>
      <c r="I224" s="422"/>
      <c r="J224" s="506"/>
      <c r="K224" s="507"/>
      <c r="L224" s="498" t="s">
        <v>337</v>
      </c>
      <c r="M224" s="427" t="s">
        <v>315</v>
      </c>
      <c r="N224" s="432" t="s">
        <v>548</v>
      </c>
      <c r="O224" s="427"/>
      <c r="P224" s="431"/>
      <c r="Q224" s="427"/>
      <c r="R224" s="433"/>
      <c r="S224" s="427"/>
      <c r="T224" s="427" t="s">
        <v>282</v>
      </c>
      <c r="U224" s="427" t="s">
        <v>282</v>
      </c>
      <c r="V224" s="427" t="s">
        <v>282</v>
      </c>
      <c r="W224" s="427" t="s">
        <v>282</v>
      </c>
      <c r="X224" s="427" t="s">
        <v>282</v>
      </c>
      <c r="Y224" s="427"/>
      <c r="Z224" s="427"/>
      <c r="AA224" s="427"/>
      <c r="AB224" s="431"/>
      <c r="AC224" s="427"/>
      <c r="AD224" s="431"/>
      <c r="AE224" s="427"/>
      <c r="AF224" s="427"/>
      <c r="AG224" s="427"/>
      <c r="AH224" s="432" t="s">
        <v>1156</v>
      </c>
      <c r="AI224" s="472" t="s">
        <v>443</v>
      </c>
      <c r="AJ224" s="427" t="s">
        <v>1414</v>
      </c>
      <c r="AK224" s="427"/>
      <c r="AL224" s="427" t="s">
        <v>324</v>
      </c>
      <c r="AM224" s="427"/>
      <c r="AN224" s="427"/>
      <c r="AO224" s="427"/>
      <c r="AP224" s="427"/>
      <c r="AQ224" s="427" t="s">
        <v>1415</v>
      </c>
      <c r="AR224" s="434"/>
      <c r="AS224" s="435"/>
    </row>
    <row r="225">
      <c r="A225" s="240"/>
      <c r="B225" s="408"/>
      <c r="C225" s="409"/>
      <c r="D225" s="410"/>
      <c r="E225" s="421"/>
      <c r="F225" s="421"/>
      <c r="G225" s="421"/>
      <c r="H225" s="412" t="s">
        <v>1416</v>
      </c>
      <c r="I225" s="422"/>
      <c r="J225" s="506"/>
      <c r="K225" s="507"/>
      <c r="L225" s="498" t="s">
        <v>337</v>
      </c>
      <c r="M225" s="427" t="s">
        <v>315</v>
      </c>
      <c r="N225" s="432" t="s">
        <v>548</v>
      </c>
      <c r="O225" s="427"/>
      <c r="P225" s="431"/>
      <c r="Q225" s="427" t="s">
        <v>315</v>
      </c>
      <c r="R225" s="433"/>
      <c r="S225" s="427"/>
      <c r="T225" s="427" t="s">
        <v>324</v>
      </c>
      <c r="U225" s="427" t="s">
        <v>324</v>
      </c>
      <c r="V225" s="427" t="s">
        <v>324</v>
      </c>
      <c r="W225" s="427" t="s">
        <v>324</v>
      </c>
      <c r="X225" s="427" t="s">
        <v>324</v>
      </c>
      <c r="Y225" s="427" t="s">
        <v>324</v>
      </c>
      <c r="Z225" s="427" t="s">
        <v>324</v>
      </c>
      <c r="AA225" s="427" t="s">
        <v>324</v>
      </c>
      <c r="AB225" s="431"/>
      <c r="AC225" s="427" t="s">
        <v>324</v>
      </c>
      <c r="AD225" s="431"/>
      <c r="AE225" s="427" t="s">
        <v>315</v>
      </c>
      <c r="AF225" s="427" t="s">
        <v>315</v>
      </c>
      <c r="AG225" s="427" t="s">
        <v>315</v>
      </c>
      <c r="AH225" s="432" t="s">
        <v>1156</v>
      </c>
      <c r="AI225" s="472" t="s">
        <v>443</v>
      </c>
      <c r="AJ225" s="427"/>
      <c r="AK225" s="400" t="s">
        <v>324</v>
      </c>
      <c r="AL225" s="427"/>
      <c r="AM225" s="427"/>
      <c r="AN225" s="427"/>
      <c r="AO225" s="427"/>
      <c r="AP225" s="427"/>
      <c r="AQ225" s="427"/>
      <c r="AR225" s="434"/>
      <c r="AS225" s="435"/>
    </row>
    <row r="226">
      <c r="A226" s="94"/>
      <c r="B226" s="408" t="s">
        <v>626</v>
      </c>
      <c r="C226" s="409">
        <v>43475.0</v>
      </c>
      <c r="D226" s="410" t="s">
        <v>258</v>
      </c>
      <c r="E226" s="411">
        <v>43575.0</v>
      </c>
      <c r="F226" s="412" t="s">
        <v>280</v>
      </c>
      <c r="G226" s="411">
        <v>43581.0</v>
      </c>
      <c r="H226" s="412" t="s">
        <v>282</v>
      </c>
      <c r="I226" s="510" t="s">
        <v>1417</v>
      </c>
      <c r="J226" s="506" t="s">
        <v>178</v>
      </c>
      <c r="K226" s="475" t="s">
        <v>789</v>
      </c>
      <c r="L226" s="498" t="s">
        <v>1418</v>
      </c>
      <c r="M226" s="427" t="s">
        <v>291</v>
      </c>
      <c r="N226" s="511" t="s">
        <v>553</v>
      </c>
      <c r="P226" s="512"/>
      <c r="Q226" s="513" t="s">
        <v>315</v>
      </c>
      <c r="R226" s="427" t="s">
        <v>845</v>
      </c>
      <c r="S226" s="432" t="s">
        <v>901</v>
      </c>
      <c r="T226" s="427" t="s">
        <v>282</v>
      </c>
      <c r="U226" s="427" t="s">
        <v>282</v>
      </c>
      <c r="V226" s="427" t="s">
        <v>282</v>
      </c>
      <c r="W226" s="427" t="s">
        <v>282</v>
      </c>
      <c r="X226" s="427" t="s">
        <v>282</v>
      </c>
      <c r="Y226" s="427" t="s">
        <v>327</v>
      </c>
      <c r="Z226" s="427" t="s">
        <v>324</v>
      </c>
      <c r="AA226" s="427" t="s">
        <v>324</v>
      </c>
      <c r="AB226" s="427" t="s">
        <v>1419</v>
      </c>
      <c r="AC226" s="514" t="s">
        <v>996</v>
      </c>
      <c r="AD226" s="431"/>
      <c r="AE226" s="427" t="s">
        <v>282</v>
      </c>
      <c r="AF226" s="427" t="s">
        <v>315</v>
      </c>
      <c r="AG226" s="427" t="s">
        <v>315</v>
      </c>
      <c r="AH226" s="486" t="s">
        <v>1157</v>
      </c>
      <c r="AI226" s="427" t="s">
        <v>621</v>
      </c>
      <c r="AJ226" s="427" t="s">
        <v>1420</v>
      </c>
      <c r="AK226" s="515" t="s">
        <v>315</v>
      </c>
      <c r="AL226" s="427" t="s">
        <v>315</v>
      </c>
      <c r="AM226" s="516" t="s">
        <v>315</v>
      </c>
      <c r="AN226" s="516" t="s">
        <v>315</v>
      </c>
      <c r="AO226" s="427" t="s">
        <v>504</v>
      </c>
      <c r="AP226" s="517" t="s">
        <v>315</v>
      </c>
      <c r="AQ226" s="427" t="s">
        <v>1421</v>
      </c>
      <c r="AR226" s="434" t="s">
        <v>1422</v>
      </c>
      <c r="AS226" s="435"/>
    </row>
    <row r="227">
      <c r="A227" s="94"/>
      <c r="B227" s="408"/>
      <c r="C227" s="409"/>
      <c r="D227" s="410"/>
      <c r="E227" s="421"/>
      <c r="F227" s="421"/>
      <c r="G227" s="421"/>
      <c r="H227" s="421"/>
      <c r="I227" s="510"/>
      <c r="J227" s="506"/>
      <c r="K227" s="507"/>
      <c r="L227" s="498" t="s">
        <v>338</v>
      </c>
      <c r="M227" s="427"/>
      <c r="N227" s="511"/>
      <c r="O227" s="511"/>
      <c r="P227" s="432" t="s">
        <v>553</v>
      </c>
      <c r="Q227" s="518" t="s">
        <v>369</v>
      </c>
      <c r="R227" s="427"/>
      <c r="S227" s="427"/>
      <c r="T227" s="427"/>
      <c r="U227" s="427"/>
      <c r="V227" s="427"/>
      <c r="W227" s="427"/>
      <c r="X227" s="427"/>
      <c r="Y227" s="427"/>
      <c r="Z227" s="427"/>
      <c r="AA227" s="427"/>
      <c r="AB227" s="427"/>
      <c r="AC227" s="514"/>
      <c r="AD227" s="431"/>
      <c r="AE227" s="427"/>
      <c r="AF227" s="427"/>
      <c r="AG227" s="427"/>
      <c r="AH227" s="427"/>
      <c r="AI227" s="427"/>
      <c r="AJ227" s="427" t="s">
        <v>1262</v>
      </c>
      <c r="AK227" s="519"/>
      <c r="AL227" s="427"/>
      <c r="AM227" s="516"/>
      <c r="AN227" s="516"/>
      <c r="AO227" s="427"/>
      <c r="AP227" s="517"/>
      <c r="AQ227" s="427"/>
      <c r="AR227" s="434"/>
      <c r="AS227" s="435"/>
    </row>
    <row r="228">
      <c r="A228" s="94"/>
      <c r="B228" s="408"/>
      <c r="C228" s="409"/>
      <c r="D228" s="410"/>
      <c r="E228" s="421"/>
      <c r="F228" s="421"/>
      <c r="G228" s="421"/>
      <c r="H228" s="412" t="s">
        <v>1423</v>
      </c>
      <c r="I228" s="510"/>
      <c r="J228" s="506"/>
      <c r="K228" s="507"/>
      <c r="L228" s="498" t="s">
        <v>338</v>
      </c>
      <c r="M228" s="427" t="s">
        <v>291</v>
      </c>
      <c r="N228" s="461" t="s">
        <v>553</v>
      </c>
      <c r="O228" s="511"/>
      <c r="P228" s="432" t="s">
        <v>553</v>
      </c>
      <c r="Q228" s="518" t="s">
        <v>369</v>
      </c>
      <c r="R228" s="427" t="s">
        <v>845</v>
      </c>
      <c r="S228" s="432" t="s">
        <v>901</v>
      </c>
      <c r="T228" s="427" t="s">
        <v>282</v>
      </c>
      <c r="U228" s="427" t="s">
        <v>282</v>
      </c>
      <c r="V228" s="427" t="s">
        <v>282</v>
      </c>
      <c r="W228" s="427" t="s">
        <v>282</v>
      </c>
      <c r="X228" s="427" t="s">
        <v>282</v>
      </c>
      <c r="Y228" s="427" t="s">
        <v>327</v>
      </c>
      <c r="Z228" s="427" t="s">
        <v>324</v>
      </c>
      <c r="AA228" s="427" t="s">
        <v>324</v>
      </c>
      <c r="AB228" s="427" t="s">
        <v>973</v>
      </c>
      <c r="AC228" s="514" t="s">
        <v>996</v>
      </c>
      <c r="AD228" s="432" t="s">
        <v>1040</v>
      </c>
      <c r="AE228" s="427" t="s">
        <v>282</v>
      </c>
      <c r="AF228" s="427" t="s">
        <v>315</v>
      </c>
      <c r="AG228" s="427" t="s">
        <v>315</v>
      </c>
      <c r="AH228" s="486" t="s">
        <v>1157</v>
      </c>
      <c r="AI228" s="427" t="s">
        <v>621</v>
      </c>
      <c r="AJ228" s="427" t="s">
        <v>1262</v>
      </c>
      <c r="AK228" s="515" t="s">
        <v>315</v>
      </c>
      <c r="AL228" s="427" t="s">
        <v>315</v>
      </c>
      <c r="AM228" s="516"/>
      <c r="AN228" s="516"/>
      <c r="AO228" s="427"/>
      <c r="AP228" s="517"/>
      <c r="AQ228" s="427" t="s">
        <v>1424</v>
      </c>
      <c r="AR228" s="434"/>
      <c r="AS228" s="435"/>
    </row>
    <row r="229">
      <c r="A229" s="68"/>
      <c r="B229" s="408" t="s">
        <v>626</v>
      </c>
      <c r="C229" s="409">
        <v>43475.0</v>
      </c>
      <c r="D229" s="410" t="s">
        <v>258</v>
      </c>
      <c r="E229" s="411">
        <v>43575.0</v>
      </c>
      <c r="F229" s="412" t="s">
        <v>280</v>
      </c>
      <c r="G229" s="411">
        <v>43581.0</v>
      </c>
      <c r="H229" s="412" t="s">
        <v>282</v>
      </c>
      <c r="I229" s="413" t="s">
        <v>1425</v>
      </c>
      <c r="J229" s="414" t="s">
        <v>180</v>
      </c>
      <c r="K229" s="475" t="s">
        <v>519</v>
      </c>
      <c r="L229" s="498" t="s">
        <v>297</v>
      </c>
      <c r="M229" s="427" t="s">
        <v>315</v>
      </c>
      <c r="N229" s="486" t="s">
        <v>555</v>
      </c>
      <c r="P229" s="431"/>
      <c r="Q229" s="520" t="s">
        <v>315</v>
      </c>
      <c r="R229" s="427" t="s">
        <v>1426</v>
      </c>
      <c r="S229" s="431"/>
      <c r="T229" s="427" t="s">
        <v>324</v>
      </c>
      <c r="U229" s="427" t="s">
        <v>324</v>
      </c>
      <c r="V229" s="427" t="s">
        <v>324</v>
      </c>
      <c r="W229" s="427" t="s">
        <v>324</v>
      </c>
      <c r="X229" s="427" t="s">
        <v>324</v>
      </c>
      <c r="Y229" s="427" t="s">
        <v>324</v>
      </c>
      <c r="Z229" s="427" t="s">
        <v>324</v>
      </c>
      <c r="AA229" s="427" t="s">
        <v>324</v>
      </c>
      <c r="AB229" s="431"/>
      <c r="AC229" s="521" t="s">
        <v>577</v>
      </c>
      <c r="AD229" s="431"/>
      <c r="AE229" s="427" t="s">
        <v>282</v>
      </c>
      <c r="AF229" s="427" t="s">
        <v>282</v>
      </c>
      <c r="AG229" s="427" t="s">
        <v>282</v>
      </c>
      <c r="AH229" s="431"/>
      <c r="AI229" s="427" t="s">
        <v>524</v>
      </c>
      <c r="AJ229" s="431"/>
      <c r="AK229" s="522" t="s">
        <v>324</v>
      </c>
      <c r="AL229" s="427" t="s">
        <v>282</v>
      </c>
      <c r="AM229" s="427" t="s">
        <v>524</v>
      </c>
      <c r="AN229" s="427" t="s">
        <v>524</v>
      </c>
      <c r="AO229" s="427" t="s">
        <v>524</v>
      </c>
      <c r="AP229" s="427" t="s">
        <v>524</v>
      </c>
      <c r="AQ229" s="427" t="s">
        <v>1427</v>
      </c>
      <c r="AR229" s="434" t="s">
        <v>703</v>
      </c>
      <c r="AS229" s="435"/>
    </row>
    <row r="230">
      <c r="A230" s="94"/>
      <c r="B230" s="408"/>
      <c r="C230" s="409"/>
      <c r="D230" s="410"/>
      <c r="E230" s="421"/>
      <c r="F230" s="421"/>
      <c r="G230" s="421"/>
      <c r="H230" s="421"/>
      <c r="I230" s="422"/>
      <c r="J230" s="506"/>
      <c r="K230" s="507"/>
      <c r="L230" s="507"/>
      <c r="M230" s="427"/>
      <c r="N230" s="427"/>
      <c r="O230" s="427"/>
      <c r="P230" s="431"/>
      <c r="Q230" s="427"/>
      <c r="R230" s="427"/>
      <c r="S230" s="431"/>
      <c r="T230" s="427"/>
      <c r="U230" s="427"/>
      <c r="V230" s="427"/>
      <c r="W230" s="427"/>
      <c r="X230" s="427"/>
      <c r="Y230" s="427"/>
      <c r="Z230" s="427"/>
      <c r="AA230" s="427"/>
      <c r="AB230" s="431"/>
      <c r="AC230" s="514"/>
      <c r="AD230" s="431"/>
      <c r="AE230" s="427"/>
      <c r="AF230" s="427"/>
      <c r="AG230" s="427"/>
      <c r="AH230" s="431"/>
      <c r="AI230" s="427"/>
      <c r="AJ230" s="431"/>
      <c r="AK230" s="517"/>
      <c r="AL230" s="427"/>
      <c r="AM230" s="427"/>
      <c r="AN230" s="427"/>
      <c r="AO230" s="427"/>
      <c r="AP230" s="427"/>
      <c r="AQ230" s="427" t="s">
        <v>1428</v>
      </c>
      <c r="AR230" s="434"/>
      <c r="AS230" s="435"/>
    </row>
    <row r="231">
      <c r="A231" s="68"/>
      <c r="B231" s="408"/>
      <c r="C231" s="409"/>
      <c r="D231" s="410"/>
      <c r="E231" s="421"/>
      <c r="F231" s="421"/>
      <c r="G231" s="421"/>
      <c r="H231" s="412" t="s">
        <v>1429</v>
      </c>
      <c r="I231" s="413"/>
      <c r="J231" s="414"/>
      <c r="K231" s="498"/>
      <c r="L231" s="498" t="s">
        <v>297</v>
      </c>
      <c r="M231" s="427" t="s">
        <v>315</v>
      </c>
      <c r="N231" s="486" t="s">
        <v>555</v>
      </c>
      <c r="P231" s="431"/>
      <c r="Q231" s="520" t="s">
        <v>315</v>
      </c>
      <c r="R231" s="427"/>
      <c r="S231" s="431"/>
      <c r="T231" s="427" t="s">
        <v>324</v>
      </c>
      <c r="U231" s="427" t="s">
        <v>324</v>
      </c>
      <c r="V231" s="427" t="s">
        <v>324</v>
      </c>
      <c r="W231" s="427" t="s">
        <v>324</v>
      </c>
      <c r="X231" s="427" t="s">
        <v>324</v>
      </c>
      <c r="Y231" s="427" t="s">
        <v>324</v>
      </c>
      <c r="Z231" s="427" t="s">
        <v>324</v>
      </c>
      <c r="AA231" s="427" t="s">
        <v>324</v>
      </c>
      <c r="AB231" s="431"/>
      <c r="AC231" s="521"/>
      <c r="AD231" s="431"/>
      <c r="AE231" s="427" t="s">
        <v>315</v>
      </c>
      <c r="AF231" s="427" t="s">
        <v>315</v>
      </c>
      <c r="AG231" s="427" t="s">
        <v>315</v>
      </c>
      <c r="AH231" s="431"/>
      <c r="AI231" s="427" t="s">
        <v>524</v>
      </c>
      <c r="AJ231" s="431"/>
      <c r="AK231" s="522" t="s">
        <v>324</v>
      </c>
      <c r="AL231" s="427" t="s">
        <v>315</v>
      </c>
      <c r="AM231" s="427"/>
      <c r="AN231" s="427"/>
      <c r="AO231" s="427"/>
      <c r="AP231" s="427"/>
      <c r="AQ231" s="427"/>
      <c r="AR231" s="434"/>
      <c r="AS231" s="435"/>
    </row>
    <row r="232">
      <c r="A232" s="94"/>
      <c r="B232" s="408" t="s">
        <v>626</v>
      </c>
      <c r="C232" s="409">
        <v>43475.0</v>
      </c>
      <c r="D232" s="410" t="s">
        <v>258</v>
      </c>
      <c r="E232" s="411">
        <v>43575.0</v>
      </c>
      <c r="F232" s="412" t="s">
        <v>280</v>
      </c>
      <c r="G232" s="411">
        <v>43581.0</v>
      </c>
      <c r="H232" s="412" t="s">
        <v>282</v>
      </c>
      <c r="I232" s="422" t="s">
        <v>1430</v>
      </c>
      <c r="J232" s="506" t="s">
        <v>181</v>
      </c>
      <c r="K232" s="475" t="s">
        <v>286</v>
      </c>
      <c r="L232" s="498" t="s">
        <v>339</v>
      </c>
      <c r="M232" s="427" t="s">
        <v>393</v>
      </c>
      <c r="N232" s="511" t="s">
        <v>1431</v>
      </c>
      <c r="P232" s="486" t="s">
        <v>780</v>
      </c>
      <c r="Q232" s="427" t="s">
        <v>315</v>
      </c>
      <c r="R232" s="427" t="s">
        <v>315</v>
      </c>
      <c r="S232" s="431"/>
      <c r="T232" s="427" t="s">
        <v>324</v>
      </c>
      <c r="U232" s="427" t="s">
        <v>324</v>
      </c>
      <c r="V232" s="427" t="s">
        <v>324</v>
      </c>
      <c r="W232" s="427" t="s">
        <v>324</v>
      </c>
      <c r="X232" s="427" t="s">
        <v>324</v>
      </c>
      <c r="Y232" s="427" t="s">
        <v>324</v>
      </c>
      <c r="Z232" s="427" t="s">
        <v>324</v>
      </c>
      <c r="AA232" s="427" t="s">
        <v>324</v>
      </c>
      <c r="AB232" s="431"/>
      <c r="AC232" s="427" t="s">
        <v>997</v>
      </c>
      <c r="AD232" s="486" t="s">
        <v>1041</v>
      </c>
      <c r="AE232" s="427" t="s">
        <v>315</v>
      </c>
      <c r="AF232" s="427" t="s">
        <v>315</v>
      </c>
      <c r="AG232" s="427" t="s">
        <v>1090</v>
      </c>
      <c r="AH232" s="486" t="s">
        <v>1158</v>
      </c>
      <c r="AI232" s="427" t="s">
        <v>315</v>
      </c>
      <c r="AJ232" s="427" t="s">
        <v>1263</v>
      </c>
      <c r="AK232" s="517" t="s">
        <v>324</v>
      </c>
      <c r="AL232" s="427" t="s">
        <v>315</v>
      </c>
      <c r="AM232" s="427" t="s">
        <v>315</v>
      </c>
      <c r="AN232" s="427" t="s">
        <v>1337</v>
      </c>
      <c r="AO232" s="427" t="s">
        <v>315</v>
      </c>
      <c r="AP232" s="517" t="s">
        <v>315</v>
      </c>
      <c r="AQ232" s="427" t="s">
        <v>1432</v>
      </c>
      <c r="AR232" s="434" t="s">
        <v>1178</v>
      </c>
      <c r="AS232" s="435"/>
    </row>
    <row r="233">
      <c r="A233" s="94"/>
      <c r="B233" s="408"/>
      <c r="C233" s="409"/>
      <c r="D233" s="410"/>
      <c r="E233" s="421"/>
      <c r="F233" s="421"/>
      <c r="G233" s="421"/>
      <c r="H233" s="421"/>
      <c r="I233" s="422"/>
      <c r="J233" s="506"/>
      <c r="K233" s="507"/>
      <c r="L233" s="498"/>
      <c r="M233" s="427"/>
      <c r="N233" s="511"/>
      <c r="O233" s="511"/>
      <c r="P233" s="427" t="s">
        <v>1433</v>
      </c>
      <c r="Q233" s="427"/>
      <c r="R233" s="427"/>
      <c r="S233" s="431"/>
      <c r="T233" s="427"/>
      <c r="U233" s="427"/>
      <c r="V233" s="427"/>
      <c r="W233" s="427"/>
      <c r="X233" s="427"/>
      <c r="Y233" s="427"/>
      <c r="Z233" s="427"/>
      <c r="AA233" s="427"/>
      <c r="AB233" s="431"/>
      <c r="AC233" s="427"/>
      <c r="AD233" s="427"/>
      <c r="AE233" s="427" t="s">
        <v>369</v>
      </c>
      <c r="AF233" s="427"/>
      <c r="AG233" s="427"/>
      <c r="AH233" s="427"/>
      <c r="AI233" s="427"/>
      <c r="AJ233" s="427"/>
      <c r="AK233" s="517"/>
      <c r="AL233" s="427"/>
      <c r="AM233" s="427"/>
      <c r="AN233" s="427"/>
      <c r="AO233" s="427"/>
      <c r="AP233" s="517"/>
      <c r="AQ233" s="427" t="s">
        <v>1434</v>
      </c>
      <c r="AR233" s="434"/>
      <c r="AS233" s="435"/>
    </row>
    <row r="234">
      <c r="A234" s="94"/>
      <c r="B234" s="408"/>
      <c r="C234" s="409"/>
      <c r="D234" s="410"/>
      <c r="E234" s="421"/>
      <c r="F234" s="421"/>
      <c r="G234" s="421"/>
      <c r="H234" s="421"/>
      <c r="I234" s="422"/>
      <c r="J234" s="506"/>
      <c r="K234" s="507"/>
      <c r="L234" s="498" t="s">
        <v>339</v>
      </c>
      <c r="M234" s="427" t="s">
        <v>393</v>
      </c>
      <c r="N234" s="511" t="s">
        <v>558</v>
      </c>
      <c r="O234" s="511"/>
      <c r="P234" s="427"/>
      <c r="Q234" s="427" t="s">
        <v>315</v>
      </c>
      <c r="R234" s="427" t="s">
        <v>315</v>
      </c>
      <c r="S234" s="431"/>
      <c r="T234" s="427" t="s">
        <v>324</v>
      </c>
      <c r="U234" s="427" t="s">
        <v>324</v>
      </c>
      <c r="V234" s="427" t="s">
        <v>324</v>
      </c>
      <c r="W234" s="427" t="s">
        <v>324</v>
      </c>
      <c r="X234" s="427" t="s">
        <v>324</v>
      </c>
      <c r="Y234" s="427" t="s">
        <v>324</v>
      </c>
      <c r="Z234" s="427" t="s">
        <v>324</v>
      </c>
      <c r="AA234" s="427" t="s">
        <v>324</v>
      </c>
      <c r="AB234" s="431"/>
      <c r="AC234" s="427" t="s">
        <v>997</v>
      </c>
      <c r="AD234" s="486" t="s">
        <v>1041</v>
      </c>
      <c r="AE234" s="427" t="s">
        <v>369</v>
      </c>
      <c r="AF234" s="427" t="s">
        <v>315</v>
      </c>
      <c r="AG234" s="427" t="s">
        <v>1090</v>
      </c>
      <c r="AH234" s="486" t="s">
        <v>1158</v>
      </c>
      <c r="AI234" s="427" t="s">
        <v>315</v>
      </c>
      <c r="AJ234" s="427" t="s">
        <v>1263</v>
      </c>
      <c r="AK234" s="517" t="s">
        <v>324</v>
      </c>
      <c r="AL234" s="427" t="s">
        <v>315</v>
      </c>
      <c r="AM234" s="427"/>
      <c r="AN234" s="427" t="s">
        <v>1337</v>
      </c>
      <c r="AO234" s="427"/>
      <c r="AP234" s="517"/>
      <c r="AQ234" s="427"/>
      <c r="AR234" s="434"/>
      <c r="AS234" s="435"/>
    </row>
    <row r="235">
      <c r="A235" s="94"/>
      <c r="B235" s="408" t="s">
        <v>626</v>
      </c>
      <c r="C235" s="409">
        <v>43477.0</v>
      </c>
      <c r="D235" s="410" t="s">
        <v>767</v>
      </c>
      <c r="E235" s="411">
        <v>43579.0</v>
      </c>
      <c r="F235" s="412" t="s">
        <v>280</v>
      </c>
      <c r="G235" s="411">
        <v>43583.0</v>
      </c>
      <c r="H235" s="412" t="s">
        <v>282</v>
      </c>
      <c r="I235" s="422" t="s">
        <v>1435</v>
      </c>
      <c r="J235" s="506" t="s">
        <v>182</v>
      </c>
      <c r="K235" s="475" t="s">
        <v>519</v>
      </c>
      <c r="L235" s="415" t="s">
        <v>305</v>
      </c>
      <c r="M235" s="416" t="s">
        <v>315</v>
      </c>
      <c r="N235" s="426" t="s">
        <v>559</v>
      </c>
      <c r="P235" s="426" t="s">
        <v>747</v>
      </c>
      <c r="Q235" s="416" t="s">
        <v>315</v>
      </c>
      <c r="R235" s="416" t="s">
        <v>847</v>
      </c>
      <c r="S235" s="417" t="s">
        <v>899</v>
      </c>
      <c r="T235" s="416" t="s">
        <v>324</v>
      </c>
      <c r="U235" s="416" t="s">
        <v>324</v>
      </c>
      <c r="V235" s="416" t="s">
        <v>324</v>
      </c>
      <c r="W235" s="416" t="s">
        <v>324</v>
      </c>
      <c r="X235" s="416" t="s">
        <v>324</v>
      </c>
      <c r="Y235" s="416" t="s">
        <v>324</v>
      </c>
      <c r="Z235" s="416" t="s">
        <v>324</v>
      </c>
      <c r="AA235" s="416" t="s">
        <v>324</v>
      </c>
      <c r="AB235" s="428"/>
      <c r="AC235" s="428" t="s">
        <v>998</v>
      </c>
      <c r="AD235" s="426" t="s">
        <v>559</v>
      </c>
      <c r="AE235" s="416" t="s">
        <v>315</v>
      </c>
      <c r="AF235" s="416" t="s">
        <v>315</v>
      </c>
      <c r="AG235" s="416" t="s">
        <v>315</v>
      </c>
      <c r="AH235" s="426" t="s">
        <v>1159</v>
      </c>
      <c r="AI235" s="416" t="s">
        <v>615</v>
      </c>
      <c r="AJ235" s="416" t="s">
        <v>1264</v>
      </c>
      <c r="AK235" s="523" t="s">
        <v>324</v>
      </c>
      <c r="AL235" s="416" t="s">
        <v>315</v>
      </c>
      <c r="AM235" s="416" t="s">
        <v>1319</v>
      </c>
      <c r="AN235" s="416" t="s">
        <v>1436</v>
      </c>
      <c r="AO235" s="416" t="s">
        <v>324</v>
      </c>
      <c r="AP235" s="416" t="s">
        <v>324</v>
      </c>
      <c r="AQ235" s="416" t="s">
        <v>1437</v>
      </c>
      <c r="AR235" s="419" t="s">
        <v>1422</v>
      </c>
      <c r="AS235" s="430"/>
    </row>
    <row r="236">
      <c r="A236" s="94"/>
      <c r="B236" s="408"/>
      <c r="C236" s="409"/>
      <c r="D236" s="410"/>
      <c r="E236" s="421"/>
      <c r="F236" s="421"/>
      <c r="G236" s="421"/>
      <c r="H236" s="421"/>
      <c r="I236" s="422"/>
      <c r="J236" s="506"/>
      <c r="K236" s="506"/>
      <c r="L236" s="415"/>
      <c r="M236" s="416"/>
      <c r="N236" s="426"/>
      <c r="O236" s="426"/>
      <c r="P236" s="426"/>
      <c r="Q236" s="416"/>
      <c r="R236" s="416"/>
      <c r="S236" s="416"/>
      <c r="T236" s="416"/>
      <c r="U236" s="416"/>
      <c r="V236" s="416"/>
      <c r="W236" s="416"/>
      <c r="X236" s="416"/>
      <c r="Y236" s="416"/>
      <c r="Z236" s="416"/>
      <c r="AA236" s="416"/>
      <c r="AB236" s="428"/>
      <c r="AC236" s="428"/>
      <c r="AD236" s="426"/>
      <c r="AE236" s="416"/>
      <c r="AF236" s="416"/>
      <c r="AG236" s="427" t="s">
        <v>799</v>
      </c>
      <c r="AH236" s="459" t="s">
        <v>1438</v>
      </c>
      <c r="AI236" s="416"/>
      <c r="AJ236" s="416"/>
      <c r="AK236" s="523"/>
      <c r="AL236" s="416"/>
      <c r="AM236" s="416"/>
      <c r="AN236" s="416"/>
      <c r="AO236" s="416"/>
      <c r="AP236" s="416"/>
      <c r="AQ236" s="416"/>
      <c r="AR236" s="419"/>
      <c r="AS236" s="430"/>
    </row>
    <row r="237">
      <c r="A237" s="94"/>
      <c r="B237" s="408"/>
      <c r="C237" s="409"/>
      <c r="D237" s="410"/>
      <c r="E237" s="421"/>
      <c r="F237" s="421"/>
      <c r="G237" s="421"/>
      <c r="H237" s="421"/>
      <c r="I237" s="422"/>
      <c r="J237" s="506"/>
      <c r="K237" s="506"/>
      <c r="L237" s="415" t="s">
        <v>305</v>
      </c>
      <c r="M237" s="416" t="s">
        <v>315</v>
      </c>
      <c r="N237" s="426" t="s">
        <v>559</v>
      </c>
      <c r="P237" s="426" t="s">
        <v>747</v>
      </c>
      <c r="Q237" s="427" t="s">
        <v>820</v>
      </c>
      <c r="R237" s="416" t="s">
        <v>847</v>
      </c>
      <c r="S237" s="417" t="s">
        <v>899</v>
      </c>
      <c r="T237" s="416" t="s">
        <v>324</v>
      </c>
      <c r="U237" s="416" t="s">
        <v>324</v>
      </c>
      <c r="V237" s="416" t="s">
        <v>324</v>
      </c>
      <c r="W237" s="416" t="s">
        <v>324</v>
      </c>
      <c r="X237" s="416" t="s">
        <v>324</v>
      </c>
      <c r="Y237" s="416" t="s">
        <v>324</v>
      </c>
      <c r="Z237" s="416" t="s">
        <v>324</v>
      </c>
      <c r="AA237" s="416" t="s">
        <v>324</v>
      </c>
      <c r="AB237" s="431"/>
      <c r="AC237" s="428" t="s">
        <v>998</v>
      </c>
      <c r="AD237" s="426" t="s">
        <v>559</v>
      </c>
      <c r="AE237" s="416" t="s">
        <v>315</v>
      </c>
      <c r="AF237" s="416" t="s">
        <v>315</v>
      </c>
      <c r="AG237" s="416" t="s">
        <v>315</v>
      </c>
      <c r="AH237" s="426" t="s">
        <v>1159</v>
      </c>
      <c r="AI237" s="416" t="s">
        <v>615</v>
      </c>
      <c r="AJ237" s="416" t="s">
        <v>1264</v>
      </c>
      <c r="AK237" s="523" t="s">
        <v>324</v>
      </c>
      <c r="AL237" s="416" t="s">
        <v>315</v>
      </c>
      <c r="AM237" s="416" t="s">
        <v>1319</v>
      </c>
      <c r="AN237" s="427"/>
      <c r="AO237" s="427"/>
      <c r="AP237" s="427"/>
      <c r="AQ237" s="427"/>
      <c r="AR237" s="434"/>
      <c r="AS237" s="435"/>
    </row>
    <row r="238">
      <c r="A238" s="94"/>
      <c r="B238" s="408" t="s">
        <v>626</v>
      </c>
      <c r="C238" s="409">
        <v>43477.0</v>
      </c>
      <c r="D238" s="410" t="s">
        <v>767</v>
      </c>
      <c r="E238" s="411">
        <v>43579.0</v>
      </c>
      <c r="F238" s="412" t="s">
        <v>280</v>
      </c>
      <c r="G238" s="411">
        <v>43583.0</v>
      </c>
      <c r="H238" s="412" t="s">
        <v>282</v>
      </c>
      <c r="I238" s="422" t="s">
        <v>1439</v>
      </c>
      <c r="J238" s="506" t="s">
        <v>183</v>
      </c>
      <c r="K238" s="475" t="s">
        <v>789</v>
      </c>
      <c r="L238" s="438" t="s">
        <v>340</v>
      </c>
      <c r="M238" s="439" t="s">
        <v>315</v>
      </c>
      <c r="N238" s="524" t="s">
        <v>560</v>
      </c>
      <c r="O238" s="462" t="s">
        <v>760</v>
      </c>
      <c r="P238" s="524" t="s">
        <v>560</v>
      </c>
      <c r="Q238" s="439" t="s">
        <v>369</v>
      </c>
      <c r="R238" s="449"/>
      <c r="S238" s="449"/>
      <c r="T238" s="439" t="s">
        <v>324</v>
      </c>
      <c r="U238" s="439" t="s">
        <v>324</v>
      </c>
      <c r="V238" s="439" t="s">
        <v>324</v>
      </c>
      <c r="W238" s="439" t="s">
        <v>324</v>
      </c>
      <c r="X238" s="439" t="s">
        <v>324</v>
      </c>
      <c r="Y238" s="439" t="s">
        <v>324</v>
      </c>
      <c r="Z238" s="439" t="s">
        <v>324</v>
      </c>
      <c r="AA238" s="439" t="s">
        <v>324</v>
      </c>
      <c r="AB238" s="449"/>
      <c r="AC238" s="439" t="s">
        <v>324</v>
      </c>
      <c r="AD238" s="449"/>
      <c r="AE238" s="439" t="s">
        <v>315</v>
      </c>
      <c r="AF238" s="439" t="s">
        <v>315</v>
      </c>
      <c r="AG238" s="439" t="s">
        <v>315</v>
      </c>
      <c r="AH238" s="524" t="s">
        <v>1160</v>
      </c>
      <c r="AI238" s="439" t="s">
        <v>615</v>
      </c>
      <c r="AJ238" s="439" t="s">
        <v>1265</v>
      </c>
      <c r="AK238" s="439" t="s">
        <v>1301</v>
      </c>
      <c r="AL238" s="439" t="s">
        <v>315</v>
      </c>
      <c r="AM238" s="439" t="s">
        <v>1320</v>
      </c>
      <c r="AN238" s="439" t="s">
        <v>324</v>
      </c>
      <c r="AO238" s="439" t="s">
        <v>324</v>
      </c>
      <c r="AP238" s="439" t="s">
        <v>324</v>
      </c>
      <c r="AQ238" s="439" t="s">
        <v>1440</v>
      </c>
      <c r="AR238" s="445" t="s">
        <v>1441</v>
      </c>
      <c r="AS238" s="449"/>
    </row>
    <row r="239">
      <c r="A239" s="94"/>
      <c r="B239" s="408"/>
      <c r="C239" s="409"/>
      <c r="D239" s="410"/>
      <c r="E239" s="421"/>
      <c r="F239" s="421"/>
      <c r="G239" s="421"/>
      <c r="H239" s="421"/>
      <c r="I239" s="422"/>
      <c r="J239" s="506"/>
      <c r="K239" s="506"/>
      <c r="L239" s="438"/>
      <c r="M239" s="439"/>
      <c r="N239" s="446" t="s">
        <v>1442</v>
      </c>
      <c r="O239" s="439"/>
      <c r="P239" s="524"/>
      <c r="Q239" s="439"/>
      <c r="R239" s="449"/>
      <c r="S239" s="449"/>
      <c r="T239" s="439"/>
      <c r="U239" s="439"/>
      <c r="V239" s="439"/>
      <c r="W239" s="439"/>
      <c r="X239" s="439"/>
      <c r="Y239" s="439"/>
      <c r="Z239" s="439"/>
      <c r="AA239" s="439"/>
      <c r="AB239" s="449"/>
      <c r="AC239" s="439"/>
      <c r="AD239" s="449"/>
      <c r="AE239" s="439"/>
      <c r="AF239" s="439"/>
      <c r="AG239" s="439"/>
      <c r="AH239" s="524"/>
      <c r="AI239" s="439"/>
      <c r="AJ239" s="439"/>
      <c r="AK239" s="439"/>
      <c r="AL239" s="439"/>
      <c r="AM239" s="439"/>
      <c r="AN239" s="439"/>
      <c r="AO239" s="439"/>
      <c r="AP239" s="439"/>
      <c r="AQ239" s="439"/>
      <c r="AR239" s="445"/>
      <c r="AS239" s="449"/>
    </row>
    <row r="240">
      <c r="A240" s="94"/>
      <c r="B240" s="408"/>
      <c r="C240" s="409"/>
      <c r="D240" s="410"/>
      <c r="E240" s="421"/>
      <c r="F240" s="421"/>
      <c r="G240" s="421"/>
      <c r="H240" s="421"/>
      <c r="I240" s="422"/>
      <c r="J240" s="506"/>
      <c r="K240" s="506"/>
      <c r="L240" s="438" t="s">
        <v>340</v>
      </c>
      <c r="M240" s="439" t="s">
        <v>315</v>
      </c>
      <c r="N240" s="524" t="s">
        <v>560</v>
      </c>
      <c r="O240" s="462" t="s">
        <v>760</v>
      </c>
      <c r="P240" s="524" t="s">
        <v>560</v>
      </c>
      <c r="Q240" s="439" t="s">
        <v>369</v>
      </c>
      <c r="R240" s="431"/>
      <c r="S240" s="474"/>
      <c r="T240" s="439" t="s">
        <v>324</v>
      </c>
      <c r="U240" s="439" t="s">
        <v>324</v>
      </c>
      <c r="V240" s="439" t="s">
        <v>324</v>
      </c>
      <c r="W240" s="439" t="s">
        <v>324</v>
      </c>
      <c r="X240" s="439" t="s">
        <v>324</v>
      </c>
      <c r="Y240" s="439" t="s">
        <v>324</v>
      </c>
      <c r="Z240" s="439" t="s">
        <v>324</v>
      </c>
      <c r="AA240" s="439" t="s">
        <v>324</v>
      </c>
      <c r="AB240" s="431"/>
      <c r="AC240" s="439"/>
      <c r="AD240" s="449"/>
      <c r="AE240" s="439" t="s">
        <v>315</v>
      </c>
      <c r="AF240" s="439" t="s">
        <v>315</v>
      </c>
      <c r="AG240" s="439" t="s">
        <v>315</v>
      </c>
      <c r="AH240" s="524" t="s">
        <v>1160</v>
      </c>
      <c r="AI240" s="439" t="s">
        <v>615</v>
      </c>
      <c r="AJ240" s="439" t="s">
        <v>1265</v>
      </c>
      <c r="AK240" s="439" t="s">
        <v>1301</v>
      </c>
      <c r="AL240" s="439" t="s">
        <v>315</v>
      </c>
      <c r="AM240" s="439" t="s">
        <v>1320</v>
      </c>
      <c r="AN240" s="427"/>
      <c r="AO240" s="427"/>
      <c r="AP240" s="427"/>
      <c r="AQ240" s="427"/>
      <c r="AR240" s="434"/>
      <c r="AS240" s="435"/>
    </row>
    <row r="241">
      <c r="A241" s="94"/>
      <c r="B241" s="408" t="s">
        <v>626</v>
      </c>
      <c r="C241" s="409">
        <v>43477.0</v>
      </c>
      <c r="D241" s="410" t="s">
        <v>767</v>
      </c>
      <c r="E241" s="411">
        <v>43579.0</v>
      </c>
      <c r="F241" s="412" t="s">
        <v>280</v>
      </c>
      <c r="G241" s="411">
        <v>43583.0</v>
      </c>
      <c r="H241" s="412" t="s">
        <v>282</v>
      </c>
      <c r="I241" s="422" t="s">
        <v>1443</v>
      </c>
      <c r="J241" s="414" t="s">
        <v>184</v>
      </c>
      <c r="K241" s="414"/>
      <c r="L241" s="415" t="s">
        <v>1444</v>
      </c>
      <c r="M241" s="416" t="s">
        <v>315</v>
      </c>
      <c r="N241" s="428"/>
      <c r="O241" s="428"/>
      <c r="P241" s="417" t="s">
        <v>747</v>
      </c>
      <c r="Q241" s="416" t="s">
        <v>315</v>
      </c>
      <c r="R241" s="428"/>
      <c r="S241" s="428"/>
      <c r="T241" s="416" t="s">
        <v>324</v>
      </c>
      <c r="U241" s="416" t="s">
        <v>324</v>
      </c>
      <c r="V241" s="416" t="s">
        <v>324</v>
      </c>
      <c r="W241" s="416" t="s">
        <v>324</v>
      </c>
      <c r="X241" s="416" t="s">
        <v>324</v>
      </c>
      <c r="Y241" s="416" t="s">
        <v>324</v>
      </c>
      <c r="Z241" s="416" t="s">
        <v>324</v>
      </c>
      <c r="AA241" s="416" t="s">
        <v>324</v>
      </c>
      <c r="AB241" s="428"/>
      <c r="AC241" s="416" t="s">
        <v>324</v>
      </c>
      <c r="AD241" s="428"/>
      <c r="AE241" s="416" t="s">
        <v>315</v>
      </c>
      <c r="AF241" s="416" t="s">
        <v>315</v>
      </c>
      <c r="AG241" s="416" t="s">
        <v>315</v>
      </c>
      <c r="AH241" s="417" t="s">
        <v>761</v>
      </c>
      <c r="AI241" s="416" t="s">
        <v>615</v>
      </c>
      <c r="AJ241" s="416" t="s">
        <v>1264</v>
      </c>
      <c r="AK241" s="523" t="s">
        <v>324</v>
      </c>
      <c r="AL241" s="416" t="s">
        <v>315</v>
      </c>
      <c r="AM241" s="416" t="s">
        <v>315</v>
      </c>
      <c r="AN241" s="416" t="s">
        <v>1436</v>
      </c>
      <c r="AO241" s="416" t="s">
        <v>324</v>
      </c>
      <c r="AP241" s="416" t="s">
        <v>324</v>
      </c>
      <c r="AQ241" s="416" t="s">
        <v>1445</v>
      </c>
      <c r="AR241" s="419" t="s">
        <v>639</v>
      </c>
      <c r="AS241" s="430"/>
    </row>
    <row r="242">
      <c r="A242" s="94"/>
      <c r="B242" s="408"/>
      <c r="C242" s="409"/>
      <c r="D242" s="410"/>
      <c r="E242" s="421"/>
      <c r="F242" s="421"/>
      <c r="G242" s="421"/>
      <c r="H242" s="421"/>
      <c r="I242" s="422"/>
      <c r="J242" s="414"/>
      <c r="K242" s="414"/>
      <c r="L242" s="415"/>
      <c r="M242" s="459" t="s">
        <v>1446</v>
      </c>
      <c r="N242" s="428"/>
      <c r="O242" s="428"/>
      <c r="P242" s="416"/>
      <c r="Q242" s="416"/>
      <c r="R242" s="428"/>
      <c r="S242" s="428"/>
      <c r="T242" s="416"/>
      <c r="U242" s="416"/>
      <c r="V242" s="416"/>
      <c r="W242" s="416"/>
      <c r="X242" s="416"/>
      <c r="Y242" s="416"/>
      <c r="Z242" s="416"/>
      <c r="AA242" s="416"/>
      <c r="AB242" s="428"/>
      <c r="AC242" s="416"/>
      <c r="AD242" s="428"/>
      <c r="AE242" s="416"/>
      <c r="AF242" s="416"/>
      <c r="AG242" s="416"/>
      <c r="AH242" s="416"/>
      <c r="AI242" s="416"/>
      <c r="AJ242" s="416"/>
      <c r="AK242" s="523"/>
      <c r="AL242" s="416"/>
      <c r="AM242" s="416"/>
      <c r="AN242" s="416"/>
      <c r="AO242" s="416"/>
      <c r="AP242" s="416"/>
      <c r="AQ242" s="416"/>
      <c r="AR242" s="419"/>
      <c r="AS242" s="430"/>
    </row>
    <row r="243">
      <c r="A243" s="94"/>
      <c r="B243" s="408"/>
      <c r="C243" s="409"/>
      <c r="D243" s="410"/>
      <c r="E243" s="421"/>
      <c r="F243" s="421"/>
      <c r="G243" s="421"/>
      <c r="H243" s="421"/>
      <c r="I243" s="422"/>
      <c r="J243" s="414"/>
      <c r="K243" s="498"/>
      <c r="L243" s="498"/>
      <c r="M243" s="416" t="s">
        <v>315</v>
      </c>
      <c r="N243" s="431"/>
      <c r="O243" s="431"/>
      <c r="P243" s="417" t="s">
        <v>747</v>
      </c>
      <c r="Q243" s="416" t="s">
        <v>315</v>
      </c>
      <c r="R243" s="431"/>
      <c r="S243" s="431"/>
      <c r="T243" s="416" t="s">
        <v>324</v>
      </c>
      <c r="U243" s="416" t="s">
        <v>324</v>
      </c>
      <c r="V243" s="416" t="s">
        <v>324</v>
      </c>
      <c r="W243" s="416" t="s">
        <v>324</v>
      </c>
      <c r="X243" s="416" t="s">
        <v>324</v>
      </c>
      <c r="Y243" s="416" t="s">
        <v>324</v>
      </c>
      <c r="Z243" s="416" t="s">
        <v>324</v>
      </c>
      <c r="AA243" s="416" t="s">
        <v>324</v>
      </c>
      <c r="AB243" s="431"/>
      <c r="AC243" s="416"/>
      <c r="AD243" s="431"/>
      <c r="AE243" s="416" t="s">
        <v>315</v>
      </c>
      <c r="AF243" s="416" t="s">
        <v>315</v>
      </c>
      <c r="AG243" s="416" t="s">
        <v>315</v>
      </c>
      <c r="AH243" s="417" t="s">
        <v>761</v>
      </c>
      <c r="AI243" s="416" t="s">
        <v>615</v>
      </c>
      <c r="AJ243" s="416" t="s">
        <v>1264</v>
      </c>
      <c r="AK243" s="523" t="s">
        <v>324</v>
      </c>
      <c r="AL243" s="416" t="s">
        <v>315</v>
      </c>
      <c r="AM243" s="427"/>
      <c r="AN243" s="427"/>
      <c r="AO243" s="427"/>
      <c r="AP243" s="427"/>
      <c r="AQ243" s="427"/>
      <c r="AR243" s="434"/>
      <c r="AS243" s="435"/>
    </row>
    <row r="244">
      <c r="A244" s="68"/>
      <c r="B244" s="408" t="s">
        <v>626</v>
      </c>
      <c r="C244" s="409">
        <v>43478.0</v>
      </c>
      <c r="D244" s="410" t="s">
        <v>767</v>
      </c>
      <c r="E244" s="411">
        <v>43579.0</v>
      </c>
      <c r="F244" s="412" t="s">
        <v>280</v>
      </c>
      <c r="G244" s="411">
        <v>43583.0</v>
      </c>
      <c r="H244" s="412" t="s">
        <v>282</v>
      </c>
      <c r="I244" s="413" t="s">
        <v>1447</v>
      </c>
      <c r="J244" s="414" t="s">
        <v>185</v>
      </c>
      <c r="K244" s="525" t="s">
        <v>789</v>
      </c>
      <c r="L244" s="438" t="s">
        <v>341</v>
      </c>
      <c r="M244" s="439" t="s">
        <v>315</v>
      </c>
      <c r="N244" s="462" t="s">
        <v>561</v>
      </c>
      <c r="Q244" s="439" t="s">
        <v>315</v>
      </c>
      <c r="R244" s="439" t="s">
        <v>848</v>
      </c>
      <c r="S244" s="462" t="s">
        <v>905</v>
      </c>
      <c r="T244" s="439" t="s">
        <v>324</v>
      </c>
      <c r="U244" s="439" t="s">
        <v>324</v>
      </c>
      <c r="V244" s="439" t="s">
        <v>324</v>
      </c>
      <c r="W244" s="439" t="s">
        <v>324</v>
      </c>
      <c r="X244" s="439" t="s">
        <v>324</v>
      </c>
      <c r="Y244" s="439" t="s">
        <v>324</v>
      </c>
      <c r="Z244" s="439" t="s">
        <v>324</v>
      </c>
      <c r="AA244" s="439" t="s">
        <v>324</v>
      </c>
      <c r="AB244" s="442"/>
      <c r="AC244" s="439" t="s">
        <v>324</v>
      </c>
      <c r="AD244" s="442"/>
      <c r="AE244" s="439" t="s">
        <v>315</v>
      </c>
      <c r="AF244" s="439" t="s">
        <v>315</v>
      </c>
      <c r="AG244" s="439" t="s">
        <v>315</v>
      </c>
      <c r="AH244" s="442"/>
      <c r="AI244" s="439" t="s">
        <v>1448</v>
      </c>
      <c r="AJ244" s="439" t="s">
        <v>1266</v>
      </c>
      <c r="AK244" s="526" t="s">
        <v>366</v>
      </c>
      <c r="AL244" s="439" t="s">
        <v>315</v>
      </c>
      <c r="AM244" s="439" t="s">
        <v>315</v>
      </c>
      <c r="AN244" s="439" t="s">
        <v>1449</v>
      </c>
      <c r="AO244" s="439" t="s">
        <v>324</v>
      </c>
      <c r="AP244" s="439" t="s">
        <v>324</v>
      </c>
      <c r="AQ244" s="439" t="s">
        <v>1450</v>
      </c>
      <c r="AR244" s="445" t="s">
        <v>703</v>
      </c>
      <c r="AS244" s="442"/>
    </row>
    <row r="245">
      <c r="A245" s="94"/>
      <c r="B245" s="408"/>
      <c r="C245" s="409"/>
      <c r="D245" s="410"/>
      <c r="E245" s="421"/>
      <c r="F245" s="421"/>
      <c r="G245" s="421"/>
      <c r="H245" s="421"/>
      <c r="I245" s="422"/>
      <c r="J245" s="506"/>
      <c r="K245" s="506"/>
      <c r="L245" s="438"/>
      <c r="M245" s="472" t="s">
        <v>1451</v>
      </c>
      <c r="N245" s="439"/>
      <c r="O245" s="439"/>
      <c r="P245" s="439"/>
      <c r="Q245" s="439"/>
      <c r="R245" s="439"/>
      <c r="S245" s="439"/>
      <c r="T245" s="439"/>
      <c r="U245" s="439"/>
      <c r="V245" s="439"/>
      <c r="W245" s="439"/>
      <c r="X245" s="439"/>
      <c r="Y245" s="439"/>
      <c r="Z245" s="439"/>
      <c r="AA245" s="439"/>
      <c r="AB245" s="449"/>
      <c r="AC245" s="439"/>
      <c r="AD245" s="449"/>
      <c r="AE245" s="439"/>
      <c r="AF245" s="439"/>
      <c r="AG245" s="439"/>
      <c r="AH245" s="472" t="s">
        <v>1452</v>
      </c>
      <c r="AI245" s="439"/>
      <c r="AJ245" s="439"/>
      <c r="AK245" s="527"/>
      <c r="AL245" s="439"/>
      <c r="AM245" s="439"/>
      <c r="AN245" s="439"/>
      <c r="AO245" s="439"/>
      <c r="AP245" s="439"/>
      <c r="AQ245" s="439"/>
      <c r="AR245" s="445"/>
      <c r="AS245" s="449"/>
    </row>
    <row r="246">
      <c r="A246" s="94"/>
      <c r="B246" s="408"/>
      <c r="C246" s="409"/>
      <c r="D246" s="410"/>
      <c r="E246" s="421"/>
      <c r="F246" s="421"/>
      <c r="G246" s="421"/>
      <c r="H246" s="412" t="s">
        <v>1453</v>
      </c>
      <c r="I246" s="422"/>
      <c r="J246" s="506"/>
      <c r="K246" s="506"/>
      <c r="L246" s="438" t="s">
        <v>341</v>
      </c>
      <c r="M246" s="427" t="s">
        <v>399</v>
      </c>
      <c r="N246" s="462" t="s">
        <v>561</v>
      </c>
      <c r="Q246" s="439" t="s">
        <v>315</v>
      </c>
      <c r="R246" s="439" t="s">
        <v>848</v>
      </c>
      <c r="S246" s="462" t="s">
        <v>905</v>
      </c>
      <c r="T246" s="439" t="s">
        <v>324</v>
      </c>
      <c r="U246" s="439" t="s">
        <v>324</v>
      </c>
      <c r="V246" s="439" t="s">
        <v>324</v>
      </c>
      <c r="W246" s="439" t="s">
        <v>324</v>
      </c>
      <c r="X246" s="439" t="s">
        <v>324</v>
      </c>
      <c r="Y246" s="439" t="s">
        <v>324</v>
      </c>
      <c r="Z246" s="439" t="s">
        <v>324</v>
      </c>
      <c r="AA246" s="439" t="s">
        <v>324</v>
      </c>
      <c r="AB246" s="431"/>
      <c r="AC246" s="427"/>
      <c r="AD246" s="431"/>
      <c r="AE246" s="439" t="s">
        <v>315</v>
      </c>
      <c r="AF246" s="439" t="s">
        <v>315</v>
      </c>
      <c r="AG246" s="439" t="s">
        <v>315</v>
      </c>
      <c r="AH246" s="432" t="s">
        <v>1163</v>
      </c>
      <c r="AI246" s="427" t="s">
        <v>621</v>
      </c>
      <c r="AJ246" s="439" t="s">
        <v>1266</v>
      </c>
      <c r="AK246" s="527" t="s">
        <v>366</v>
      </c>
      <c r="AL246" s="439" t="s">
        <v>315</v>
      </c>
      <c r="AM246" s="427"/>
      <c r="AN246" s="427"/>
      <c r="AO246" s="427"/>
      <c r="AP246" s="427"/>
      <c r="AQ246" s="427"/>
      <c r="AR246" s="434"/>
      <c r="AS246" s="435"/>
    </row>
    <row r="247">
      <c r="A247" s="94"/>
      <c r="B247" s="408" t="s">
        <v>626</v>
      </c>
      <c r="C247" s="409">
        <v>43478.0</v>
      </c>
      <c r="D247" s="410" t="s">
        <v>280</v>
      </c>
      <c r="E247" s="411">
        <v>43572.0</v>
      </c>
      <c r="F247" s="412" t="s">
        <v>258</v>
      </c>
      <c r="G247" s="411">
        <v>43581.0</v>
      </c>
      <c r="H247" s="412" t="s">
        <v>282</v>
      </c>
      <c r="I247" s="422" t="s">
        <v>1454</v>
      </c>
      <c r="J247" s="414" t="s">
        <v>186</v>
      </c>
      <c r="K247" s="475" t="s">
        <v>519</v>
      </c>
      <c r="L247" s="498" t="s">
        <v>342</v>
      </c>
      <c r="M247" s="427" t="s">
        <v>393</v>
      </c>
      <c r="N247" s="511" t="s">
        <v>562</v>
      </c>
      <c r="P247" s="486" t="s">
        <v>654</v>
      </c>
      <c r="Q247" s="427" t="s">
        <v>369</v>
      </c>
      <c r="R247" s="427" t="s">
        <v>315</v>
      </c>
      <c r="S247" s="431"/>
      <c r="T247" s="427" t="s">
        <v>324</v>
      </c>
      <c r="U247" s="427" t="s">
        <v>324</v>
      </c>
      <c r="V247" s="427" t="s">
        <v>324</v>
      </c>
      <c r="W247" s="427" t="s">
        <v>324</v>
      </c>
      <c r="X247" s="427" t="s">
        <v>324</v>
      </c>
      <c r="Y247" s="427" t="s">
        <v>282</v>
      </c>
      <c r="Z247" s="427" t="s">
        <v>324</v>
      </c>
      <c r="AA247" s="427" t="s">
        <v>324</v>
      </c>
      <c r="AB247" s="431"/>
      <c r="AC247" s="427" t="s">
        <v>999</v>
      </c>
      <c r="AD247" s="511" t="s">
        <v>1043</v>
      </c>
      <c r="AE247" s="427" t="s">
        <v>315</v>
      </c>
      <c r="AF247" s="427" t="s">
        <v>315</v>
      </c>
      <c r="AG247" s="427" t="s">
        <v>315</v>
      </c>
      <c r="AH247" s="486" t="s">
        <v>657</v>
      </c>
      <c r="AI247" s="427" t="s">
        <v>443</v>
      </c>
      <c r="AJ247" s="427" t="s">
        <v>659</v>
      </c>
      <c r="AK247" s="517" t="s">
        <v>315</v>
      </c>
      <c r="AL247" s="427" t="s">
        <v>315</v>
      </c>
      <c r="AM247" s="427" t="s">
        <v>315</v>
      </c>
      <c r="AN247" s="427" t="s">
        <v>315</v>
      </c>
      <c r="AO247" s="427" t="s">
        <v>324</v>
      </c>
      <c r="AP247" s="427" t="s">
        <v>324</v>
      </c>
      <c r="AQ247" s="427" t="s">
        <v>1455</v>
      </c>
      <c r="AR247" s="434" t="s">
        <v>1178</v>
      </c>
      <c r="AS247" s="435"/>
    </row>
    <row r="248">
      <c r="A248" s="94"/>
      <c r="B248" s="69"/>
      <c r="C248" s="70"/>
      <c r="D248" s="71"/>
      <c r="E248" s="96"/>
      <c r="F248" s="96"/>
      <c r="G248" s="96"/>
      <c r="H248" s="96"/>
      <c r="I248" s="132"/>
      <c r="J248" s="76"/>
      <c r="K248" s="79"/>
      <c r="L248" s="79"/>
      <c r="M248" s="81"/>
      <c r="N248" s="102"/>
      <c r="O248" s="102"/>
      <c r="P248" s="81"/>
      <c r="Q248" s="81"/>
      <c r="R248" s="81"/>
      <c r="S248" s="85"/>
      <c r="T248" s="81"/>
      <c r="U248" s="81"/>
      <c r="V248" s="81"/>
      <c r="W248" s="81"/>
      <c r="X248" s="81"/>
      <c r="Y248" s="81"/>
      <c r="Z248" s="81"/>
      <c r="AA248" s="81"/>
      <c r="AB248" s="85"/>
      <c r="AC248" s="81"/>
      <c r="AD248" s="102"/>
      <c r="AE248" s="81"/>
      <c r="AF248" s="81"/>
      <c r="AG248" s="81"/>
      <c r="AH248" s="81"/>
      <c r="AI248" s="81"/>
      <c r="AJ248" s="81"/>
      <c r="AK248" s="81"/>
      <c r="AL248" s="81"/>
      <c r="AM248" s="81"/>
      <c r="AN248" s="81"/>
      <c r="AO248" s="81"/>
      <c r="AP248" s="81"/>
      <c r="AQ248" s="81"/>
      <c r="AR248" s="131"/>
      <c r="AS248" s="67"/>
    </row>
    <row r="249">
      <c r="A249" s="166"/>
      <c r="B249" s="167"/>
      <c r="C249" s="168"/>
      <c r="D249" s="169"/>
      <c r="E249" s="170"/>
      <c r="F249" s="170"/>
      <c r="G249" s="170"/>
      <c r="H249" s="170"/>
      <c r="I249" s="171"/>
      <c r="J249" s="528"/>
      <c r="K249" s="127"/>
      <c r="L249" s="127" t="s">
        <v>342</v>
      </c>
      <c r="M249" s="114" t="s">
        <v>393</v>
      </c>
      <c r="N249" s="115" t="s">
        <v>562</v>
      </c>
      <c r="O249" s="115"/>
      <c r="P249" s="122" t="s">
        <v>654</v>
      </c>
      <c r="Q249" s="114" t="s">
        <v>369</v>
      </c>
      <c r="R249" s="114" t="s">
        <v>315</v>
      </c>
      <c r="S249" s="118"/>
      <c r="T249" s="114" t="s">
        <v>324</v>
      </c>
      <c r="U249" s="114" t="s">
        <v>324</v>
      </c>
      <c r="V249" s="114" t="s">
        <v>324</v>
      </c>
      <c r="W249" s="114" t="s">
        <v>324</v>
      </c>
      <c r="X249" s="114" t="s">
        <v>324</v>
      </c>
      <c r="Y249" s="114" t="s">
        <v>282</v>
      </c>
      <c r="Z249" s="114" t="s">
        <v>324</v>
      </c>
      <c r="AA249" s="114" t="s">
        <v>324</v>
      </c>
      <c r="AB249" s="118"/>
      <c r="AC249" s="114" t="s">
        <v>999</v>
      </c>
      <c r="AD249" s="115" t="s">
        <v>1043</v>
      </c>
      <c r="AE249" s="114" t="s">
        <v>369</v>
      </c>
      <c r="AF249" s="114" t="s">
        <v>315</v>
      </c>
      <c r="AG249" s="114" t="s">
        <v>315</v>
      </c>
      <c r="AH249" s="122" t="s">
        <v>657</v>
      </c>
      <c r="AI249" s="114" t="s">
        <v>443</v>
      </c>
      <c r="AJ249" s="114" t="s">
        <v>659</v>
      </c>
      <c r="AK249" s="114" t="s">
        <v>315</v>
      </c>
      <c r="AL249" s="114" t="s">
        <v>315</v>
      </c>
      <c r="AM249" s="114"/>
      <c r="AN249" s="114"/>
      <c r="AO249" s="114"/>
      <c r="AP249" s="114"/>
      <c r="AQ249" s="114" t="s">
        <v>1456</v>
      </c>
      <c r="AR249" s="142" t="s">
        <v>1178</v>
      </c>
      <c r="AS249" s="143"/>
    </row>
    <row r="250">
      <c r="A250" s="94"/>
      <c r="B250" s="69" t="s">
        <v>626</v>
      </c>
      <c r="C250" s="70">
        <v>43478.0</v>
      </c>
      <c r="D250" s="71" t="s">
        <v>280</v>
      </c>
      <c r="E250" s="72">
        <v>43572.0</v>
      </c>
      <c r="F250" s="73" t="s">
        <v>258</v>
      </c>
      <c r="G250" s="72">
        <v>43581.0</v>
      </c>
      <c r="H250" s="73" t="s">
        <v>282</v>
      </c>
      <c r="I250" s="132" t="s">
        <v>1457</v>
      </c>
      <c r="J250" s="98" t="s">
        <v>187</v>
      </c>
      <c r="K250" s="129" t="s">
        <v>416</v>
      </c>
      <c r="L250" s="79" t="s">
        <v>311</v>
      </c>
      <c r="M250" s="81" t="s">
        <v>291</v>
      </c>
      <c r="N250" s="102" t="s">
        <v>486</v>
      </c>
      <c r="P250" s="102" t="s">
        <v>486</v>
      </c>
      <c r="Q250" s="81" t="s">
        <v>369</v>
      </c>
      <c r="R250" s="81" t="s">
        <v>849</v>
      </c>
      <c r="S250" s="82" t="s">
        <v>887</v>
      </c>
      <c r="T250" s="81" t="s">
        <v>1458</v>
      </c>
      <c r="U250" s="81" t="s">
        <v>1458</v>
      </c>
      <c r="V250" s="81" t="s">
        <v>324</v>
      </c>
      <c r="W250" s="81" t="s">
        <v>324</v>
      </c>
      <c r="X250" s="81" t="s">
        <v>282</v>
      </c>
      <c r="Y250" s="81" t="s">
        <v>282</v>
      </c>
      <c r="Z250" s="81" t="s">
        <v>324</v>
      </c>
      <c r="AA250" s="81" t="s">
        <v>324</v>
      </c>
      <c r="AB250" s="85"/>
      <c r="AC250" s="81" t="s">
        <v>1000</v>
      </c>
      <c r="AD250" s="102" t="s">
        <v>486</v>
      </c>
      <c r="AE250" s="81" t="s">
        <v>1458</v>
      </c>
      <c r="AF250" s="81" t="s">
        <v>315</v>
      </c>
      <c r="AG250" s="81" t="s">
        <v>1458</v>
      </c>
      <c r="AH250" s="81" t="s">
        <v>315</v>
      </c>
      <c r="AI250" s="81" t="s">
        <v>443</v>
      </c>
      <c r="AJ250" s="81" t="s">
        <v>1459</v>
      </c>
      <c r="AK250" s="529" t="s">
        <v>366</v>
      </c>
      <c r="AL250" s="81" t="s">
        <v>315</v>
      </c>
      <c r="AM250" s="81" t="s">
        <v>315</v>
      </c>
      <c r="AN250" s="81" t="s">
        <v>315</v>
      </c>
      <c r="AO250" s="81" t="s">
        <v>324</v>
      </c>
      <c r="AP250" s="81" t="s">
        <v>324</v>
      </c>
      <c r="AQ250" s="81" t="s">
        <v>1460</v>
      </c>
      <c r="AR250" s="131" t="s">
        <v>639</v>
      </c>
      <c r="AS250" s="67"/>
    </row>
    <row r="251">
      <c r="A251" s="94"/>
      <c r="B251" s="69"/>
      <c r="C251" s="70"/>
      <c r="D251" s="71"/>
      <c r="E251" s="96"/>
      <c r="F251" s="96"/>
      <c r="G251" s="96"/>
      <c r="H251" s="96"/>
      <c r="I251" s="132"/>
      <c r="J251" s="98" t="s">
        <v>1461</v>
      </c>
      <c r="K251" s="100"/>
      <c r="L251" s="79"/>
      <c r="M251" s="81"/>
      <c r="N251" s="102"/>
      <c r="O251" s="102"/>
      <c r="P251" s="102"/>
      <c r="Q251" s="81"/>
      <c r="R251" s="81"/>
      <c r="S251" s="81"/>
      <c r="T251" s="81"/>
      <c r="U251" s="81"/>
      <c r="V251" s="81"/>
      <c r="W251" s="81"/>
      <c r="X251" s="81"/>
      <c r="Y251" s="81"/>
      <c r="Z251" s="81"/>
      <c r="AA251" s="81"/>
      <c r="AB251" s="85"/>
      <c r="AC251" s="81"/>
      <c r="AD251" s="102"/>
      <c r="AE251" s="81"/>
      <c r="AF251" s="81"/>
      <c r="AG251" s="81"/>
      <c r="AH251" s="82" t="s">
        <v>955</v>
      </c>
      <c r="AI251" s="81" t="s">
        <v>443</v>
      </c>
      <c r="AJ251" s="81" t="s">
        <v>1105</v>
      </c>
      <c r="AK251" s="529"/>
      <c r="AL251" s="81"/>
      <c r="AM251" s="81"/>
      <c r="AN251" s="81"/>
      <c r="AO251" s="81"/>
      <c r="AP251" s="81"/>
      <c r="AQ251" s="81" t="s">
        <v>1462</v>
      </c>
      <c r="AR251" s="131"/>
      <c r="AS251" s="67"/>
    </row>
    <row r="252">
      <c r="A252" s="166"/>
      <c r="B252" s="167"/>
      <c r="C252" s="168"/>
      <c r="D252" s="169"/>
      <c r="E252" s="170"/>
      <c r="F252" s="170"/>
      <c r="G252" s="170"/>
      <c r="H252" s="170"/>
      <c r="I252" s="171"/>
      <c r="J252" s="172"/>
      <c r="K252" s="173"/>
      <c r="L252" s="127" t="s">
        <v>311</v>
      </c>
      <c r="M252" s="114" t="s">
        <v>291</v>
      </c>
      <c r="N252" s="115" t="s">
        <v>486</v>
      </c>
      <c r="O252" s="115"/>
      <c r="P252" s="115" t="s">
        <v>486</v>
      </c>
      <c r="Q252" s="114" t="s">
        <v>369</v>
      </c>
      <c r="R252" s="114" t="s">
        <v>849</v>
      </c>
      <c r="S252" s="122" t="s">
        <v>887</v>
      </c>
      <c r="T252" s="114" t="s">
        <v>324</v>
      </c>
      <c r="U252" s="114" t="s">
        <v>324</v>
      </c>
      <c r="V252" s="114" t="s">
        <v>324</v>
      </c>
      <c r="W252" s="114" t="s">
        <v>324</v>
      </c>
      <c r="X252" s="114" t="s">
        <v>324</v>
      </c>
      <c r="Y252" s="114" t="s">
        <v>324</v>
      </c>
      <c r="Z252" s="114" t="s">
        <v>324</v>
      </c>
      <c r="AA252" s="114" t="s">
        <v>324</v>
      </c>
      <c r="AB252" s="118"/>
      <c r="AC252" s="114" t="s">
        <v>1000</v>
      </c>
      <c r="AD252" s="115" t="s">
        <v>486</v>
      </c>
      <c r="AE252" s="114" t="s">
        <v>315</v>
      </c>
      <c r="AF252" s="114" t="s">
        <v>315</v>
      </c>
      <c r="AG252" s="114" t="s">
        <v>315</v>
      </c>
      <c r="AH252" s="122" t="s">
        <v>955</v>
      </c>
      <c r="AI252" s="114" t="s">
        <v>443</v>
      </c>
      <c r="AJ252" s="114" t="s">
        <v>1105</v>
      </c>
      <c r="AK252" s="530" t="s">
        <v>366</v>
      </c>
      <c r="AL252" s="114" t="s">
        <v>315</v>
      </c>
      <c r="AM252" s="114"/>
      <c r="AN252" s="114"/>
      <c r="AO252" s="114"/>
      <c r="AP252" s="114"/>
      <c r="AQ252" s="114" t="s">
        <v>1460</v>
      </c>
      <c r="AR252" s="142" t="s">
        <v>639</v>
      </c>
      <c r="AS252" s="143"/>
    </row>
    <row r="253">
      <c r="A253" s="94"/>
      <c r="B253" s="69" t="s">
        <v>626</v>
      </c>
      <c r="C253" s="70">
        <v>43478.0</v>
      </c>
      <c r="D253" s="71" t="s">
        <v>280</v>
      </c>
      <c r="E253" s="72">
        <v>43572.0</v>
      </c>
      <c r="F253" s="73" t="s">
        <v>258</v>
      </c>
      <c r="G253" s="72">
        <v>43581.0</v>
      </c>
      <c r="H253" s="73" t="s">
        <v>282</v>
      </c>
      <c r="I253" s="132" t="s">
        <v>1463</v>
      </c>
      <c r="J253" s="76" t="s">
        <v>188</v>
      </c>
      <c r="K253" s="129" t="s">
        <v>770</v>
      </c>
      <c r="L253" s="79" t="s">
        <v>305</v>
      </c>
      <c r="M253" s="81" t="s">
        <v>393</v>
      </c>
      <c r="N253" s="102" t="s">
        <v>566</v>
      </c>
      <c r="Q253" s="81" t="s">
        <v>315</v>
      </c>
      <c r="R253" s="81" t="s">
        <v>847</v>
      </c>
      <c r="S253" s="82" t="s">
        <v>899</v>
      </c>
      <c r="T253" s="81" t="s">
        <v>324</v>
      </c>
      <c r="U253" s="81" t="s">
        <v>324</v>
      </c>
      <c r="V253" s="81" t="s">
        <v>324</v>
      </c>
      <c r="W253" s="81" t="s">
        <v>324</v>
      </c>
      <c r="X253" s="81" t="s">
        <v>282</v>
      </c>
      <c r="Y253" s="81" t="s">
        <v>282</v>
      </c>
      <c r="Z253" s="81" t="s">
        <v>324</v>
      </c>
      <c r="AA253" s="81" t="s">
        <v>324</v>
      </c>
      <c r="AB253" s="85"/>
      <c r="AC253" s="81" t="s">
        <v>324</v>
      </c>
      <c r="AD253" s="85"/>
      <c r="AE253" s="81" t="s">
        <v>315</v>
      </c>
      <c r="AF253" s="81" t="s">
        <v>315</v>
      </c>
      <c r="AG253" s="81" t="s">
        <v>315</v>
      </c>
      <c r="AH253" s="81" t="s">
        <v>1165</v>
      </c>
      <c r="AI253" s="81" t="s">
        <v>615</v>
      </c>
      <c r="AJ253" s="81" t="s">
        <v>1267</v>
      </c>
      <c r="AK253" s="81" t="s">
        <v>315</v>
      </c>
      <c r="AL253" s="81" t="s">
        <v>315</v>
      </c>
      <c r="AM253" s="81" t="s">
        <v>315</v>
      </c>
      <c r="AN253" s="81" t="s">
        <v>1464</v>
      </c>
      <c r="AO253" s="81" t="s">
        <v>324</v>
      </c>
      <c r="AP253" s="81" t="s">
        <v>324</v>
      </c>
      <c r="AQ253" s="81" t="s">
        <v>1465</v>
      </c>
      <c r="AR253" s="131" t="s">
        <v>639</v>
      </c>
      <c r="AS253" s="25" t="s">
        <v>1466</v>
      </c>
    </row>
    <row r="254">
      <c r="A254" s="94"/>
      <c r="B254" s="69"/>
      <c r="C254" s="70"/>
      <c r="D254" s="71"/>
      <c r="E254" s="96"/>
      <c r="F254" s="96"/>
      <c r="G254" s="96"/>
      <c r="H254" s="96"/>
      <c r="I254" s="132"/>
      <c r="J254" s="76"/>
      <c r="K254" s="79"/>
      <c r="L254" s="79"/>
      <c r="M254" s="81"/>
      <c r="N254" s="102"/>
      <c r="O254" s="102"/>
      <c r="P254" s="102"/>
      <c r="Q254" s="81"/>
      <c r="R254" s="81"/>
      <c r="S254" s="81"/>
      <c r="T254" s="81"/>
      <c r="U254" s="81"/>
      <c r="V254" s="81"/>
      <c r="W254" s="81"/>
      <c r="X254" s="81"/>
      <c r="Y254" s="81"/>
      <c r="Z254" s="81"/>
      <c r="AA254" s="81"/>
      <c r="AB254" s="85"/>
      <c r="AC254" s="81"/>
      <c r="AD254" s="85"/>
      <c r="AE254" s="81"/>
      <c r="AF254" s="81"/>
      <c r="AG254" s="81"/>
      <c r="AH254" s="133"/>
      <c r="AI254" s="81" t="s">
        <v>315</v>
      </c>
      <c r="AJ254" s="81"/>
      <c r="AK254" s="81"/>
      <c r="AL254" s="81"/>
      <c r="AM254" s="81"/>
      <c r="AN254" s="81" t="s">
        <v>324</v>
      </c>
      <c r="AO254" s="81"/>
      <c r="AP254" s="81"/>
      <c r="AQ254" s="81"/>
      <c r="AR254" s="131"/>
      <c r="AS254" s="67"/>
    </row>
    <row r="255">
      <c r="A255" s="166"/>
      <c r="B255" s="167"/>
      <c r="C255" s="168"/>
      <c r="D255" s="169"/>
      <c r="E255" s="170"/>
      <c r="F255" s="170"/>
      <c r="G255" s="170"/>
      <c r="H255" s="170"/>
      <c r="I255" s="171"/>
      <c r="J255" s="528"/>
      <c r="K255" s="127"/>
      <c r="L255" s="127" t="s">
        <v>305</v>
      </c>
      <c r="M255" s="114" t="s">
        <v>393</v>
      </c>
      <c r="N255" s="115" t="s">
        <v>566</v>
      </c>
      <c r="O255" s="115"/>
      <c r="P255" s="115"/>
      <c r="Q255" s="114" t="s">
        <v>315</v>
      </c>
      <c r="R255" s="114" t="s">
        <v>847</v>
      </c>
      <c r="S255" s="122" t="s">
        <v>899</v>
      </c>
      <c r="T255" s="114" t="s">
        <v>324</v>
      </c>
      <c r="U255" s="114" t="s">
        <v>324</v>
      </c>
      <c r="V255" s="114" t="s">
        <v>324</v>
      </c>
      <c r="W255" s="114" t="s">
        <v>324</v>
      </c>
      <c r="X255" s="114" t="s">
        <v>324</v>
      </c>
      <c r="Y255" s="114" t="s">
        <v>324</v>
      </c>
      <c r="Z255" s="114" t="s">
        <v>324</v>
      </c>
      <c r="AA255" s="114" t="s">
        <v>324</v>
      </c>
      <c r="AB255" s="118"/>
      <c r="AC255" s="114"/>
      <c r="AD255" s="118"/>
      <c r="AE255" s="114" t="s">
        <v>315</v>
      </c>
      <c r="AF255" s="114" t="s">
        <v>315</v>
      </c>
      <c r="AG255" s="114" t="s">
        <v>315</v>
      </c>
      <c r="AH255" s="114" t="s">
        <v>1165</v>
      </c>
      <c r="AI255" s="114" t="s">
        <v>615</v>
      </c>
      <c r="AJ255" s="114" t="s">
        <v>1267</v>
      </c>
      <c r="AK255" s="114" t="s">
        <v>315</v>
      </c>
      <c r="AL255" s="114" t="s">
        <v>315</v>
      </c>
      <c r="AM255" s="114"/>
      <c r="AN255" s="114"/>
      <c r="AO255" s="114"/>
      <c r="AP255" s="114"/>
      <c r="AQ255" s="114" t="s">
        <v>1465</v>
      </c>
      <c r="AR255" s="142" t="s">
        <v>639</v>
      </c>
      <c r="AS255" s="176" t="s">
        <v>1466</v>
      </c>
    </row>
    <row r="256" ht="18.0" customHeight="1">
      <c r="A256" s="94"/>
      <c r="B256" s="69" t="s">
        <v>626</v>
      </c>
      <c r="C256" s="70">
        <v>43479.0</v>
      </c>
      <c r="D256" s="71" t="s">
        <v>280</v>
      </c>
      <c r="E256" s="72">
        <v>43572.0</v>
      </c>
      <c r="F256" s="73" t="s">
        <v>258</v>
      </c>
      <c r="G256" s="72">
        <v>43581.0</v>
      </c>
      <c r="H256" s="73" t="s">
        <v>282</v>
      </c>
      <c r="I256" s="132" t="s">
        <v>1467</v>
      </c>
      <c r="J256" s="98" t="s">
        <v>190</v>
      </c>
      <c r="K256" s="129" t="s">
        <v>455</v>
      </c>
      <c r="L256" s="79" t="s">
        <v>319</v>
      </c>
      <c r="M256" s="81" t="s">
        <v>291</v>
      </c>
      <c r="N256" s="102" t="s">
        <v>568</v>
      </c>
      <c r="Q256" s="81" t="s">
        <v>315</v>
      </c>
      <c r="R256" s="81" t="s">
        <v>850</v>
      </c>
      <c r="S256" s="82" t="s">
        <v>458</v>
      </c>
      <c r="T256" s="81" t="s">
        <v>324</v>
      </c>
      <c r="U256" s="81" t="s">
        <v>324</v>
      </c>
      <c r="V256" s="81" t="s">
        <v>951</v>
      </c>
      <c r="W256" s="81" t="s">
        <v>324</v>
      </c>
      <c r="X256" s="81" t="s">
        <v>324</v>
      </c>
      <c r="Y256" s="81" t="s">
        <v>282</v>
      </c>
      <c r="Z256" s="81" t="s">
        <v>324</v>
      </c>
      <c r="AA256" s="81" t="s">
        <v>324</v>
      </c>
      <c r="AB256" s="85"/>
      <c r="AC256" s="81" t="s">
        <v>324</v>
      </c>
      <c r="AD256" s="85"/>
      <c r="AE256" s="81" t="s">
        <v>315</v>
      </c>
      <c r="AF256" s="81" t="s">
        <v>315</v>
      </c>
      <c r="AG256" s="81" t="s">
        <v>315</v>
      </c>
      <c r="AH256" s="102" t="s">
        <v>568</v>
      </c>
      <c r="AI256" s="81" t="s">
        <v>615</v>
      </c>
      <c r="AJ256" s="81" t="s">
        <v>1468</v>
      </c>
      <c r="AK256" s="81" t="s">
        <v>315</v>
      </c>
      <c r="AL256" s="81" t="s">
        <v>315</v>
      </c>
      <c r="AM256" s="81" t="s">
        <v>315</v>
      </c>
      <c r="AN256" s="81" t="s">
        <v>315</v>
      </c>
      <c r="AO256" s="81" t="s">
        <v>324</v>
      </c>
      <c r="AP256" s="81" t="s">
        <v>324</v>
      </c>
      <c r="AQ256" s="81" t="s">
        <v>1469</v>
      </c>
      <c r="AR256" s="131" t="s">
        <v>639</v>
      </c>
      <c r="AS256" s="67"/>
    </row>
    <row r="257">
      <c r="A257" s="94"/>
      <c r="B257" s="69"/>
      <c r="C257" s="70"/>
      <c r="D257" s="71"/>
      <c r="E257" s="96"/>
      <c r="F257" s="96"/>
      <c r="G257" s="96"/>
      <c r="H257" s="96"/>
      <c r="I257" s="132"/>
      <c r="J257" s="98"/>
      <c r="K257" s="100"/>
      <c r="L257" s="79"/>
      <c r="M257" s="81"/>
      <c r="N257" s="102"/>
      <c r="O257" s="102"/>
      <c r="P257" s="102"/>
      <c r="Q257" s="81"/>
      <c r="R257" s="81"/>
      <c r="S257" s="81"/>
      <c r="T257" s="81"/>
      <c r="U257" s="81"/>
      <c r="V257" s="81"/>
      <c r="W257" s="81"/>
      <c r="X257" s="81"/>
      <c r="Y257" s="81"/>
      <c r="Z257" s="81"/>
      <c r="AA257" s="81"/>
      <c r="AB257" s="85"/>
      <c r="AC257" s="81"/>
      <c r="AD257" s="85"/>
      <c r="AE257" s="81"/>
      <c r="AF257" s="81"/>
      <c r="AG257" s="81"/>
      <c r="AH257" s="20" t="s">
        <v>1470</v>
      </c>
      <c r="AI257" s="81"/>
      <c r="AJ257" s="81" t="s">
        <v>1268</v>
      </c>
      <c r="AK257" s="81"/>
      <c r="AL257" s="81"/>
      <c r="AM257" s="81"/>
      <c r="AN257" s="81"/>
      <c r="AO257" s="81"/>
      <c r="AP257" s="81"/>
      <c r="AQ257" s="81"/>
      <c r="AR257" s="131"/>
      <c r="AS257" s="67"/>
    </row>
    <row r="258">
      <c r="A258" s="94"/>
      <c r="B258" s="69"/>
      <c r="C258" s="70"/>
      <c r="D258" s="71"/>
      <c r="E258" s="96"/>
      <c r="F258" s="96"/>
      <c r="G258" s="96"/>
      <c r="H258" s="96"/>
      <c r="I258" s="132"/>
      <c r="J258" s="98"/>
      <c r="K258" s="100"/>
      <c r="L258" s="79" t="s">
        <v>319</v>
      </c>
      <c r="M258" s="81" t="s">
        <v>291</v>
      </c>
      <c r="N258" s="102" t="s">
        <v>568</v>
      </c>
      <c r="O258" s="102"/>
      <c r="P258" s="102"/>
      <c r="Q258" s="81" t="s">
        <v>315</v>
      </c>
      <c r="R258" s="81" t="s">
        <v>850</v>
      </c>
      <c r="S258" s="82" t="s">
        <v>458</v>
      </c>
      <c r="T258" s="81" t="s">
        <v>324</v>
      </c>
      <c r="U258" s="81" t="s">
        <v>324</v>
      </c>
      <c r="V258" s="81" t="s">
        <v>951</v>
      </c>
      <c r="W258" s="81" t="s">
        <v>324</v>
      </c>
      <c r="X258" s="81" t="s">
        <v>324</v>
      </c>
      <c r="Y258" s="81" t="s">
        <v>282</v>
      </c>
      <c r="Z258" s="81" t="s">
        <v>324</v>
      </c>
      <c r="AA258" s="81" t="s">
        <v>324</v>
      </c>
      <c r="AB258" s="85"/>
      <c r="AC258" s="81"/>
      <c r="AD258" s="85"/>
      <c r="AE258" s="81" t="s">
        <v>315</v>
      </c>
      <c r="AF258" s="81" t="s">
        <v>315</v>
      </c>
      <c r="AG258" s="81" t="s">
        <v>315</v>
      </c>
      <c r="AH258" s="102" t="s">
        <v>568</v>
      </c>
      <c r="AI258" s="81" t="s">
        <v>615</v>
      </c>
      <c r="AJ258" s="81" t="s">
        <v>1268</v>
      </c>
      <c r="AK258" s="81" t="s">
        <v>315</v>
      </c>
      <c r="AL258" s="81" t="s">
        <v>315</v>
      </c>
      <c r="AM258" s="81"/>
      <c r="AN258" s="81"/>
      <c r="AO258" s="81"/>
      <c r="AP258" s="81"/>
      <c r="AQ258" s="81" t="s">
        <v>1469</v>
      </c>
      <c r="AR258" s="131" t="s">
        <v>639</v>
      </c>
      <c r="AS258" s="67"/>
    </row>
    <row r="259">
      <c r="A259" s="94"/>
      <c r="B259" s="69" t="s">
        <v>626</v>
      </c>
      <c r="C259" s="70">
        <v>43479.0</v>
      </c>
      <c r="D259" s="71" t="s">
        <v>280</v>
      </c>
      <c r="E259" s="72">
        <v>43566.0</v>
      </c>
      <c r="F259" s="73" t="s">
        <v>258</v>
      </c>
      <c r="G259" s="72">
        <v>43581.0</v>
      </c>
      <c r="H259" s="73" t="s">
        <v>282</v>
      </c>
      <c r="I259" s="132" t="s">
        <v>1471</v>
      </c>
      <c r="J259" s="76" t="s">
        <v>191</v>
      </c>
      <c r="K259" s="129" t="s">
        <v>812</v>
      </c>
      <c r="L259" s="79" t="s">
        <v>343</v>
      </c>
      <c r="M259" s="81" t="s">
        <v>291</v>
      </c>
      <c r="N259" s="102" t="s">
        <v>574</v>
      </c>
      <c r="P259" s="85"/>
      <c r="Q259" s="81" t="s">
        <v>315</v>
      </c>
      <c r="R259" s="81" t="s">
        <v>315</v>
      </c>
      <c r="S259" s="85"/>
      <c r="T259" s="81" t="s">
        <v>324</v>
      </c>
      <c r="U259" s="81" t="s">
        <v>324</v>
      </c>
      <c r="V259" s="81" t="s">
        <v>324</v>
      </c>
      <c r="W259" s="81" t="s">
        <v>324</v>
      </c>
      <c r="X259" s="81" t="s">
        <v>324</v>
      </c>
      <c r="Y259" s="81" t="s">
        <v>1458</v>
      </c>
      <c r="Z259" s="81" t="s">
        <v>324</v>
      </c>
      <c r="AA259" s="81" t="s">
        <v>329</v>
      </c>
      <c r="AB259" s="85"/>
      <c r="AC259" s="81" t="s">
        <v>324</v>
      </c>
      <c r="AD259" s="85"/>
      <c r="AE259" s="81" t="s">
        <v>315</v>
      </c>
      <c r="AF259" s="81" t="s">
        <v>315</v>
      </c>
      <c r="AG259" s="81" t="s">
        <v>315</v>
      </c>
      <c r="AH259" s="102" t="s">
        <v>574</v>
      </c>
      <c r="AI259" s="81" t="s">
        <v>1472</v>
      </c>
      <c r="AJ259" s="81" t="s">
        <v>1473</v>
      </c>
      <c r="AK259" s="529" t="s">
        <v>324</v>
      </c>
      <c r="AL259" s="81" t="s">
        <v>1458</v>
      </c>
      <c r="AM259" s="81" t="s">
        <v>1474</v>
      </c>
      <c r="AN259" s="81" t="s">
        <v>1475</v>
      </c>
      <c r="AO259" s="81" t="s">
        <v>1475</v>
      </c>
      <c r="AP259" s="81" t="s">
        <v>1475</v>
      </c>
      <c r="AQ259" s="81" t="s">
        <v>1476</v>
      </c>
      <c r="AR259" s="131" t="s">
        <v>639</v>
      </c>
      <c r="AS259" s="25"/>
    </row>
    <row r="260">
      <c r="A260" s="94"/>
      <c r="B260" s="69"/>
      <c r="C260" s="70"/>
      <c r="D260" s="71"/>
      <c r="E260" s="72"/>
      <c r="F260" s="72"/>
      <c r="G260" s="72"/>
      <c r="H260" s="72"/>
      <c r="I260" s="132"/>
      <c r="J260" s="76"/>
      <c r="K260" s="79"/>
      <c r="L260" s="79"/>
      <c r="M260" s="81"/>
      <c r="N260" s="102" t="s">
        <v>1477</v>
      </c>
      <c r="O260" s="102"/>
      <c r="P260" s="85"/>
      <c r="Q260" s="81"/>
      <c r="R260" s="81"/>
      <c r="S260" s="85"/>
      <c r="T260" s="81"/>
      <c r="U260" s="81"/>
      <c r="V260" s="81"/>
      <c r="W260" s="81"/>
      <c r="X260" s="81"/>
      <c r="Y260" s="81"/>
      <c r="Z260" s="81"/>
      <c r="AA260" s="81"/>
      <c r="AB260" s="81" t="s">
        <v>1478</v>
      </c>
      <c r="AC260" s="81"/>
      <c r="AD260" s="85"/>
      <c r="AE260" s="81"/>
      <c r="AF260" s="81"/>
      <c r="AG260" s="81"/>
      <c r="AH260" s="102"/>
      <c r="AI260" s="81"/>
      <c r="AJ260" s="81"/>
      <c r="AK260" s="529"/>
      <c r="AL260" s="81"/>
      <c r="AM260" s="81"/>
      <c r="AN260" s="81"/>
      <c r="AO260" s="81"/>
      <c r="AP260" s="81"/>
      <c r="AQ260" s="81"/>
      <c r="AR260" s="131"/>
      <c r="AS260" s="25"/>
    </row>
    <row r="261">
      <c r="A261" s="94"/>
      <c r="B261" s="69"/>
      <c r="C261" s="70"/>
      <c r="D261" s="71"/>
      <c r="E261" s="72"/>
      <c r="F261" s="72"/>
      <c r="G261" s="72"/>
      <c r="H261" s="72"/>
      <c r="I261" s="132"/>
      <c r="J261" s="76"/>
      <c r="K261" s="79"/>
      <c r="L261" s="79" t="s">
        <v>343</v>
      </c>
      <c r="M261" s="81" t="s">
        <v>291</v>
      </c>
      <c r="N261" s="102" t="s">
        <v>574</v>
      </c>
      <c r="P261" s="85"/>
      <c r="Q261" s="81" t="s">
        <v>315</v>
      </c>
      <c r="R261" s="81"/>
      <c r="S261" s="85"/>
      <c r="T261" s="81" t="s">
        <v>324</v>
      </c>
      <c r="U261" s="81" t="s">
        <v>324</v>
      </c>
      <c r="V261" s="81" t="s">
        <v>324</v>
      </c>
      <c r="W261" s="81" t="s">
        <v>324</v>
      </c>
      <c r="X261" s="81" t="s">
        <v>324</v>
      </c>
      <c r="Y261" s="81" t="s">
        <v>324</v>
      </c>
      <c r="Z261" s="81" t="s">
        <v>324</v>
      </c>
      <c r="AA261" s="81" t="s">
        <v>282</v>
      </c>
      <c r="AB261" s="81" t="s">
        <v>974</v>
      </c>
      <c r="AC261" s="81"/>
      <c r="AD261" s="85"/>
      <c r="AE261" s="81" t="s">
        <v>315</v>
      </c>
      <c r="AF261" s="81" t="s">
        <v>315</v>
      </c>
      <c r="AG261" s="81" t="s">
        <v>315</v>
      </c>
      <c r="AH261" s="102" t="s">
        <v>574</v>
      </c>
      <c r="AI261" s="81" t="s">
        <v>1239</v>
      </c>
      <c r="AJ261" s="81"/>
      <c r="AK261" s="529" t="s">
        <v>324</v>
      </c>
      <c r="AL261" s="81" t="s">
        <v>282</v>
      </c>
      <c r="AM261" s="81"/>
      <c r="AN261" s="81"/>
      <c r="AO261" s="81"/>
      <c r="AP261" s="81"/>
      <c r="AQ261" s="81" t="s">
        <v>1479</v>
      </c>
      <c r="AR261" s="131" t="s">
        <v>639</v>
      </c>
      <c r="AS261" s="25"/>
    </row>
    <row r="262">
      <c r="A262" s="94"/>
      <c r="B262" s="69" t="s">
        <v>626</v>
      </c>
      <c r="C262" s="70">
        <v>43479.0</v>
      </c>
      <c r="D262" s="71" t="s">
        <v>280</v>
      </c>
      <c r="E262" s="72">
        <v>43566.0</v>
      </c>
      <c r="F262" s="73" t="s">
        <v>258</v>
      </c>
      <c r="G262" s="72">
        <v>43581.0</v>
      </c>
      <c r="H262" s="73" t="s">
        <v>282</v>
      </c>
      <c r="I262" s="132" t="s">
        <v>1480</v>
      </c>
      <c r="J262" s="76" t="s">
        <v>193</v>
      </c>
      <c r="K262" s="129" t="s">
        <v>286</v>
      </c>
      <c r="L262" s="79" t="s">
        <v>341</v>
      </c>
      <c r="M262" s="81" t="s">
        <v>393</v>
      </c>
      <c r="N262" s="102" t="s">
        <v>579</v>
      </c>
      <c r="Q262" s="81" t="s">
        <v>315</v>
      </c>
      <c r="R262" s="81" t="s">
        <v>315</v>
      </c>
      <c r="S262" s="85"/>
      <c r="T262" s="81" t="s">
        <v>324</v>
      </c>
      <c r="U262" s="81" t="s">
        <v>324</v>
      </c>
      <c r="V262" s="81" t="s">
        <v>324</v>
      </c>
      <c r="W262" s="81" t="s">
        <v>324</v>
      </c>
      <c r="X262" s="81" t="s">
        <v>324</v>
      </c>
      <c r="Y262" s="81" t="s">
        <v>1458</v>
      </c>
      <c r="Z262" s="81" t="s">
        <v>324</v>
      </c>
      <c r="AA262" s="81" t="s">
        <v>324</v>
      </c>
      <c r="AB262" s="85"/>
      <c r="AC262" s="81" t="s">
        <v>324</v>
      </c>
      <c r="AD262" s="85"/>
      <c r="AE262" s="81" t="s">
        <v>315</v>
      </c>
      <c r="AF262" s="81" t="s">
        <v>315</v>
      </c>
      <c r="AG262" s="81" t="s">
        <v>315</v>
      </c>
      <c r="AH262" s="85"/>
      <c r="AI262" s="81" t="s">
        <v>1481</v>
      </c>
      <c r="AJ262" s="81" t="s">
        <v>1481</v>
      </c>
      <c r="AK262" s="81" t="s">
        <v>315</v>
      </c>
      <c r="AL262" s="81" t="s">
        <v>315</v>
      </c>
      <c r="AM262" s="81" t="s">
        <v>315</v>
      </c>
      <c r="AN262" s="81" t="s">
        <v>315</v>
      </c>
      <c r="AO262" s="81" t="s">
        <v>324</v>
      </c>
      <c r="AP262" s="81" t="s">
        <v>324</v>
      </c>
      <c r="AQ262" s="81" t="s">
        <v>1482</v>
      </c>
      <c r="AR262" s="131" t="s">
        <v>1441</v>
      </c>
      <c r="AS262" s="67"/>
    </row>
    <row r="263">
      <c r="A263" s="94"/>
      <c r="B263" s="69"/>
      <c r="C263" s="70"/>
      <c r="D263" s="71"/>
      <c r="E263" s="72"/>
      <c r="F263" s="72"/>
      <c r="G263" s="72"/>
      <c r="H263" s="72"/>
      <c r="I263" s="132"/>
      <c r="J263" s="76"/>
      <c r="K263" s="79"/>
      <c r="L263" s="79"/>
      <c r="M263" s="81"/>
      <c r="N263" s="102"/>
      <c r="O263" s="102"/>
      <c r="P263" s="102"/>
      <c r="Q263" s="81"/>
      <c r="R263" s="81"/>
      <c r="S263" s="85"/>
      <c r="T263" s="81"/>
      <c r="U263" s="81"/>
      <c r="V263" s="81"/>
      <c r="W263" s="81"/>
      <c r="X263" s="81"/>
      <c r="Y263" s="81"/>
      <c r="Z263" s="81"/>
      <c r="AA263" s="81"/>
      <c r="AB263" s="85"/>
      <c r="AC263" s="81"/>
      <c r="AD263" s="85"/>
      <c r="AE263" s="81"/>
      <c r="AF263" s="81"/>
      <c r="AG263" s="81"/>
      <c r="AH263" s="85"/>
      <c r="AI263" s="81"/>
      <c r="AJ263" s="81"/>
      <c r="AK263" s="81"/>
      <c r="AL263" s="81"/>
      <c r="AM263" s="81"/>
      <c r="AN263" s="81"/>
      <c r="AO263" s="81"/>
      <c r="AP263" s="81"/>
      <c r="AQ263" s="81"/>
      <c r="AR263" s="131"/>
      <c r="AS263" s="67"/>
    </row>
    <row r="264">
      <c r="A264" s="94"/>
      <c r="B264" s="69"/>
      <c r="C264" s="70"/>
      <c r="D264" s="71"/>
      <c r="E264" s="72"/>
      <c r="F264" s="72"/>
      <c r="G264" s="72"/>
      <c r="H264" s="72"/>
      <c r="I264" s="132"/>
      <c r="J264" s="76"/>
      <c r="K264" s="79"/>
      <c r="L264" s="79" t="s">
        <v>341</v>
      </c>
      <c r="M264" s="81" t="s">
        <v>393</v>
      </c>
      <c r="N264" s="102" t="s">
        <v>579</v>
      </c>
      <c r="O264" s="102"/>
      <c r="P264" s="102"/>
      <c r="Q264" s="81" t="s">
        <v>315</v>
      </c>
      <c r="R264" s="81"/>
      <c r="S264" s="85"/>
      <c r="T264" s="81" t="s">
        <v>324</v>
      </c>
      <c r="U264" s="81" t="s">
        <v>324</v>
      </c>
      <c r="V264" s="81" t="s">
        <v>324</v>
      </c>
      <c r="W264" s="81" t="s">
        <v>324</v>
      </c>
      <c r="X264" s="81" t="s">
        <v>324</v>
      </c>
      <c r="Y264" s="81" t="s">
        <v>324</v>
      </c>
      <c r="Z264" s="81" t="s">
        <v>324</v>
      </c>
      <c r="AA264" s="81" t="s">
        <v>324</v>
      </c>
      <c r="AB264" s="85"/>
      <c r="AC264" s="81"/>
      <c r="AD264" s="85"/>
      <c r="AE264" s="81" t="s">
        <v>315</v>
      </c>
      <c r="AF264" s="81" t="s">
        <v>315</v>
      </c>
      <c r="AG264" s="81" t="s">
        <v>315</v>
      </c>
      <c r="AH264" s="85"/>
      <c r="AI264" s="81" t="s">
        <v>524</v>
      </c>
      <c r="AJ264" s="81"/>
      <c r="AK264" s="81" t="s">
        <v>315</v>
      </c>
      <c r="AL264" s="81" t="s">
        <v>315</v>
      </c>
      <c r="AM264" s="81"/>
      <c r="AN264" s="81"/>
      <c r="AO264" s="81"/>
      <c r="AP264" s="81"/>
      <c r="AQ264" s="81" t="s">
        <v>1482</v>
      </c>
      <c r="AR264" s="131" t="s">
        <v>1441</v>
      </c>
      <c r="AS264" s="67"/>
    </row>
    <row r="265">
      <c r="A265" s="94"/>
      <c r="B265" s="69" t="s">
        <v>626</v>
      </c>
      <c r="C265" s="70">
        <v>43480.0</v>
      </c>
      <c r="D265" s="71" t="s">
        <v>280</v>
      </c>
      <c r="E265" s="72">
        <v>43566.0</v>
      </c>
      <c r="F265" s="73" t="s">
        <v>258</v>
      </c>
      <c r="G265" s="72">
        <v>43581.0</v>
      </c>
      <c r="H265" s="73" t="s">
        <v>282</v>
      </c>
      <c r="I265" s="132" t="s">
        <v>1483</v>
      </c>
      <c r="J265" s="76" t="s">
        <v>194</v>
      </c>
      <c r="K265" s="129" t="s">
        <v>770</v>
      </c>
      <c r="L265" s="79" t="s">
        <v>322</v>
      </c>
      <c r="M265" s="81" t="s">
        <v>393</v>
      </c>
      <c r="N265" s="82" t="s">
        <v>581</v>
      </c>
      <c r="P265" s="102" t="s">
        <v>654</v>
      </c>
      <c r="Q265" s="81" t="s">
        <v>369</v>
      </c>
      <c r="R265" s="81" t="s">
        <v>315</v>
      </c>
      <c r="S265" s="85"/>
      <c r="T265" s="81" t="s">
        <v>324</v>
      </c>
      <c r="U265" s="81" t="s">
        <v>324</v>
      </c>
      <c r="V265" s="81" t="s">
        <v>324</v>
      </c>
      <c r="W265" s="81" t="s">
        <v>324</v>
      </c>
      <c r="X265" s="81" t="s">
        <v>324</v>
      </c>
      <c r="Y265" s="81" t="s">
        <v>282</v>
      </c>
      <c r="Z265" s="81" t="s">
        <v>324</v>
      </c>
      <c r="AA265" s="81" t="s">
        <v>324</v>
      </c>
      <c r="AB265" s="85"/>
      <c r="AC265" s="81" t="s">
        <v>999</v>
      </c>
      <c r="AD265" s="82" t="s">
        <v>1043</v>
      </c>
      <c r="AE265" s="81" t="s">
        <v>315</v>
      </c>
      <c r="AF265" s="81" t="s">
        <v>315</v>
      </c>
      <c r="AG265" s="81" t="s">
        <v>315</v>
      </c>
      <c r="AH265" s="102" t="s">
        <v>657</v>
      </c>
      <c r="AI265" s="81" t="s">
        <v>443</v>
      </c>
      <c r="AJ265" s="81" t="s">
        <v>659</v>
      </c>
      <c r="AK265" s="81" t="s">
        <v>315</v>
      </c>
      <c r="AL265" s="81" t="s">
        <v>315</v>
      </c>
      <c r="AM265" s="81" t="s">
        <v>315</v>
      </c>
      <c r="AN265" s="81" t="s">
        <v>315</v>
      </c>
      <c r="AO265" s="81" t="s">
        <v>324</v>
      </c>
      <c r="AP265" s="81" t="s">
        <v>324</v>
      </c>
      <c r="AQ265" s="81" t="s">
        <v>1484</v>
      </c>
      <c r="AR265" s="131" t="s">
        <v>639</v>
      </c>
      <c r="AS265" s="67"/>
    </row>
    <row r="266">
      <c r="A266" s="94"/>
      <c r="B266" s="69"/>
      <c r="C266" s="70"/>
      <c r="D266" s="71"/>
      <c r="E266" s="72"/>
      <c r="F266" s="72"/>
      <c r="G266" s="72"/>
      <c r="H266" s="72"/>
      <c r="I266" s="132"/>
      <c r="J266" s="76"/>
      <c r="K266" s="79"/>
      <c r="L266" s="79"/>
      <c r="M266" s="81"/>
      <c r="N266" s="81"/>
      <c r="O266" s="81"/>
      <c r="P266" s="102"/>
      <c r="Q266" s="81"/>
      <c r="R266" s="81"/>
      <c r="S266" s="85"/>
      <c r="T266" s="81"/>
      <c r="U266" s="81"/>
      <c r="V266" s="81"/>
      <c r="W266" s="81"/>
      <c r="X266" s="81"/>
      <c r="Y266" s="81"/>
      <c r="Z266" s="81"/>
      <c r="AA266" s="81"/>
      <c r="AB266" s="85"/>
      <c r="AC266" s="81"/>
      <c r="AD266" s="81"/>
      <c r="AE266" s="81"/>
      <c r="AF266" s="81"/>
      <c r="AG266" s="81"/>
      <c r="AH266" s="102"/>
      <c r="AI266" s="81"/>
      <c r="AJ266" s="81"/>
      <c r="AK266" s="81"/>
      <c r="AL266" s="81"/>
      <c r="AM266" s="81"/>
      <c r="AN266" s="81"/>
      <c r="AO266" s="81"/>
      <c r="AP266" s="81"/>
      <c r="AQ266" s="81"/>
      <c r="AR266" s="131"/>
      <c r="AS266" s="67"/>
    </row>
    <row r="267">
      <c r="A267" s="166"/>
      <c r="B267" s="167"/>
      <c r="C267" s="168"/>
      <c r="D267" s="169"/>
      <c r="E267" s="197"/>
      <c r="F267" s="197"/>
      <c r="G267" s="197"/>
      <c r="H267" s="197"/>
      <c r="I267" s="171"/>
      <c r="J267" s="528"/>
      <c r="K267" s="127"/>
      <c r="L267" s="127" t="s">
        <v>322</v>
      </c>
      <c r="M267" s="114" t="s">
        <v>393</v>
      </c>
      <c r="N267" s="122" t="s">
        <v>581</v>
      </c>
      <c r="O267" s="114"/>
      <c r="P267" s="115" t="s">
        <v>654</v>
      </c>
      <c r="Q267" s="114" t="s">
        <v>369</v>
      </c>
      <c r="R267" s="114"/>
      <c r="S267" s="118"/>
      <c r="T267" s="114" t="s">
        <v>324</v>
      </c>
      <c r="U267" s="114" t="s">
        <v>324</v>
      </c>
      <c r="V267" s="114" t="s">
        <v>324</v>
      </c>
      <c r="W267" s="114" t="s">
        <v>324</v>
      </c>
      <c r="X267" s="114" t="s">
        <v>324</v>
      </c>
      <c r="Y267" s="114" t="s">
        <v>324</v>
      </c>
      <c r="Z267" s="114" t="s">
        <v>324</v>
      </c>
      <c r="AA267" s="114" t="s">
        <v>324</v>
      </c>
      <c r="AB267" s="118"/>
      <c r="AC267" s="114" t="s">
        <v>999</v>
      </c>
      <c r="AD267" s="122" t="s">
        <v>1043</v>
      </c>
      <c r="AE267" s="114" t="s">
        <v>315</v>
      </c>
      <c r="AF267" s="114" t="s">
        <v>315</v>
      </c>
      <c r="AG267" s="114" t="s">
        <v>315</v>
      </c>
      <c r="AH267" s="115" t="s">
        <v>657</v>
      </c>
      <c r="AI267" s="114" t="s">
        <v>443</v>
      </c>
      <c r="AJ267" s="114" t="s">
        <v>659</v>
      </c>
      <c r="AK267" s="114" t="s">
        <v>315</v>
      </c>
      <c r="AL267" s="114" t="s">
        <v>315</v>
      </c>
      <c r="AM267" s="114"/>
      <c r="AN267" s="114"/>
      <c r="AO267" s="114"/>
      <c r="AP267" s="114"/>
      <c r="AQ267" s="114" t="s">
        <v>1484</v>
      </c>
      <c r="AR267" s="142" t="s">
        <v>639</v>
      </c>
      <c r="AS267" s="143"/>
    </row>
    <row r="268">
      <c r="A268" s="94"/>
      <c r="B268" s="69" t="s">
        <v>626</v>
      </c>
      <c r="C268" s="70">
        <v>43480.0</v>
      </c>
      <c r="D268" s="71" t="s">
        <v>280</v>
      </c>
      <c r="E268" s="72">
        <v>43566.0</v>
      </c>
      <c r="F268" s="73" t="s">
        <v>258</v>
      </c>
      <c r="G268" s="72">
        <v>43581.0</v>
      </c>
      <c r="H268" s="73" t="s">
        <v>282</v>
      </c>
      <c r="I268" s="132" t="s">
        <v>1485</v>
      </c>
      <c r="J268" s="76" t="s">
        <v>195</v>
      </c>
      <c r="K268" s="129" t="s">
        <v>770</v>
      </c>
      <c r="L268" s="79" t="s">
        <v>317</v>
      </c>
      <c r="M268" s="81" t="s">
        <v>393</v>
      </c>
      <c r="N268" s="102" t="s">
        <v>582</v>
      </c>
      <c r="Q268" s="81" t="s">
        <v>315</v>
      </c>
      <c r="R268" s="81" t="s">
        <v>315</v>
      </c>
      <c r="S268" s="85"/>
      <c r="T268" s="81" t="s">
        <v>324</v>
      </c>
      <c r="U268" s="81" t="s">
        <v>324</v>
      </c>
      <c r="V268" s="81" t="s">
        <v>324</v>
      </c>
      <c r="W268" s="81" t="s">
        <v>324</v>
      </c>
      <c r="X268" s="81" t="s">
        <v>324</v>
      </c>
      <c r="Y268" s="81" t="s">
        <v>1458</v>
      </c>
      <c r="Z268" s="81" t="s">
        <v>324</v>
      </c>
      <c r="AA268" s="81" t="s">
        <v>324</v>
      </c>
      <c r="AB268" s="85"/>
      <c r="AC268" s="81" t="s">
        <v>1001</v>
      </c>
      <c r="AE268" s="81" t="s">
        <v>315</v>
      </c>
      <c r="AF268" s="81" t="s">
        <v>315</v>
      </c>
      <c r="AG268" s="81" t="s">
        <v>315</v>
      </c>
      <c r="AH268" s="85"/>
      <c r="AI268" s="81" t="s">
        <v>524</v>
      </c>
      <c r="AJ268" s="81" t="s">
        <v>524</v>
      </c>
      <c r="AK268" s="529" t="s">
        <v>324</v>
      </c>
      <c r="AL268" s="81" t="s">
        <v>524</v>
      </c>
      <c r="AM268" s="81" t="s">
        <v>524</v>
      </c>
      <c r="AN268" s="81" t="s">
        <v>524</v>
      </c>
      <c r="AO268" s="81" t="s">
        <v>524</v>
      </c>
      <c r="AP268" s="81" t="s">
        <v>524</v>
      </c>
      <c r="AQ268" s="81" t="s">
        <v>1486</v>
      </c>
      <c r="AR268" s="131" t="s">
        <v>703</v>
      </c>
      <c r="AS268" s="25"/>
    </row>
    <row r="269">
      <c r="A269" s="94"/>
      <c r="B269" s="69"/>
      <c r="C269" s="70"/>
      <c r="D269" s="71"/>
      <c r="E269" s="72"/>
      <c r="F269" s="72"/>
      <c r="G269" s="72"/>
      <c r="H269" s="72"/>
      <c r="I269" s="132"/>
      <c r="J269" s="76"/>
      <c r="K269" s="79"/>
      <c r="L269" s="79"/>
      <c r="M269" s="81"/>
      <c r="N269" s="102"/>
      <c r="O269" s="102"/>
      <c r="P269" s="102"/>
      <c r="Q269" s="81"/>
      <c r="R269" s="81"/>
      <c r="S269" s="85"/>
      <c r="T269" s="81"/>
      <c r="U269" s="81"/>
      <c r="V269" s="81"/>
      <c r="W269" s="81"/>
      <c r="X269" s="81"/>
      <c r="Y269" s="81"/>
      <c r="Z269" s="81"/>
      <c r="AA269" s="81"/>
      <c r="AB269" s="85"/>
      <c r="AC269" s="81" t="s">
        <v>1487</v>
      </c>
      <c r="AD269" s="81" t="s">
        <v>1488</v>
      </c>
      <c r="AE269" s="81"/>
      <c r="AF269" s="81"/>
      <c r="AG269" s="81"/>
      <c r="AH269" s="85"/>
      <c r="AI269" s="81"/>
      <c r="AJ269" s="81"/>
      <c r="AK269" s="529"/>
      <c r="AL269" s="81"/>
      <c r="AM269" s="81"/>
      <c r="AN269" s="81"/>
      <c r="AO269" s="81"/>
      <c r="AP269" s="81"/>
      <c r="AQ269" s="81"/>
      <c r="AR269" s="131"/>
      <c r="AS269" s="25"/>
    </row>
    <row r="270">
      <c r="A270" s="166"/>
      <c r="B270" s="167"/>
      <c r="C270" s="168"/>
      <c r="D270" s="169"/>
      <c r="E270" s="197"/>
      <c r="F270" s="197"/>
      <c r="G270" s="197"/>
      <c r="H270" s="197"/>
      <c r="I270" s="171"/>
      <c r="J270" s="528"/>
      <c r="K270" s="127"/>
      <c r="L270" s="127" t="s">
        <v>317</v>
      </c>
      <c r="M270" s="114" t="s">
        <v>393</v>
      </c>
      <c r="N270" s="115" t="s">
        <v>582</v>
      </c>
      <c r="O270" s="115"/>
      <c r="P270" s="115"/>
      <c r="Q270" s="114" t="s">
        <v>315</v>
      </c>
      <c r="R270" s="114"/>
      <c r="S270" s="118"/>
      <c r="T270" s="114" t="s">
        <v>324</v>
      </c>
      <c r="U270" s="114" t="s">
        <v>324</v>
      </c>
      <c r="V270" s="114" t="s">
        <v>324</v>
      </c>
      <c r="W270" s="114" t="s">
        <v>324</v>
      </c>
      <c r="X270" s="114" t="s">
        <v>324</v>
      </c>
      <c r="Y270" s="114" t="s">
        <v>324</v>
      </c>
      <c r="Z270" s="114" t="s">
        <v>324</v>
      </c>
      <c r="AA270" s="114" t="s">
        <v>324</v>
      </c>
      <c r="AB270" s="118"/>
      <c r="AC270" s="114" t="s">
        <v>1001</v>
      </c>
      <c r="AD270" s="114"/>
      <c r="AE270" s="114" t="s">
        <v>315</v>
      </c>
      <c r="AF270" s="114" t="s">
        <v>315</v>
      </c>
      <c r="AG270" s="114" t="s">
        <v>315</v>
      </c>
      <c r="AH270" s="118"/>
      <c r="AI270" s="114" t="s">
        <v>524</v>
      </c>
      <c r="AJ270" s="114"/>
      <c r="AK270" s="530" t="s">
        <v>324</v>
      </c>
      <c r="AL270" s="114"/>
      <c r="AM270" s="114"/>
      <c r="AN270" s="114"/>
      <c r="AO270" s="114"/>
      <c r="AP270" s="114"/>
      <c r="AQ270" s="114" t="s">
        <v>1486</v>
      </c>
      <c r="AR270" s="142" t="s">
        <v>703</v>
      </c>
      <c r="AS270" s="176"/>
    </row>
    <row r="271">
      <c r="A271" s="94"/>
      <c r="B271" s="69" t="s">
        <v>626</v>
      </c>
      <c r="C271" s="70">
        <v>43480.0</v>
      </c>
      <c r="D271" s="71" t="s">
        <v>479</v>
      </c>
      <c r="E271" s="72">
        <v>43575.0</v>
      </c>
      <c r="F271" s="73" t="s">
        <v>258</v>
      </c>
      <c r="G271" s="72">
        <v>43581.0</v>
      </c>
      <c r="H271" s="73" t="s">
        <v>282</v>
      </c>
      <c r="I271" s="132" t="s">
        <v>1489</v>
      </c>
      <c r="J271" s="76" t="s">
        <v>196</v>
      </c>
      <c r="K271" s="129" t="s">
        <v>770</v>
      </c>
      <c r="L271" s="79" t="s">
        <v>317</v>
      </c>
      <c r="M271" s="81" t="s">
        <v>393</v>
      </c>
      <c r="N271" s="82" t="s">
        <v>585</v>
      </c>
      <c r="Q271" s="81" t="s">
        <v>315</v>
      </c>
      <c r="R271" s="81" t="s">
        <v>315</v>
      </c>
      <c r="S271" s="85"/>
      <c r="T271" s="81" t="s">
        <v>324</v>
      </c>
      <c r="U271" s="81" t="s">
        <v>324</v>
      </c>
      <c r="V271" s="81" t="s">
        <v>324</v>
      </c>
      <c r="W271" s="81" t="s">
        <v>324</v>
      </c>
      <c r="X271" s="81" t="s">
        <v>324</v>
      </c>
      <c r="Y271" s="81" t="s">
        <v>1458</v>
      </c>
      <c r="Z271" s="81" t="s">
        <v>324</v>
      </c>
      <c r="AA271" s="81" t="s">
        <v>324</v>
      </c>
      <c r="AB271" s="85"/>
      <c r="AC271" s="81" t="s">
        <v>1001</v>
      </c>
      <c r="AE271" s="81" t="s">
        <v>315</v>
      </c>
      <c r="AF271" s="81" t="s">
        <v>315</v>
      </c>
      <c r="AG271" s="81" t="s">
        <v>315</v>
      </c>
      <c r="AH271" s="85"/>
      <c r="AI271" s="81" t="s">
        <v>524</v>
      </c>
      <c r="AJ271" s="81" t="s">
        <v>524</v>
      </c>
      <c r="AK271" s="139" t="s">
        <v>324</v>
      </c>
      <c r="AL271" s="81" t="s">
        <v>524</v>
      </c>
      <c r="AM271" s="81" t="s">
        <v>524</v>
      </c>
      <c r="AN271" s="81" t="s">
        <v>524</v>
      </c>
      <c r="AO271" s="81" t="s">
        <v>524</v>
      </c>
      <c r="AP271" s="81" t="s">
        <v>524</v>
      </c>
      <c r="AQ271" s="81" t="s">
        <v>1490</v>
      </c>
      <c r="AR271" s="131" t="s">
        <v>703</v>
      </c>
      <c r="AS271" s="67"/>
    </row>
    <row r="272">
      <c r="A272" s="94"/>
      <c r="B272" s="69"/>
      <c r="C272" s="70"/>
      <c r="D272" s="71"/>
      <c r="E272" s="96"/>
      <c r="F272" s="96"/>
      <c r="G272" s="96"/>
      <c r="H272" s="96"/>
      <c r="I272" s="132"/>
      <c r="J272" s="76"/>
      <c r="K272" s="79"/>
      <c r="L272" s="79"/>
      <c r="M272" s="81"/>
      <c r="N272" s="81"/>
      <c r="O272" s="81" t="s">
        <v>504</v>
      </c>
      <c r="P272" s="81" t="s">
        <v>504</v>
      </c>
      <c r="Q272" s="81"/>
      <c r="R272" s="81" t="s">
        <v>324</v>
      </c>
      <c r="S272" s="81" t="s">
        <v>504</v>
      </c>
      <c r="T272" s="81"/>
      <c r="U272" s="81"/>
      <c r="V272" s="81"/>
      <c r="W272" s="81"/>
      <c r="X272" s="81"/>
      <c r="Y272" s="81"/>
      <c r="Z272" s="81"/>
      <c r="AA272" s="81"/>
      <c r="AB272" s="85"/>
      <c r="AC272" s="81"/>
      <c r="AD272" s="81"/>
      <c r="AE272" s="81"/>
      <c r="AF272" s="81"/>
      <c r="AG272" s="81"/>
      <c r="AH272" s="85"/>
      <c r="AI272" s="81"/>
      <c r="AJ272" s="81"/>
      <c r="AK272" s="139"/>
      <c r="AL272" s="81"/>
      <c r="AM272" s="81"/>
      <c r="AN272" s="81"/>
      <c r="AO272" s="81"/>
      <c r="AP272" s="81"/>
      <c r="AQ272" s="81"/>
      <c r="AR272" s="131"/>
      <c r="AS272" s="67"/>
    </row>
    <row r="273">
      <c r="A273" s="166"/>
      <c r="B273" s="167"/>
      <c r="C273" s="168"/>
      <c r="D273" s="169"/>
      <c r="E273" s="170"/>
      <c r="F273" s="170"/>
      <c r="G273" s="170"/>
      <c r="H273" s="170"/>
      <c r="I273" s="171"/>
      <c r="J273" s="528"/>
      <c r="K273" s="127"/>
      <c r="L273" s="127" t="s">
        <v>317</v>
      </c>
      <c r="M273" s="114" t="s">
        <v>393</v>
      </c>
      <c r="N273" s="122" t="s">
        <v>585</v>
      </c>
      <c r="O273" s="114"/>
      <c r="P273" s="114"/>
      <c r="Q273" s="114" t="s">
        <v>315</v>
      </c>
      <c r="R273" s="114"/>
      <c r="S273" s="118"/>
      <c r="T273" s="114" t="s">
        <v>324</v>
      </c>
      <c r="U273" s="114" t="s">
        <v>324</v>
      </c>
      <c r="V273" s="114" t="s">
        <v>324</v>
      </c>
      <c r="W273" s="114" t="s">
        <v>324</v>
      </c>
      <c r="X273" s="114" t="s">
        <v>324</v>
      </c>
      <c r="Y273" s="114" t="s">
        <v>324</v>
      </c>
      <c r="Z273" s="114" t="s">
        <v>324</v>
      </c>
      <c r="AA273" s="114" t="s">
        <v>324</v>
      </c>
      <c r="AB273" s="118"/>
      <c r="AC273" s="114" t="s">
        <v>1001</v>
      </c>
      <c r="AD273" s="114"/>
      <c r="AE273" s="114" t="s">
        <v>315</v>
      </c>
      <c r="AF273" s="114" t="s">
        <v>315</v>
      </c>
      <c r="AG273" s="114" t="s">
        <v>315</v>
      </c>
      <c r="AH273" s="118"/>
      <c r="AI273" s="114" t="s">
        <v>524</v>
      </c>
      <c r="AJ273" s="114"/>
      <c r="AK273" s="141" t="s">
        <v>324</v>
      </c>
      <c r="AL273" s="114"/>
      <c r="AM273" s="114"/>
      <c r="AN273" s="114"/>
      <c r="AO273" s="114"/>
      <c r="AP273" s="114"/>
      <c r="AQ273" s="114" t="s">
        <v>1490</v>
      </c>
      <c r="AR273" s="142" t="s">
        <v>703</v>
      </c>
      <c r="AS273" s="143"/>
    </row>
    <row r="274">
      <c r="A274" s="94"/>
      <c r="B274" s="69" t="s">
        <v>626</v>
      </c>
      <c r="C274" s="70">
        <v>43480.0</v>
      </c>
      <c r="D274" s="71" t="s">
        <v>479</v>
      </c>
      <c r="E274" s="72">
        <v>43575.0</v>
      </c>
      <c r="F274" s="73" t="s">
        <v>258</v>
      </c>
      <c r="G274" s="72">
        <v>43581.0</v>
      </c>
      <c r="H274" s="73" t="s">
        <v>282</v>
      </c>
      <c r="I274" s="132" t="s">
        <v>1491</v>
      </c>
      <c r="J274" s="76" t="s">
        <v>197</v>
      </c>
      <c r="K274" s="129" t="s">
        <v>286</v>
      </c>
      <c r="L274" s="79" t="s">
        <v>305</v>
      </c>
      <c r="M274" s="81" t="s">
        <v>393</v>
      </c>
      <c r="N274" s="82" t="s">
        <v>586</v>
      </c>
      <c r="P274" s="102" t="s">
        <v>747</v>
      </c>
      <c r="Q274" s="81" t="s">
        <v>315</v>
      </c>
      <c r="R274" s="81" t="s">
        <v>847</v>
      </c>
      <c r="S274" s="82" t="s">
        <v>899</v>
      </c>
      <c r="T274" s="81" t="s">
        <v>1458</v>
      </c>
      <c r="U274" s="81" t="s">
        <v>1458</v>
      </c>
      <c r="V274" s="81" t="s">
        <v>1458</v>
      </c>
      <c r="W274" s="81" t="s">
        <v>324</v>
      </c>
      <c r="X274" s="81" t="s">
        <v>1458</v>
      </c>
      <c r="Y274" s="81" t="s">
        <v>282</v>
      </c>
      <c r="Z274" s="81" t="s">
        <v>324</v>
      </c>
      <c r="AA274" s="81" t="s">
        <v>1458</v>
      </c>
      <c r="AB274" s="85"/>
      <c r="AC274" s="81" t="s">
        <v>324</v>
      </c>
      <c r="AD274" s="85"/>
      <c r="AE274" s="81" t="s">
        <v>315</v>
      </c>
      <c r="AF274" s="81" t="s">
        <v>315</v>
      </c>
      <c r="AG274" s="81" t="s">
        <v>315</v>
      </c>
      <c r="AH274" s="82" t="s">
        <v>1166</v>
      </c>
      <c r="AI274" s="81" t="s">
        <v>615</v>
      </c>
      <c r="AJ274" s="81" t="s">
        <v>1267</v>
      </c>
      <c r="AK274" s="529" t="s">
        <v>324</v>
      </c>
      <c r="AL274" s="81" t="s">
        <v>315</v>
      </c>
      <c r="AM274" s="81" t="s">
        <v>315</v>
      </c>
      <c r="AN274" s="81" t="s">
        <v>315</v>
      </c>
      <c r="AO274" s="81" t="s">
        <v>324</v>
      </c>
      <c r="AP274" s="81" t="s">
        <v>324</v>
      </c>
      <c r="AQ274" s="81" t="s">
        <v>1492</v>
      </c>
      <c r="AR274" s="131" t="s">
        <v>703</v>
      </c>
      <c r="AS274" s="67"/>
    </row>
    <row r="275">
      <c r="A275" s="94"/>
      <c r="B275" s="69"/>
      <c r="C275" s="70"/>
      <c r="D275" s="71"/>
      <c r="E275" s="96"/>
      <c r="F275" s="96"/>
      <c r="G275" s="96"/>
      <c r="H275" s="96"/>
      <c r="I275" s="132"/>
      <c r="J275" s="76"/>
      <c r="K275" s="79"/>
      <c r="L275" s="79"/>
      <c r="M275" s="81"/>
      <c r="N275" s="81" t="s">
        <v>1493</v>
      </c>
      <c r="O275" s="81" t="s">
        <v>504</v>
      </c>
      <c r="P275" s="102"/>
      <c r="Q275" s="81"/>
      <c r="R275" s="81"/>
      <c r="S275" s="81"/>
      <c r="T275" s="81" t="s">
        <v>324</v>
      </c>
      <c r="U275" s="81" t="s">
        <v>324</v>
      </c>
      <c r="V275" s="81" t="s">
        <v>324</v>
      </c>
      <c r="W275" s="81" t="s">
        <v>324</v>
      </c>
      <c r="X275" s="81" t="s">
        <v>324</v>
      </c>
      <c r="Y275" s="81"/>
      <c r="Z275" s="81"/>
      <c r="AA275" s="81" t="s">
        <v>324</v>
      </c>
      <c r="AB275" s="85"/>
      <c r="AC275" s="81"/>
      <c r="AD275" s="85"/>
      <c r="AE275" s="81"/>
      <c r="AF275" s="81"/>
      <c r="AG275" s="81"/>
      <c r="AH275" s="81"/>
      <c r="AI275" s="81"/>
      <c r="AJ275" s="81"/>
      <c r="AK275" s="529"/>
      <c r="AL275" s="81"/>
      <c r="AM275" s="81"/>
      <c r="AN275" s="81" t="s">
        <v>1494</v>
      </c>
      <c r="AO275" s="81"/>
      <c r="AP275" s="81"/>
      <c r="AQ275" s="81"/>
      <c r="AR275" s="131"/>
      <c r="AS275" s="67"/>
    </row>
    <row r="276">
      <c r="A276" s="166"/>
      <c r="B276" s="167"/>
      <c r="C276" s="168"/>
      <c r="D276" s="169"/>
      <c r="E276" s="170"/>
      <c r="F276" s="170"/>
      <c r="G276" s="170"/>
      <c r="H276" s="170"/>
      <c r="I276" s="171"/>
      <c r="J276" s="528"/>
      <c r="K276" s="127"/>
      <c r="L276" s="127" t="s">
        <v>305</v>
      </c>
      <c r="M276" s="114" t="s">
        <v>393</v>
      </c>
      <c r="N276" s="122" t="s">
        <v>586</v>
      </c>
      <c r="P276" s="115" t="s">
        <v>747</v>
      </c>
      <c r="Q276" s="114" t="s">
        <v>315</v>
      </c>
      <c r="R276" s="114" t="s">
        <v>847</v>
      </c>
      <c r="S276" s="122" t="s">
        <v>899</v>
      </c>
      <c r="T276" s="114" t="s">
        <v>324</v>
      </c>
      <c r="U276" s="114" t="s">
        <v>324</v>
      </c>
      <c r="V276" s="114" t="s">
        <v>324</v>
      </c>
      <c r="W276" s="114" t="s">
        <v>324</v>
      </c>
      <c r="X276" s="114" t="s">
        <v>324</v>
      </c>
      <c r="Y276" s="114" t="s">
        <v>282</v>
      </c>
      <c r="Z276" s="114" t="s">
        <v>324</v>
      </c>
      <c r="AA276" s="114" t="s">
        <v>324</v>
      </c>
      <c r="AB276" s="118"/>
      <c r="AC276" s="114"/>
      <c r="AD276" s="118"/>
      <c r="AE276" s="114" t="s">
        <v>315</v>
      </c>
      <c r="AF276" s="114" t="s">
        <v>315</v>
      </c>
      <c r="AG276" s="114" t="s">
        <v>315</v>
      </c>
      <c r="AH276" s="122" t="s">
        <v>1166</v>
      </c>
      <c r="AI276" s="114" t="s">
        <v>615</v>
      </c>
      <c r="AJ276" s="114" t="s">
        <v>1267</v>
      </c>
      <c r="AK276" s="530" t="s">
        <v>324</v>
      </c>
      <c r="AL276" s="114" t="s">
        <v>315</v>
      </c>
      <c r="AM276" s="114"/>
      <c r="AN276" s="114"/>
      <c r="AO276" s="114"/>
      <c r="AP276" s="114"/>
      <c r="AQ276" s="114" t="s">
        <v>1492</v>
      </c>
      <c r="AR276" s="142" t="s">
        <v>703</v>
      </c>
      <c r="AS276" s="143"/>
    </row>
    <row r="277">
      <c r="A277" s="240"/>
      <c r="B277" s="69" t="s">
        <v>238</v>
      </c>
      <c r="C277" s="70">
        <v>43441.0</v>
      </c>
      <c r="D277" s="71" t="s">
        <v>479</v>
      </c>
      <c r="E277" s="72">
        <v>43575.0</v>
      </c>
      <c r="F277" s="73" t="s">
        <v>280</v>
      </c>
      <c r="G277" s="72">
        <v>43581.0</v>
      </c>
      <c r="H277" s="73" t="s">
        <v>282</v>
      </c>
      <c r="I277" s="128" t="s">
        <v>1495</v>
      </c>
      <c r="J277" s="76" t="s">
        <v>198</v>
      </c>
      <c r="K277" s="77" t="s">
        <v>770</v>
      </c>
      <c r="L277" s="79" t="s">
        <v>344</v>
      </c>
      <c r="M277" s="81" t="s">
        <v>1496</v>
      </c>
      <c r="N277" s="82" t="s">
        <v>587</v>
      </c>
      <c r="P277" s="85"/>
      <c r="Q277" s="81" t="s">
        <v>282</v>
      </c>
      <c r="R277" s="81" t="s">
        <v>324</v>
      </c>
      <c r="S277" s="85"/>
      <c r="T277" s="81" t="s">
        <v>324</v>
      </c>
      <c r="U277" s="81" t="s">
        <v>324</v>
      </c>
      <c r="V277" s="81" t="s">
        <v>324</v>
      </c>
      <c r="W277" s="81" t="s">
        <v>324</v>
      </c>
      <c r="X277" s="81" t="s">
        <v>329</v>
      </c>
      <c r="Y277" s="81" t="s">
        <v>324</v>
      </c>
      <c r="Z277" s="81" t="s">
        <v>324</v>
      </c>
      <c r="AA277" s="81" t="s">
        <v>324</v>
      </c>
      <c r="AB277" s="85"/>
      <c r="AC277" s="81" t="s">
        <v>324</v>
      </c>
      <c r="AD277" s="85"/>
      <c r="AE277" s="81" t="s">
        <v>315</v>
      </c>
      <c r="AF277" s="81" t="s">
        <v>315</v>
      </c>
      <c r="AG277" s="81" t="s">
        <v>315</v>
      </c>
      <c r="AH277" s="85"/>
      <c r="AI277" s="81" t="s">
        <v>524</v>
      </c>
      <c r="AJ277" s="81" t="s">
        <v>324</v>
      </c>
      <c r="AK277" s="81" t="s">
        <v>324</v>
      </c>
      <c r="AL277" s="81" t="s">
        <v>315</v>
      </c>
      <c r="AM277" s="81" t="s">
        <v>324</v>
      </c>
      <c r="AN277" s="81" t="s">
        <v>324</v>
      </c>
      <c r="AO277" s="81" t="s">
        <v>324</v>
      </c>
      <c r="AP277" s="81" t="s">
        <v>324</v>
      </c>
      <c r="AQ277" s="81" t="s">
        <v>1497</v>
      </c>
      <c r="AR277" s="131" t="s">
        <v>703</v>
      </c>
      <c r="AS277" s="67"/>
    </row>
    <row r="278">
      <c r="A278" s="383"/>
      <c r="B278" s="69"/>
      <c r="C278" s="70"/>
      <c r="D278" s="71"/>
      <c r="E278" s="96"/>
      <c r="F278" s="96"/>
      <c r="G278" s="96"/>
      <c r="H278" s="96"/>
      <c r="I278" s="132"/>
      <c r="J278" s="384"/>
      <c r="K278" s="387"/>
      <c r="L278" s="79"/>
      <c r="M278" s="81" t="s">
        <v>1498</v>
      </c>
      <c r="N278" s="81"/>
      <c r="O278" s="81"/>
      <c r="P278" s="91" t="s">
        <v>1499</v>
      </c>
      <c r="Q278" s="81" t="s">
        <v>315</v>
      </c>
      <c r="R278" s="81"/>
      <c r="S278" s="85"/>
      <c r="T278" s="81"/>
      <c r="U278" s="81"/>
      <c r="V278" s="81"/>
      <c r="W278" s="81"/>
      <c r="X278" s="81"/>
      <c r="Y278" s="81"/>
      <c r="Z278" s="81"/>
      <c r="AA278" s="81"/>
      <c r="AB278" s="85"/>
      <c r="AC278" s="181"/>
      <c r="AD278" s="85"/>
      <c r="AE278" s="81"/>
      <c r="AF278" s="81"/>
      <c r="AG278" s="81"/>
      <c r="AH278" s="85"/>
      <c r="AI278" s="181"/>
      <c r="AJ278" s="81"/>
      <c r="AK278" s="81"/>
      <c r="AL278" s="81"/>
      <c r="AM278" s="81"/>
      <c r="AN278" s="81"/>
      <c r="AO278" s="81"/>
      <c r="AP278" s="81"/>
      <c r="AQ278" s="81"/>
      <c r="AR278" s="131"/>
      <c r="AS278" s="67"/>
    </row>
    <row r="279">
      <c r="A279" s="383"/>
      <c r="B279" s="69"/>
      <c r="C279" s="70"/>
      <c r="D279" s="71"/>
      <c r="E279" s="96"/>
      <c r="F279" s="96"/>
      <c r="G279" s="96"/>
      <c r="H279" s="73" t="s">
        <v>1500</v>
      </c>
      <c r="I279" s="132"/>
      <c r="J279" s="384"/>
      <c r="K279" s="387"/>
      <c r="L279" s="79" t="s">
        <v>344</v>
      </c>
      <c r="M279" s="81" t="s">
        <v>400</v>
      </c>
      <c r="N279" s="82" t="s">
        <v>587</v>
      </c>
      <c r="O279" s="81"/>
      <c r="P279" s="85"/>
      <c r="Q279" s="81" t="s">
        <v>315</v>
      </c>
      <c r="R279" s="81"/>
      <c r="S279" s="85"/>
      <c r="T279" s="81" t="s">
        <v>324</v>
      </c>
      <c r="U279" s="81" t="s">
        <v>324</v>
      </c>
      <c r="V279" s="81" t="s">
        <v>324</v>
      </c>
      <c r="W279" s="81" t="s">
        <v>324</v>
      </c>
      <c r="X279" s="81" t="s">
        <v>329</v>
      </c>
      <c r="Y279" s="81" t="s">
        <v>324</v>
      </c>
      <c r="Z279" s="81" t="s">
        <v>324</v>
      </c>
      <c r="AA279" s="81" t="s">
        <v>324</v>
      </c>
      <c r="AB279" s="85"/>
      <c r="AC279" s="181" t="s">
        <v>324</v>
      </c>
      <c r="AD279" s="85"/>
      <c r="AE279" s="81" t="s">
        <v>315</v>
      </c>
      <c r="AF279" s="81" t="s">
        <v>315</v>
      </c>
      <c r="AG279" s="81" t="s">
        <v>315</v>
      </c>
      <c r="AH279" s="85"/>
      <c r="AI279" s="181" t="s">
        <v>524</v>
      </c>
      <c r="AJ279" s="81"/>
      <c r="AK279" s="81" t="s">
        <v>324</v>
      </c>
      <c r="AL279" s="81" t="s">
        <v>315</v>
      </c>
      <c r="AM279" s="81"/>
      <c r="AN279" s="81"/>
      <c r="AO279" s="81"/>
      <c r="AP279" s="81"/>
      <c r="AQ279" s="81"/>
      <c r="AR279" s="131"/>
      <c r="AS279" s="67"/>
    </row>
    <row r="280">
      <c r="A280" s="383"/>
      <c r="B280" s="69" t="s">
        <v>238</v>
      </c>
      <c r="C280" s="70">
        <v>43441.0</v>
      </c>
      <c r="D280" s="71" t="s">
        <v>479</v>
      </c>
      <c r="E280" s="72">
        <v>43575.0</v>
      </c>
      <c r="F280" s="73" t="s">
        <v>280</v>
      </c>
      <c r="G280" s="72">
        <v>43581.0</v>
      </c>
      <c r="H280" s="73" t="s">
        <v>282</v>
      </c>
      <c r="I280" s="132" t="s">
        <v>1501</v>
      </c>
      <c r="J280" s="384" t="s">
        <v>199</v>
      </c>
      <c r="K280" s="129" t="s">
        <v>770</v>
      </c>
      <c r="L280" s="79" t="s">
        <v>305</v>
      </c>
      <c r="M280" s="81" t="s">
        <v>393</v>
      </c>
      <c r="N280" s="82" t="s">
        <v>588</v>
      </c>
      <c r="P280" s="82" t="s">
        <v>780</v>
      </c>
      <c r="R280" s="81" t="s">
        <v>748</v>
      </c>
      <c r="S280" s="82" t="s">
        <v>749</v>
      </c>
      <c r="T280" s="81" t="s">
        <v>282</v>
      </c>
      <c r="U280" s="81" t="s">
        <v>282</v>
      </c>
      <c r="V280" s="81" t="s">
        <v>282</v>
      </c>
      <c r="W280" s="81" t="s">
        <v>282</v>
      </c>
      <c r="X280" s="81" t="s">
        <v>282</v>
      </c>
      <c r="Y280" s="81" t="s">
        <v>282</v>
      </c>
      <c r="Z280" s="81" t="s">
        <v>282</v>
      </c>
      <c r="AA280" s="81" t="s">
        <v>282</v>
      </c>
      <c r="AB280" s="81" t="s">
        <v>971</v>
      </c>
      <c r="AC280" s="181" t="s">
        <v>798</v>
      </c>
      <c r="AD280" s="82" t="s">
        <v>559</v>
      </c>
      <c r="AE280" s="81" t="s">
        <v>315</v>
      </c>
      <c r="AF280" s="81" t="s">
        <v>315</v>
      </c>
      <c r="AG280" s="81" t="s">
        <v>315</v>
      </c>
      <c r="AH280" s="82" t="s">
        <v>752</v>
      </c>
      <c r="AI280" s="181" t="s">
        <v>1161</v>
      </c>
      <c r="AJ280" s="81" t="s">
        <v>324</v>
      </c>
      <c r="AK280" s="81" t="s">
        <v>324</v>
      </c>
      <c r="AL280" s="81" t="s">
        <v>315</v>
      </c>
      <c r="AM280" s="81" t="s">
        <v>324</v>
      </c>
      <c r="AN280" s="81" t="s">
        <v>754</v>
      </c>
      <c r="AO280" s="81" t="s">
        <v>324</v>
      </c>
      <c r="AP280" s="81" t="s">
        <v>324</v>
      </c>
      <c r="AQ280" s="81" t="s">
        <v>1502</v>
      </c>
      <c r="AR280" s="131" t="s">
        <v>1069</v>
      </c>
      <c r="AS280" s="67"/>
    </row>
    <row r="281">
      <c r="A281" s="383"/>
      <c r="B281" s="69"/>
      <c r="C281" s="70"/>
      <c r="D281" s="71"/>
      <c r="E281" s="96"/>
      <c r="F281" s="96"/>
      <c r="G281" s="96"/>
      <c r="H281" s="96"/>
      <c r="I281" s="132"/>
      <c r="J281" s="384"/>
      <c r="K281" s="387"/>
      <c r="L281" s="79"/>
      <c r="M281" s="81"/>
      <c r="N281" s="81"/>
      <c r="O281" s="81"/>
      <c r="P281" s="81"/>
      <c r="Q281" s="81" t="s">
        <v>315</v>
      </c>
      <c r="R281" s="81"/>
      <c r="S281" s="81"/>
      <c r="T281" s="81" t="s">
        <v>324</v>
      </c>
      <c r="U281" s="81" t="s">
        <v>324</v>
      </c>
      <c r="V281" s="81" t="s">
        <v>324</v>
      </c>
      <c r="W281" s="81" t="s">
        <v>324</v>
      </c>
      <c r="X281" s="81" t="s">
        <v>324</v>
      </c>
      <c r="Y281" s="81"/>
      <c r="Z281" s="81" t="s">
        <v>324</v>
      </c>
      <c r="AA281" s="81" t="s">
        <v>324</v>
      </c>
      <c r="AB281" s="81"/>
      <c r="AC281" s="181"/>
      <c r="AD281" s="81"/>
      <c r="AE281" s="81"/>
      <c r="AF281" s="81"/>
      <c r="AG281" s="81"/>
      <c r="AH281" s="20" t="s">
        <v>761</v>
      </c>
      <c r="AI281" s="133" t="s">
        <v>615</v>
      </c>
      <c r="AJ281" s="531" t="s">
        <v>1503</v>
      </c>
      <c r="AK281" s="81"/>
      <c r="AL281" s="81"/>
      <c r="AM281" s="81"/>
      <c r="AN281" s="81" t="s">
        <v>1504</v>
      </c>
      <c r="AO281" s="81"/>
      <c r="AP281" s="81"/>
      <c r="AQ281" s="81" t="s">
        <v>1505</v>
      </c>
      <c r="AR281" s="131"/>
      <c r="AS281" s="67"/>
    </row>
    <row r="282">
      <c r="A282" s="383"/>
      <c r="B282" s="69"/>
      <c r="C282" s="70"/>
      <c r="D282" s="71"/>
      <c r="E282" s="96"/>
      <c r="F282" s="96"/>
      <c r="G282" s="96"/>
      <c r="H282" s="96"/>
      <c r="I282" s="132"/>
      <c r="J282" s="384"/>
      <c r="K282" s="387"/>
      <c r="L282" s="79" t="s">
        <v>305</v>
      </c>
      <c r="M282" s="81" t="s">
        <v>393</v>
      </c>
      <c r="N282" s="200" t="s">
        <v>588</v>
      </c>
      <c r="O282" s="81"/>
      <c r="P282" s="200" t="s">
        <v>780</v>
      </c>
      <c r="Q282" s="81" t="s">
        <v>315</v>
      </c>
      <c r="R282" s="81" t="s">
        <v>748</v>
      </c>
      <c r="S282" s="82" t="s">
        <v>749</v>
      </c>
      <c r="T282" s="81" t="s">
        <v>324</v>
      </c>
      <c r="U282" s="81" t="s">
        <v>324</v>
      </c>
      <c r="V282" s="81" t="s">
        <v>324</v>
      </c>
      <c r="W282" s="81" t="s">
        <v>324</v>
      </c>
      <c r="X282" s="81" t="s">
        <v>324</v>
      </c>
      <c r="Y282" s="81" t="s">
        <v>282</v>
      </c>
      <c r="Z282" s="81" t="s">
        <v>324</v>
      </c>
      <c r="AA282" s="81" t="s">
        <v>324</v>
      </c>
      <c r="AB282" s="81" t="s">
        <v>971</v>
      </c>
      <c r="AC282" s="181" t="s">
        <v>798</v>
      </c>
      <c r="AD282" s="82" t="s">
        <v>559</v>
      </c>
      <c r="AE282" s="81" t="s">
        <v>315</v>
      </c>
      <c r="AF282" s="81" t="s">
        <v>315</v>
      </c>
      <c r="AG282" s="81" t="s">
        <v>315</v>
      </c>
      <c r="AH282" s="91"/>
      <c r="AI282" s="133" t="s">
        <v>615</v>
      </c>
      <c r="AJ282" s="531"/>
      <c r="AK282" s="114" t="s">
        <v>324</v>
      </c>
      <c r="AL282" s="81"/>
      <c r="AM282" s="81"/>
      <c r="AN282" s="81"/>
      <c r="AO282" s="81"/>
      <c r="AP282" s="81"/>
      <c r="AQ282" s="81"/>
      <c r="AR282" s="131"/>
      <c r="AS282" s="67"/>
    </row>
    <row r="283">
      <c r="A283" s="383"/>
      <c r="B283" s="69" t="s">
        <v>238</v>
      </c>
      <c r="C283" s="70">
        <v>43441.0</v>
      </c>
      <c r="D283" s="71" t="s">
        <v>626</v>
      </c>
      <c r="E283" s="186">
        <v>43574.0</v>
      </c>
      <c r="F283" s="73" t="s">
        <v>258</v>
      </c>
      <c r="G283" s="186">
        <v>43581.0</v>
      </c>
      <c r="H283" s="73" t="s">
        <v>282</v>
      </c>
      <c r="I283" s="132" t="s">
        <v>1506</v>
      </c>
      <c r="J283" s="384" t="s">
        <v>200</v>
      </c>
      <c r="K283" s="129" t="s">
        <v>519</v>
      </c>
      <c r="L283" s="79" t="s">
        <v>345</v>
      </c>
      <c r="M283" s="81" t="s">
        <v>315</v>
      </c>
      <c r="N283" s="85"/>
      <c r="O283" s="85"/>
      <c r="P283" s="85"/>
      <c r="Q283" s="81" t="s">
        <v>315</v>
      </c>
      <c r="R283" s="85"/>
      <c r="S283" s="85"/>
      <c r="T283" s="81" t="s">
        <v>324</v>
      </c>
      <c r="U283" s="81" t="s">
        <v>324</v>
      </c>
      <c r="V283" s="81" t="s">
        <v>324</v>
      </c>
      <c r="W283" s="81" t="s">
        <v>324</v>
      </c>
      <c r="X283" s="81" t="s">
        <v>324</v>
      </c>
      <c r="Y283" s="81" t="s">
        <v>324</v>
      </c>
      <c r="Z283" s="81" t="s">
        <v>324</v>
      </c>
      <c r="AA283" s="81" t="s">
        <v>324</v>
      </c>
      <c r="AB283" s="85"/>
      <c r="AC283" s="181" t="s">
        <v>324</v>
      </c>
      <c r="AD283" s="85"/>
      <c r="AE283" s="81" t="s">
        <v>315</v>
      </c>
      <c r="AF283" s="81" t="s">
        <v>315</v>
      </c>
      <c r="AG283" s="81" t="s">
        <v>315</v>
      </c>
      <c r="AH283" s="85"/>
      <c r="AI283" s="181" t="s">
        <v>524</v>
      </c>
      <c r="AJ283" s="81" t="s">
        <v>324</v>
      </c>
      <c r="AK283" s="81" t="s">
        <v>324</v>
      </c>
      <c r="AL283" s="81" t="s">
        <v>315</v>
      </c>
      <c r="AM283" s="81" t="s">
        <v>324</v>
      </c>
      <c r="AN283" s="81" t="s">
        <v>324</v>
      </c>
      <c r="AO283" s="81" t="s">
        <v>324</v>
      </c>
      <c r="AP283" s="81" t="s">
        <v>324</v>
      </c>
      <c r="AQ283" s="81" t="s">
        <v>1507</v>
      </c>
      <c r="AR283" s="131" t="s">
        <v>1069</v>
      </c>
      <c r="AS283" s="67"/>
    </row>
    <row r="284">
      <c r="A284" s="383"/>
      <c r="B284" s="69"/>
      <c r="C284" s="70"/>
      <c r="D284" s="71"/>
      <c r="E284" s="96"/>
      <c r="F284" s="96"/>
      <c r="G284" s="96"/>
      <c r="H284" s="96"/>
      <c r="I284" s="132"/>
      <c r="J284" s="384"/>
      <c r="K284" s="387"/>
      <c r="L284" s="79"/>
      <c r="M284" s="81" t="s">
        <v>401</v>
      </c>
      <c r="N284" s="20" t="s">
        <v>589</v>
      </c>
      <c r="O284" s="85"/>
      <c r="P284" s="85"/>
      <c r="Q284" s="81"/>
      <c r="R284" s="85"/>
      <c r="S284" s="85"/>
      <c r="T284" s="81"/>
      <c r="U284" s="81"/>
      <c r="V284" s="81"/>
      <c r="W284" s="81"/>
      <c r="X284" s="81"/>
      <c r="Y284" s="81" t="s">
        <v>1508</v>
      </c>
      <c r="Z284" s="81"/>
      <c r="AA284" s="81"/>
      <c r="AB284" s="85"/>
      <c r="AC284" s="181"/>
      <c r="AD284" s="85"/>
      <c r="AE284" s="81"/>
      <c r="AF284" s="81"/>
      <c r="AG284" s="81"/>
      <c r="AH284" s="85"/>
      <c r="AI284" s="181"/>
      <c r="AJ284" s="81"/>
      <c r="AK284" s="81"/>
      <c r="AL284" s="81"/>
      <c r="AM284" s="81"/>
      <c r="AN284" s="81"/>
      <c r="AO284" s="81"/>
      <c r="AP284" s="81"/>
      <c r="AQ284" s="81" t="s">
        <v>1509</v>
      </c>
      <c r="AR284" s="131" t="s">
        <v>660</v>
      </c>
      <c r="AS284" s="67"/>
    </row>
    <row r="285">
      <c r="A285" s="383"/>
      <c r="B285" s="69"/>
      <c r="C285" s="70"/>
      <c r="D285" s="71"/>
      <c r="E285" s="96"/>
      <c r="F285" s="96"/>
      <c r="G285" s="96"/>
      <c r="H285" s="96"/>
      <c r="I285" s="132"/>
      <c r="J285" s="384"/>
      <c r="K285" s="387"/>
      <c r="L285" s="79" t="s">
        <v>345</v>
      </c>
      <c r="M285" s="81" t="s">
        <v>401</v>
      </c>
      <c r="N285" s="20" t="s">
        <v>589</v>
      </c>
      <c r="O285" s="85"/>
      <c r="P285" s="85"/>
      <c r="Q285" s="81" t="s">
        <v>315</v>
      </c>
      <c r="R285" s="85"/>
      <c r="S285" s="85"/>
      <c r="T285" s="81" t="s">
        <v>324</v>
      </c>
      <c r="U285" s="81" t="s">
        <v>324</v>
      </c>
      <c r="V285" s="81" t="s">
        <v>324</v>
      </c>
      <c r="W285" s="81" t="s">
        <v>324</v>
      </c>
      <c r="X285" s="81" t="s">
        <v>324</v>
      </c>
      <c r="Y285" s="81" t="s">
        <v>282</v>
      </c>
      <c r="Z285" s="81" t="s">
        <v>324</v>
      </c>
      <c r="AA285" s="81" t="s">
        <v>324</v>
      </c>
      <c r="AB285" s="85"/>
      <c r="AC285" s="181"/>
      <c r="AD285" s="85"/>
      <c r="AE285" s="81" t="s">
        <v>315</v>
      </c>
      <c r="AF285" s="81" t="s">
        <v>315</v>
      </c>
      <c r="AG285" s="81" t="s">
        <v>315</v>
      </c>
      <c r="AH285" s="85"/>
      <c r="AI285" s="181" t="s">
        <v>524</v>
      </c>
      <c r="AJ285" s="81"/>
      <c r="AK285" s="81" t="s">
        <v>324</v>
      </c>
      <c r="AL285" s="81" t="s">
        <v>315</v>
      </c>
      <c r="AM285" s="81"/>
      <c r="AN285" s="81"/>
      <c r="AO285" s="81"/>
      <c r="AP285" s="81"/>
      <c r="AQ285" s="81" t="s">
        <v>1510</v>
      </c>
      <c r="AR285" s="131" t="s">
        <v>1069</v>
      </c>
      <c r="AS285" s="67"/>
    </row>
    <row r="286">
      <c r="A286" s="383"/>
      <c r="B286" s="69" t="s">
        <v>238</v>
      </c>
      <c r="C286" s="70">
        <v>43441.0</v>
      </c>
      <c r="D286" s="71" t="s">
        <v>626</v>
      </c>
      <c r="E286" s="186">
        <v>43574.0</v>
      </c>
      <c r="F286" s="73" t="s">
        <v>258</v>
      </c>
      <c r="G286" s="186">
        <v>43581.0</v>
      </c>
      <c r="H286" s="73" t="s">
        <v>282</v>
      </c>
      <c r="I286" s="132" t="s">
        <v>1511</v>
      </c>
      <c r="J286" s="384" t="s">
        <v>201</v>
      </c>
      <c r="K286" s="129" t="s">
        <v>519</v>
      </c>
      <c r="L286" s="79" t="s">
        <v>346</v>
      </c>
      <c r="M286" s="81" t="s">
        <v>393</v>
      </c>
      <c r="N286" s="82" t="s">
        <v>590</v>
      </c>
      <c r="P286" s="82" t="s">
        <v>1512</v>
      </c>
      <c r="Q286" s="81" t="s">
        <v>315</v>
      </c>
      <c r="R286" s="81" t="s">
        <v>324</v>
      </c>
      <c r="S286" s="85"/>
      <c r="T286" s="81" t="s">
        <v>324</v>
      </c>
      <c r="U286" s="81" t="s">
        <v>324</v>
      </c>
      <c r="V286" s="81" t="s">
        <v>324</v>
      </c>
      <c r="W286" s="81" t="s">
        <v>324</v>
      </c>
      <c r="X286" s="81" t="s">
        <v>324</v>
      </c>
      <c r="Y286" s="81" t="s">
        <v>324</v>
      </c>
      <c r="Z286" s="81" t="s">
        <v>324</v>
      </c>
      <c r="AA286" s="81" t="s">
        <v>324</v>
      </c>
      <c r="AB286" s="85"/>
      <c r="AC286" s="181" t="s">
        <v>324</v>
      </c>
      <c r="AD286" s="85"/>
      <c r="AE286" s="81" t="s">
        <v>315</v>
      </c>
      <c r="AF286" s="81" t="s">
        <v>315</v>
      </c>
      <c r="AG286" s="81" t="s">
        <v>315</v>
      </c>
      <c r="AH286" s="85"/>
      <c r="AI286" s="181" t="s">
        <v>524</v>
      </c>
      <c r="AJ286" s="81" t="s">
        <v>324</v>
      </c>
      <c r="AK286" s="81" t="s">
        <v>324</v>
      </c>
      <c r="AL286" s="81" t="s">
        <v>315</v>
      </c>
      <c r="AM286" s="81" t="s">
        <v>324</v>
      </c>
      <c r="AN286" s="81" t="s">
        <v>324</v>
      </c>
      <c r="AO286" s="81" t="s">
        <v>324</v>
      </c>
      <c r="AP286" s="81" t="s">
        <v>324</v>
      </c>
      <c r="AQ286" s="81" t="s">
        <v>1513</v>
      </c>
      <c r="AR286" s="131" t="s">
        <v>703</v>
      </c>
      <c r="AS286" s="67"/>
    </row>
    <row r="287">
      <c r="A287" s="383"/>
      <c r="B287" s="69"/>
      <c r="C287" s="70"/>
      <c r="D287" s="71"/>
      <c r="E287" s="96"/>
      <c r="F287" s="96"/>
      <c r="G287" s="96"/>
      <c r="H287" s="96"/>
      <c r="I287" s="132"/>
      <c r="J287" s="384"/>
      <c r="K287" s="387"/>
      <c r="L287" s="79"/>
      <c r="M287" s="81"/>
      <c r="N287" s="81"/>
      <c r="O287" s="81"/>
      <c r="P287" s="81" t="s">
        <v>1514</v>
      </c>
      <c r="Q287" s="81"/>
      <c r="R287" s="81"/>
      <c r="S287" s="85"/>
      <c r="T287" s="81"/>
      <c r="U287" s="81"/>
      <c r="V287" s="81"/>
      <c r="W287" s="81"/>
      <c r="X287" s="81"/>
      <c r="Y287" s="81" t="s">
        <v>1515</v>
      </c>
      <c r="Z287" s="81"/>
      <c r="AA287" s="81"/>
      <c r="AB287" s="85"/>
      <c r="AC287" s="181"/>
      <c r="AD287" s="85"/>
      <c r="AE287" s="81"/>
      <c r="AF287" s="81"/>
      <c r="AG287" s="81"/>
      <c r="AH287" s="85"/>
      <c r="AI287" s="181"/>
      <c r="AJ287" s="81"/>
      <c r="AK287" s="81"/>
      <c r="AL287" s="81"/>
      <c r="AM287" s="81"/>
      <c r="AN287" s="81"/>
      <c r="AO287" s="81"/>
      <c r="AP287" s="81"/>
      <c r="AQ287" s="81" t="s">
        <v>1516</v>
      </c>
      <c r="AR287" s="131" t="s">
        <v>703</v>
      </c>
      <c r="AS287" s="67"/>
    </row>
    <row r="288">
      <c r="A288" s="383"/>
      <c r="B288" s="69"/>
      <c r="C288" s="70"/>
      <c r="D288" s="71"/>
      <c r="E288" s="96"/>
      <c r="F288" s="96"/>
      <c r="G288" s="96"/>
      <c r="H288" s="96"/>
      <c r="I288" s="132"/>
      <c r="J288" s="384"/>
      <c r="K288" s="387"/>
      <c r="L288" s="79" t="s">
        <v>346</v>
      </c>
      <c r="M288" s="81" t="s">
        <v>393</v>
      </c>
      <c r="N288" s="82" t="s">
        <v>590</v>
      </c>
      <c r="O288" s="81"/>
      <c r="P288" s="81"/>
      <c r="Q288" s="81" t="s">
        <v>315</v>
      </c>
      <c r="R288" s="81"/>
      <c r="S288" s="85"/>
      <c r="T288" s="81" t="s">
        <v>324</v>
      </c>
      <c r="U288" s="81" t="s">
        <v>324</v>
      </c>
      <c r="V288" s="81" t="s">
        <v>324</v>
      </c>
      <c r="W288" s="81" t="s">
        <v>324</v>
      </c>
      <c r="X288" s="81" t="s">
        <v>324</v>
      </c>
      <c r="Y288" s="81" t="s">
        <v>282</v>
      </c>
      <c r="Z288" s="81" t="s">
        <v>324</v>
      </c>
      <c r="AA288" s="81" t="s">
        <v>324</v>
      </c>
      <c r="AB288" s="85"/>
      <c r="AC288" s="181"/>
      <c r="AD288" s="85"/>
      <c r="AE288" s="81" t="s">
        <v>315</v>
      </c>
      <c r="AF288" s="81" t="s">
        <v>315</v>
      </c>
      <c r="AG288" s="81" t="s">
        <v>315</v>
      </c>
      <c r="AH288" s="85"/>
      <c r="AI288" s="181" t="s">
        <v>524</v>
      </c>
      <c r="AJ288" s="81"/>
      <c r="AK288" s="81" t="s">
        <v>324</v>
      </c>
      <c r="AL288" s="81" t="s">
        <v>315</v>
      </c>
      <c r="AM288" s="81"/>
      <c r="AN288" s="81"/>
      <c r="AO288" s="81"/>
      <c r="AP288" s="81"/>
      <c r="AQ288" s="81" t="s">
        <v>1517</v>
      </c>
      <c r="AR288" s="131" t="s">
        <v>703</v>
      </c>
      <c r="AS288" s="67"/>
    </row>
    <row r="289">
      <c r="A289" s="383"/>
      <c r="B289" s="69" t="s">
        <v>238</v>
      </c>
      <c r="C289" s="70">
        <v>43439.0</v>
      </c>
      <c r="D289" s="71" t="s">
        <v>626</v>
      </c>
      <c r="E289" s="186">
        <v>43574.0</v>
      </c>
      <c r="F289" s="73" t="s">
        <v>258</v>
      </c>
      <c r="G289" s="186">
        <v>43581.0</v>
      </c>
      <c r="H289" s="73" t="s">
        <v>282</v>
      </c>
      <c r="I289" s="132" t="s">
        <v>1518</v>
      </c>
      <c r="J289" s="98" t="s">
        <v>202</v>
      </c>
      <c r="K289" s="129" t="s">
        <v>770</v>
      </c>
      <c r="L289" s="79" t="s">
        <v>322</v>
      </c>
      <c r="M289" s="81" t="s">
        <v>393</v>
      </c>
      <c r="N289" s="82" t="s">
        <v>591</v>
      </c>
      <c r="Q289" s="81" t="s">
        <v>282</v>
      </c>
      <c r="R289" s="81" t="s">
        <v>324</v>
      </c>
      <c r="S289" s="85"/>
      <c r="T289" s="81" t="s">
        <v>282</v>
      </c>
      <c r="U289" s="81" t="s">
        <v>282</v>
      </c>
      <c r="V289" s="81" t="s">
        <v>282</v>
      </c>
      <c r="W289" s="81" t="s">
        <v>282</v>
      </c>
      <c r="X289" s="81" t="s">
        <v>282</v>
      </c>
      <c r="Y289" s="81" t="s">
        <v>282</v>
      </c>
      <c r="Z289" s="81" t="s">
        <v>282</v>
      </c>
      <c r="AA289" s="81" t="s">
        <v>282</v>
      </c>
      <c r="AB289" s="85"/>
      <c r="AC289" s="181" t="s">
        <v>324</v>
      </c>
      <c r="AD289" s="85"/>
      <c r="AE289" s="81" t="s">
        <v>315</v>
      </c>
      <c r="AF289" s="81" t="s">
        <v>315</v>
      </c>
      <c r="AG289" s="81" t="s">
        <v>315</v>
      </c>
      <c r="AH289" s="82" t="s">
        <v>1167</v>
      </c>
      <c r="AI289" s="81" t="s">
        <v>1520</v>
      </c>
      <c r="AJ289" s="81" t="s">
        <v>1521</v>
      </c>
      <c r="AK289" s="81" t="s">
        <v>324</v>
      </c>
      <c r="AL289" s="81" t="s">
        <v>282</v>
      </c>
      <c r="AM289" s="81" t="s">
        <v>324</v>
      </c>
      <c r="AN289" s="81" t="s">
        <v>1139</v>
      </c>
      <c r="AO289" s="81" t="s">
        <v>324</v>
      </c>
      <c r="AP289" s="81" t="s">
        <v>324</v>
      </c>
      <c r="AQ289" s="81" t="s">
        <v>1523</v>
      </c>
      <c r="AR289" s="131" t="s">
        <v>733</v>
      </c>
      <c r="AS289" s="67"/>
    </row>
    <row r="290">
      <c r="A290" s="383"/>
      <c r="B290" s="69"/>
      <c r="C290" s="70"/>
      <c r="D290" s="71"/>
      <c r="E290" s="96"/>
      <c r="F290" s="96"/>
      <c r="G290" s="96"/>
      <c r="H290" s="96"/>
      <c r="I290" s="132"/>
      <c r="J290" s="98"/>
      <c r="K290" s="100"/>
      <c r="L290" s="79"/>
      <c r="M290" s="81"/>
      <c r="N290" s="81"/>
      <c r="O290" s="81"/>
      <c r="P290" s="81" t="s">
        <v>324</v>
      </c>
      <c r="Q290" s="81" t="s">
        <v>315</v>
      </c>
      <c r="R290" s="81"/>
      <c r="S290" s="85"/>
      <c r="T290" s="81" t="s">
        <v>324</v>
      </c>
      <c r="U290" s="81" t="s">
        <v>324</v>
      </c>
      <c r="V290" s="81" t="s">
        <v>324</v>
      </c>
      <c r="W290" s="81" t="s">
        <v>324</v>
      </c>
      <c r="X290" s="81" t="s">
        <v>324</v>
      </c>
      <c r="Y290" s="81" t="s">
        <v>1508</v>
      </c>
      <c r="Z290" s="81" t="s">
        <v>324</v>
      </c>
      <c r="AA290" s="81" t="s">
        <v>324</v>
      </c>
      <c r="AB290" s="85"/>
      <c r="AC290" s="81"/>
      <c r="AD290" s="85"/>
      <c r="AE290" s="81"/>
      <c r="AF290" s="81"/>
      <c r="AG290" s="81"/>
      <c r="AH290" s="81"/>
      <c r="AI290" s="81" t="s">
        <v>1240</v>
      </c>
      <c r="AJ290" s="81"/>
      <c r="AK290" s="81"/>
      <c r="AL290" s="81" t="s">
        <v>315</v>
      </c>
      <c r="AM290" s="81"/>
      <c r="AN290" s="81" t="s">
        <v>324</v>
      </c>
      <c r="AO290" s="81"/>
      <c r="AP290" s="81"/>
      <c r="AQ290" s="81"/>
      <c r="AR290" s="131" t="s">
        <v>703</v>
      </c>
      <c r="AS290" s="67"/>
    </row>
    <row r="291">
      <c r="A291" s="388"/>
      <c r="B291" s="167"/>
      <c r="C291" s="168"/>
      <c r="D291" s="169"/>
      <c r="E291" s="170"/>
      <c r="F291" s="170"/>
      <c r="G291" s="170"/>
      <c r="H291" s="170"/>
      <c r="I291" s="171"/>
      <c r="J291" s="172"/>
      <c r="K291" s="173"/>
      <c r="L291" s="127" t="s">
        <v>322</v>
      </c>
      <c r="M291" s="114" t="s">
        <v>393</v>
      </c>
      <c r="N291" s="122" t="s">
        <v>591</v>
      </c>
      <c r="O291" s="114"/>
      <c r="P291" s="114"/>
      <c r="Q291" s="114" t="s">
        <v>282</v>
      </c>
      <c r="R291" s="114"/>
      <c r="S291" s="118"/>
      <c r="T291" s="114" t="s">
        <v>324</v>
      </c>
      <c r="U291" s="114" t="s">
        <v>324</v>
      </c>
      <c r="V291" s="114" t="s">
        <v>324</v>
      </c>
      <c r="W291" s="114" t="s">
        <v>324</v>
      </c>
      <c r="X291" s="114" t="s">
        <v>324</v>
      </c>
      <c r="Y291" s="114" t="s">
        <v>282</v>
      </c>
      <c r="Z291" s="114" t="s">
        <v>324</v>
      </c>
      <c r="AA291" s="114" t="s">
        <v>324</v>
      </c>
      <c r="AB291" s="118"/>
      <c r="AC291" s="182"/>
      <c r="AD291" s="118"/>
      <c r="AE291" s="114" t="s">
        <v>315</v>
      </c>
      <c r="AF291" s="114" t="s">
        <v>315</v>
      </c>
      <c r="AG291" s="114" t="s">
        <v>315</v>
      </c>
      <c r="AH291" s="122" t="s">
        <v>1167</v>
      </c>
      <c r="AI291" s="114" t="s">
        <v>1240</v>
      </c>
      <c r="AJ291" s="114" t="s">
        <v>1269</v>
      </c>
      <c r="AK291" s="114" t="s">
        <v>324</v>
      </c>
      <c r="AL291" s="114" t="s">
        <v>282</v>
      </c>
      <c r="AM291" s="114"/>
      <c r="AN291" s="114"/>
      <c r="AO291" s="114"/>
      <c r="AP291" s="114"/>
      <c r="AQ291" s="114" t="s">
        <v>1523</v>
      </c>
      <c r="AR291" s="142" t="s">
        <v>733</v>
      </c>
      <c r="AS291" s="143"/>
    </row>
    <row r="292">
      <c r="A292" s="240"/>
      <c r="B292" s="69" t="s">
        <v>238</v>
      </c>
      <c r="C292" s="70">
        <v>43439.0</v>
      </c>
      <c r="D292" s="71" t="s">
        <v>626</v>
      </c>
      <c r="E292" s="186">
        <v>43574.0</v>
      </c>
      <c r="F292" s="73" t="s">
        <v>258</v>
      </c>
      <c r="G292" s="186">
        <v>43581.0</v>
      </c>
      <c r="H292" s="73" t="s">
        <v>282</v>
      </c>
      <c r="I292" s="132" t="s">
        <v>1526</v>
      </c>
      <c r="J292" s="98" t="s">
        <v>203</v>
      </c>
      <c r="K292" s="129" t="s">
        <v>933</v>
      </c>
      <c r="L292" s="79" t="s">
        <v>305</v>
      </c>
      <c r="M292" s="81" t="s">
        <v>1527</v>
      </c>
      <c r="N292" s="82" t="s">
        <v>592</v>
      </c>
      <c r="P292" s="85"/>
      <c r="Q292" s="81" t="s">
        <v>315</v>
      </c>
      <c r="R292" s="81" t="s">
        <v>842</v>
      </c>
      <c r="S292" s="82" t="s">
        <v>592</v>
      </c>
      <c r="T292" s="81" t="s">
        <v>324</v>
      </c>
      <c r="U292" s="81" t="s">
        <v>324</v>
      </c>
      <c r="V292" s="81" t="s">
        <v>324</v>
      </c>
      <c r="W292" s="81" t="s">
        <v>324</v>
      </c>
      <c r="X292" s="81" t="s">
        <v>324</v>
      </c>
      <c r="Y292" s="81" t="s">
        <v>324</v>
      </c>
      <c r="Z292" s="81" t="s">
        <v>324</v>
      </c>
      <c r="AA292" s="81" t="s">
        <v>324</v>
      </c>
      <c r="AB292" s="85"/>
      <c r="AC292" s="181" t="s">
        <v>324</v>
      </c>
      <c r="AD292" s="85"/>
      <c r="AE292" s="81" t="s">
        <v>315</v>
      </c>
      <c r="AF292" s="81" t="s">
        <v>315</v>
      </c>
      <c r="AG292" s="81" t="s">
        <v>315</v>
      </c>
      <c r="AH292" s="82" t="s">
        <v>592</v>
      </c>
      <c r="AI292" s="81" t="s">
        <v>443</v>
      </c>
      <c r="AJ292" s="181" t="s">
        <v>1270</v>
      </c>
      <c r="AK292" s="81" t="s">
        <v>1302</v>
      </c>
      <c r="AL292" s="81" t="s">
        <v>315</v>
      </c>
      <c r="AM292" s="181" t="s">
        <v>1321</v>
      </c>
      <c r="AN292" s="81" t="s">
        <v>324</v>
      </c>
      <c r="AO292" s="543" t="s">
        <v>324</v>
      </c>
      <c r="AP292" s="81" t="s">
        <v>324</v>
      </c>
      <c r="AQ292" s="81" t="s">
        <v>1528</v>
      </c>
      <c r="AR292" s="131" t="s">
        <v>1178</v>
      </c>
      <c r="AS292" s="67"/>
    </row>
    <row r="293">
      <c r="A293" s="240"/>
      <c r="B293" s="69"/>
      <c r="C293" s="70"/>
      <c r="D293" s="71"/>
      <c r="E293" s="96"/>
      <c r="F293" s="96"/>
      <c r="G293" s="96"/>
      <c r="H293" s="96"/>
      <c r="I293" s="132"/>
      <c r="J293" s="98"/>
      <c r="K293" s="100"/>
      <c r="L293" s="79"/>
      <c r="M293" s="81" t="s">
        <v>1529</v>
      </c>
      <c r="N293" s="81"/>
      <c r="O293" s="81"/>
      <c r="P293" s="85"/>
      <c r="Q293" s="81"/>
      <c r="R293" s="81"/>
      <c r="S293" s="81"/>
      <c r="T293" s="81"/>
      <c r="U293" s="81"/>
      <c r="V293" s="81"/>
      <c r="W293" s="81"/>
      <c r="X293" s="81"/>
      <c r="Y293" s="81"/>
      <c r="Z293" s="81"/>
      <c r="AA293" s="81"/>
      <c r="AB293" s="85"/>
      <c r="AC293" s="181"/>
      <c r="AD293" s="85"/>
      <c r="AE293" s="81"/>
      <c r="AF293" s="81"/>
      <c r="AG293" s="81"/>
      <c r="AH293" s="81"/>
      <c r="AI293" s="81"/>
      <c r="AJ293" s="181"/>
      <c r="AK293" s="81" t="s">
        <v>1530</v>
      </c>
      <c r="AL293" s="81"/>
      <c r="AM293" s="181"/>
      <c r="AN293" s="81"/>
      <c r="AO293" s="543"/>
      <c r="AP293" s="81"/>
      <c r="AQ293" s="81"/>
      <c r="AR293" s="131" t="s">
        <v>703</v>
      </c>
      <c r="AS293" s="67"/>
    </row>
    <row r="294">
      <c r="A294" s="391"/>
      <c r="B294" s="167"/>
      <c r="C294" s="168"/>
      <c r="D294" s="169"/>
      <c r="E294" s="170"/>
      <c r="F294" s="170"/>
      <c r="G294" s="170"/>
      <c r="H294" s="170"/>
      <c r="I294" s="171"/>
      <c r="J294" s="172"/>
      <c r="K294" s="173"/>
      <c r="L294" s="127" t="s">
        <v>305</v>
      </c>
      <c r="M294" s="114" t="s">
        <v>315</v>
      </c>
      <c r="N294" s="122" t="s">
        <v>592</v>
      </c>
      <c r="O294" s="114"/>
      <c r="P294" s="118"/>
      <c r="Q294" s="114" t="s">
        <v>315</v>
      </c>
      <c r="R294" s="114" t="s">
        <v>842</v>
      </c>
      <c r="S294" s="122" t="s">
        <v>592</v>
      </c>
      <c r="T294" s="114" t="s">
        <v>324</v>
      </c>
      <c r="U294" s="114" t="s">
        <v>324</v>
      </c>
      <c r="V294" s="114" t="s">
        <v>324</v>
      </c>
      <c r="W294" s="114" t="s">
        <v>324</v>
      </c>
      <c r="X294" s="114" t="s">
        <v>324</v>
      </c>
      <c r="Y294" s="114" t="s">
        <v>324</v>
      </c>
      <c r="Z294" s="114" t="s">
        <v>324</v>
      </c>
      <c r="AA294" s="114" t="s">
        <v>324</v>
      </c>
      <c r="AB294" s="118"/>
      <c r="AC294" s="182"/>
      <c r="AD294" s="118"/>
      <c r="AE294" s="114" t="s">
        <v>315</v>
      </c>
      <c r="AF294" s="114" t="s">
        <v>315</v>
      </c>
      <c r="AG294" s="114" t="s">
        <v>315</v>
      </c>
      <c r="AH294" s="122" t="s">
        <v>592</v>
      </c>
      <c r="AI294" s="114" t="s">
        <v>443</v>
      </c>
      <c r="AJ294" s="182" t="s">
        <v>1270</v>
      </c>
      <c r="AK294" s="114" t="s">
        <v>1302</v>
      </c>
      <c r="AL294" s="114" t="s">
        <v>315</v>
      </c>
      <c r="AM294" s="182" t="s">
        <v>1321</v>
      </c>
      <c r="AN294" s="114"/>
      <c r="AO294" s="544"/>
      <c r="AP294" s="114"/>
      <c r="AQ294" s="114" t="s">
        <v>1534</v>
      </c>
      <c r="AR294" s="142" t="s">
        <v>1178</v>
      </c>
      <c r="AS294" s="143"/>
    </row>
    <row r="295">
      <c r="A295" s="240"/>
      <c r="B295" s="69" t="s">
        <v>238</v>
      </c>
      <c r="C295" s="70">
        <v>43439.0</v>
      </c>
      <c r="D295" s="71" t="s">
        <v>767</v>
      </c>
      <c r="E295" s="72">
        <v>43579.0</v>
      </c>
      <c r="F295" s="73" t="s">
        <v>280</v>
      </c>
      <c r="G295" s="72">
        <v>43583.0</v>
      </c>
      <c r="H295" s="73" t="s">
        <v>282</v>
      </c>
      <c r="I295" s="128" t="s">
        <v>1536</v>
      </c>
      <c r="J295" s="76" t="s">
        <v>204</v>
      </c>
      <c r="K295" s="77" t="s">
        <v>789</v>
      </c>
      <c r="L295" s="221" t="s">
        <v>303</v>
      </c>
      <c r="M295" s="222" t="s">
        <v>1538</v>
      </c>
      <c r="N295" s="223" t="s">
        <v>594</v>
      </c>
      <c r="P295" s="223" t="s">
        <v>594</v>
      </c>
      <c r="Q295" s="222" t="s">
        <v>315</v>
      </c>
      <c r="R295" s="222" t="s">
        <v>324</v>
      </c>
      <c r="S295" s="252"/>
      <c r="T295" s="222" t="s">
        <v>324</v>
      </c>
      <c r="U295" s="222" t="s">
        <v>324</v>
      </c>
      <c r="V295" s="222" t="s">
        <v>324</v>
      </c>
      <c r="W295" s="222" t="s">
        <v>324</v>
      </c>
      <c r="X295" s="222" t="s">
        <v>324</v>
      </c>
      <c r="Y295" s="222" t="s">
        <v>324</v>
      </c>
      <c r="Z295" s="222" t="s">
        <v>324</v>
      </c>
      <c r="AA295" s="222" t="s">
        <v>324</v>
      </c>
      <c r="AB295" s="252"/>
      <c r="AC295" s="222" t="s">
        <v>324</v>
      </c>
      <c r="AD295" s="252"/>
      <c r="AE295" s="222" t="s">
        <v>315</v>
      </c>
      <c r="AF295" s="222" t="s">
        <v>315</v>
      </c>
      <c r="AG295" s="222" t="s">
        <v>315</v>
      </c>
      <c r="AH295" s="223" t="s">
        <v>710</v>
      </c>
      <c r="AI295" s="222" t="s">
        <v>711</v>
      </c>
      <c r="AJ295" s="222" t="s">
        <v>712</v>
      </c>
      <c r="AK295" s="222" t="s">
        <v>713</v>
      </c>
      <c r="AL295" s="222" t="s">
        <v>315</v>
      </c>
      <c r="AM295" s="222" t="s">
        <v>714</v>
      </c>
      <c r="AN295" s="222" t="s">
        <v>715</v>
      </c>
      <c r="AO295" s="222" t="s">
        <v>324</v>
      </c>
      <c r="AP295" s="222" t="s">
        <v>324</v>
      </c>
      <c r="AQ295" s="222" t="s">
        <v>1539</v>
      </c>
      <c r="AR295" s="226" t="s">
        <v>639</v>
      </c>
      <c r="AS295" s="545"/>
    </row>
    <row r="296">
      <c r="A296" s="240"/>
      <c r="B296" s="69"/>
      <c r="C296" s="70"/>
      <c r="D296" s="71"/>
      <c r="E296" s="96"/>
      <c r="F296" s="96"/>
      <c r="G296" s="96"/>
      <c r="H296" s="96"/>
      <c r="I296" s="132"/>
      <c r="J296" s="98"/>
      <c r="K296" s="98"/>
      <c r="L296" s="221"/>
      <c r="M296" s="133" t="s">
        <v>1541</v>
      </c>
      <c r="N296" s="222"/>
      <c r="O296" s="222"/>
      <c r="P296" s="222"/>
      <c r="Q296" s="222"/>
      <c r="R296" s="222"/>
      <c r="S296" s="224"/>
      <c r="T296" s="222"/>
      <c r="U296" s="222"/>
      <c r="V296" s="222"/>
      <c r="W296" s="222"/>
      <c r="X296" s="222"/>
      <c r="Y296" s="222"/>
      <c r="Z296" s="222"/>
      <c r="AA296" s="222"/>
      <c r="AB296" s="224"/>
      <c r="AC296" s="255"/>
      <c r="AD296" s="224"/>
      <c r="AE296" s="222"/>
      <c r="AF296" s="222"/>
      <c r="AG296" s="222"/>
      <c r="AH296" s="222"/>
      <c r="AI296" s="222"/>
      <c r="AJ296" s="222"/>
      <c r="AK296" s="133" t="s">
        <v>1542</v>
      </c>
      <c r="AL296" s="222"/>
      <c r="AM296" s="222"/>
      <c r="AN296" s="222"/>
      <c r="AO296" s="222"/>
      <c r="AP296" s="222"/>
      <c r="AQ296" s="222"/>
      <c r="AR296" s="226"/>
      <c r="AS296" s="227"/>
    </row>
    <row r="297">
      <c r="A297" s="240"/>
      <c r="B297" s="69"/>
      <c r="C297" s="70"/>
      <c r="D297" s="71"/>
      <c r="E297" s="96"/>
      <c r="F297" s="96"/>
      <c r="G297" s="96"/>
      <c r="H297" s="73" t="s">
        <v>1543</v>
      </c>
      <c r="I297" s="132"/>
      <c r="J297" s="98"/>
      <c r="K297" s="100"/>
      <c r="L297" s="79"/>
      <c r="M297" s="81" t="s">
        <v>291</v>
      </c>
      <c r="N297" s="223" t="s">
        <v>594</v>
      </c>
      <c r="P297" s="223" t="s">
        <v>594</v>
      </c>
      <c r="Q297" s="222" t="s">
        <v>315</v>
      </c>
      <c r="R297" s="81"/>
      <c r="S297" s="85"/>
      <c r="T297" s="222" t="s">
        <v>324</v>
      </c>
      <c r="U297" s="222" t="s">
        <v>324</v>
      </c>
      <c r="V297" s="222" t="s">
        <v>324</v>
      </c>
      <c r="W297" s="222" t="s">
        <v>324</v>
      </c>
      <c r="X297" s="222" t="s">
        <v>324</v>
      </c>
      <c r="Y297" s="222" t="s">
        <v>324</v>
      </c>
      <c r="Z297" s="222" t="s">
        <v>324</v>
      </c>
      <c r="AA297" s="222" t="s">
        <v>324</v>
      </c>
      <c r="AB297" s="85"/>
      <c r="AC297" s="255"/>
      <c r="AD297" s="85"/>
      <c r="AE297" s="222" t="s">
        <v>315</v>
      </c>
      <c r="AF297" s="222" t="s">
        <v>315</v>
      </c>
      <c r="AG297" s="222" t="s">
        <v>315</v>
      </c>
      <c r="AH297" s="547" t="s">
        <v>1168</v>
      </c>
      <c r="AI297" s="81" t="s">
        <v>621</v>
      </c>
      <c r="AJ297" s="385" t="s">
        <v>1271</v>
      </c>
      <c r="AK297" s="81" t="s">
        <v>1303</v>
      </c>
      <c r="AL297" s="81" t="s">
        <v>315</v>
      </c>
      <c r="AM297" s="81"/>
      <c r="AN297" s="81"/>
      <c r="AO297" s="81"/>
      <c r="AP297" s="81"/>
      <c r="AQ297" s="81"/>
      <c r="AR297" s="131"/>
      <c r="AS297" s="67"/>
    </row>
    <row r="298">
      <c r="A298" s="240"/>
      <c r="B298" s="69" t="s">
        <v>238</v>
      </c>
      <c r="C298" s="70">
        <v>43439.0</v>
      </c>
      <c r="D298" s="71" t="s">
        <v>767</v>
      </c>
      <c r="E298" s="72">
        <v>43579.0</v>
      </c>
      <c r="F298" s="73" t="s">
        <v>280</v>
      </c>
      <c r="G298" s="72">
        <v>43583.0</v>
      </c>
      <c r="H298" s="73" t="s">
        <v>282</v>
      </c>
      <c r="I298" s="132" t="s">
        <v>1544</v>
      </c>
      <c r="J298" s="98" t="s">
        <v>205</v>
      </c>
      <c r="K298" s="98" t="s">
        <v>985</v>
      </c>
      <c r="L298" s="201" t="s">
        <v>319</v>
      </c>
      <c r="M298" s="202" t="s">
        <v>1545</v>
      </c>
      <c r="N298" s="551" t="s">
        <v>595</v>
      </c>
      <c r="P298" s="206"/>
      <c r="Q298" s="202" t="s">
        <v>315</v>
      </c>
      <c r="R298" s="202" t="s">
        <v>852</v>
      </c>
      <c r="S298" s="203" t="s">
        <v>458</v>
      </c>
      <c r="T298" s="202" t="s">
        <v>324</v>
      </c>
      <c r="U298" s="202" t="s">
        <v>324</v>
      </c>
      <c r="V298" s="202" t="s">
        <v>324</v>
      </c>
      <c r="W298" s="202" t="s">
        <v>324</v>
      </c>
      <c r="X298" s="202" t="s">
        <v>324</v>
      </c>
      <c r="Y298" s="202" t="s">
        <v>324</v>
      </c>
      <c r="Z298" s="202" t="s">
        <v>324</v>
      </c>
      <c r="AA298" s="202" t="s">
        <v>324</v>
      </c>
      <c r="AB298" s="206"/>
      <c r="AC298" s="272" t="s">
        <v>324</v>
      </c>
      <c r="AD298" s="206"/>
      <c r="AE298" s="202" t="s">
        <v>315</v>
      </c>
      <c r="AF298" s="202" t="s">
        <v>315</v>
      </c>
      <c r="AG298" s="202" t="s">
        <v>315</v>
      </c>
      <c r="AH298" s="203" t="s">
        <v>1169</v>
      </c>
      <c r="AI298" s="553" t="s">
        <v>1272</v>
      </c>
      <c r="AJ298" s="202" t="s">
        <v>324</v>
      </c>
      <c r="AK298" s="202" t="s">
        <v>1304</v>
      </c>
      <c r="AL298" s="202" t="s">
        <v>1546</v>
      </c>
      <c r="AN298" s="202" t="s">
        <v>1547</v>
      </c>
      <c r="AO298" s="202" t="s">
        <v>324</v>
      </c>
      <c r="AP298" s="202" t="s">
        <v>324</v>
      </c>
      <c r="AQ298" s="202" t="s">
        <v>1548</v>
      </c>
      <c r="AR298" s="205" t="s">
        <v>435</v>
      </c>
      <c r="AS298" s="206"/>
    </row>
    <row r="299">
      <c r="A299" s="240"/>
      <c r="B299" s="69"/>
      <c r="C299" s="70"/>
      <c r="D299" s="71"/>
      <c r="E299" s="96"/>
      <c r="F299" s="96"/>
      <c r="G299" s="96"/>
      <c r="H299" s="96"/>
      <c r="I299" s="132"/>
      <c r="J299" s="555"/>
      <c r="K299" s="556"/>
      <c r="L299" s="557"/>
      <c r="M299" s="202"/>
      <c r="N299" s="551"/>
      <c r="O299" s="551"/>
      <c r="P299" s="206"/>
      <c r="Q299" s="202"/>
      <c r="R299" s="202"/>
      <c r="S299" s="202"/>
      <c r="T299" s="202"/>
      <c r="U299" s="202"/>
      <c r="V299" s="202"/>
      <c r="W299" s="202"/>
      <c r="X299" s="202"/>
      <c r="Y299" s="202"/>
      <c r="Z299" s="202"/>
      <c r="AA299" s="202"/>
      <c r="AB299" s="206"/>
      <c r="AC299" s="272"/>
      <c r="AD299" s="206"/>
      <c r="AE299" s="202"/>
      <c r="AF299" s="202"/>
      <c r="AG299" s="202"/>
      <c r="AH299" s="202"/>
      <c r="AI299" s="553"/>
      <c r="AJ299" s="202"/>
      <c r="AK299" s="202"/>
      <c r="AL299" s="202"/>
      <c r="AM299" s="202"/>
      <c r="AN299" s="202"/>
      <c r="AO299" s="202"/>
      <c r="AP299" s="202"/>
      <c r="AQ299" s="202"/>
      <c r="AR299" s="205"/>
      <c r="AS299" s="206"/>
    </row>
    <row r="300">
      <c r="A300" s="240"/>
      <c r="B300" s="69"/>
      <c r="C300" s="70"/>
      <c r="D300" s="71"/>
      <c r="E300" s="96"/>
      <c r="F300" s="96"/>
      <c r="G300" s="96"/>
      <c r="H300" s="73" t="s">
        <v>1549</v>
      </c>
      <c r="I300" s="132"/>
      <c r="J300" s="555"/>
      <c r="K300" s="555"/>
      <c r="L300" s="201" t="s">
        <v>319</v>
      </c>
      <c r="M300" s="81" t="s">
        <v>315</v>
      </c>
      <c r="N300" s="551" t="s">
        <v>595</v>
      </c>
      <c r="P300" s="85"/>
      <c r="Q300" s="202" t="s">
        <v>315</v>
      </c>
      <c r="R300" s="202" t="s">
        <v>852</v>
      </c>
      <c r="S300" s="203" t="s">
        <v>458</v>
      </c>
      <c r="T300" s="202" t="s">
        <v>324</v>
      </c>
      <c r="U300" s="202" t="s">
        <v>324</v>
      </c>
      <c r="V300" s="202" t="s">
        <v>324</v>
      </c>
      <c r="W300" s="202" t="s">
        <v>324</v>
      </c>
      <c r="X300" s="202" t="s">
        <v>324</v>
      </c>
      <c r="Y300" s="202" t="s">
        <v>324</v>
      </c>
      <c r="Z300" s="202" t="s">
        <v>324</v>
      </c>
      <c r="AA300" s="202" t="s">
        <v>324</v>
      </c>
      <c r="AB300" s="85"/>
      <c r="AC300" s="181" t="s">
        <v>1003</v>
      </c>
      <c r="AD300" s="20" t="s">
        <v>419</v>
      </c>
      <c r="AE300" s="81" t="s">
        <v>369</v>
      </c>
      <c r="AF300" s="81" t="s">
        <v>315</v>
      </c>
      <c r="AG300" s="81" t="s">
        <v>315</v>
      </c>
      <c r="AH300" s="203" t="s">
        <v>1169</v>
      </c>
      <c r="AI300" s="177" t="s">
        <v>443</v>
      </c>
      <c r="AJ300" s="133" t="s">
        <v>1272</v>
      </c>
      <c r="AK300" s="202" t="s">
        <v>1304</v>
      </c>
      <c r="AL300" s="81"/>
      <c r="AM300" s="81"/>
      <c r="AN300" s="81" t="s">
        <v>324</v>
      </c>
      <c r="AO300" s="81"/>
      <c r="AP300" s="81"/>
      <c r="AQ300" s="81"/>
      <c r="AR300" s="131"/>
      <c r="AS300" s="67"/>
    </row>
    <row r="301">
      <c r="A301" s="240"/>
      <c r="B301" s="69" t="s">
        <v>238</v>
      </c>
      <c r="C301" s="560"/>
      <c r="D301" s="71" t="s">
        <v>767</v>
      </c>
      <c r="E301" s="72">
        <v>43579.0</v>
      </c>
      <c r="F301" s="73" t="s">
        <v>280</v>
      </c>
      <c r="G301" s="72">
        <v>43583.0</v>
      </c>
      <c r="H301" s="73" t="s">
        <v>282</v>
      </c>
      <c r="I301" s="132" t="s">
        <v>1550</v>
      </c>
      <c r="J301" s="561" t="s">
        <v>206</v>
      </c>
      <c r="K301" s="562" t="s">
        <v>985</v>
      </c>
      <c r="L301" s="221" t="s">
        <v>311</v>
      </c>
      <c r="M301" s="222" t="s">
        <v>1551</v>
      </c>
      <c r="N301" s="563" t="s">
        <v>796</v>
      </c>
      <c r="O301" s="222" t="s">
        <v>750</v>
      </c>
      <c r="P301" s="563" t="s">
        <v>796</v>
      </c>
      <c r="Q301" s="222" t="s">
        <v>282</v>
      </c>
      <c r="R301" s="222" t="s">
        <v>324</v>
      </c>
      <c r="S301" s="224"/>
      <c r="T301" s="222" t="s">
        <v>282</v>
      </c>
      <c r="U301" s="222" t="s">
        <v>282</v>
      </c>
      <c r="V301" s="222" t="s">
        <v>282</v>
      </c>
      <c r="W301" s="222" t="s">
        <v>282</v>
      </c>
      <c r="X301" s="222" t="s">
        <v>282</v>
      </c>
      <c r="Y301" s="222" t="s">
        <v>282</v>
      </c>
      <c r="Z301" s="222" t="s">
        <v>282</v>
      </c>
      <c r="AA301" s="222" t="s">
        <v>282</v>
      </c>
      <c r="AB301" s="224"/>
      <c r="AC301" s="255" t="s">
        <v>324</v>
      </c>
      <c r="AD301" s="224"/>
      <c r="AE301" s="222" t="s">
        <v>1552</v>
      </c>
      <c r="AF301" s="222" t="s">
        <v>315</v>
      </c>
      <c r="AG301" s="222" t="s">
        <v>315</v>
      </c>
      <c r="AH301" s="563" t="s">
        <v>955</v>
      </c>
      <c r="AI301" s="222" t="s">
        <v>1273</v>
      </c>
      <c r="AJ301" s="222" t="s">
        <v>1553</v>
      </c>
      <c r="AK301" s="222" t="s">
        <v>324</v>
      </c>
      <c r="AL301" s="222" t="s">
        <v>324</v>
      </c>
      <c r="AM301" s="222" t="s">
        <v>324</v>
      </c>
      <c r="AN301" s="222" t="s">
        <v>324</v>
      </c>
      <c r="AO301" s="222" t="s">
        <v>324</v>
      </c>
      <c r="AP301" s="222" t="s">
        <v>324</v>
      </c>
      <c r="AQ301" s="222" t="s">
        <v>1554</v>
      </c>
      <c r="AR301" s="226" t="s">
        <v>660</v>
      </c>
      <c r="AS301" s="227"/>
    </row>
    <row r="302">
      <c r="A302" s="240"/>
      <c r="B302" s="69"/>
      <c r="C302" s="560"/>
      <c r="D302" s="71"/>
      <c r="E302" s="96"/>
      <c r="F302" s="96"/>
      <c r="G302" s="96"/>
      <c r="H302" s="96"/>
      <c r="I302" s="132"/>
      <c r="J302" s="564"/>
      <c r="K302" s="562"/>
      <c r="L302" s="221"/>
      <c r="M302" s="222"/>
      <c r="N302" s="563"/>
      <c r="O302" s="222"/>
      <c r="P302" s="563"/>
      <c r="Q302" s="222"/>
      <c r="R302" s="222"/>
      <c r="S302" s="224"/>
      <c r="T302" s="222"/>
      <c r="U302" s="222"/>
      <c r="V302" s="222"/>
      <c r="W302" s="222"/>
      <c r="X302" s="222"/>
      <c r="Y302" s="222"/>
      <c r="Z302" s="222"/>
      <c r="AA302" s="222"/>
      <c r="AB302" s="224"/>
      <c r="AC302" s="565" t="s">
        <v>1555</v>
      </c>
      <c r="AD302" s="566"/>
      <c r="AE302" s="567"/>
      <c r="AF302" s="265"/>
      <c r="AG302" s="265" t="s">
        <v>1556</v>
      </c>
      <c r="AH302" s="563"/>
      <c r="AI302" s="222"/>
      <c r="AJ302" s="222"/>
      <c r="AK302" s="222"/>
      <c r="AL302" s="222"/>
      <c r="AM302" s="222"/>
      <c r="AN302" s="222"/>
      <c r="AO302" s="222"/>
      <c r="AP302" s="222"/>
      <c r="AQ302" s="222"/>
      <c r="AR302" s="226"/>
      <c r="AS302" s="227"/>
    </row>
    <row r="303">
      <c r="A303" s="240"/>
      <c r="B303" s="69"/>
      <c r="C303" s="560"/>
      <c r="D303" s="71"/>
      <c r="E303" s="96"/>
      <c r="F303" s="96"/>
      <c r="G303" s="96"/>
      <c r="H303" s="73" t="s">
        <v>1557</v>
      </c>
      <c r="I303" s="132"/>
      <c r="J303" s="564"/>
      <c r="K303" s="562"/>
      <c r="L303" s="221" t="s">
        <v>311</v>
      </c>
      <c r="M303" s="81" t="s">
        <v>402</v>
      </c>
      <c r="N303" s="20" t="s">
        <v>596</v>
      </c>
      <c r="O303" s="81"/>
      <c r="P303" s="563" t="s">
        <v>796</v>
      </c>
      <c r="Q303" s="222" t="s">
        <v>282</v>
      </c>
      <c r="R303" s="568" t="s">
        <v>853</v>
      </c>
      <c r="S303" s="568" t="s">
        <v>853</v>
      </c>
      <c r="T303" s="222" t="s">
        <v>282</v>
      </c>
      <c r="U303" s="222" t="s">
        <v>282</v>
      </c>
      <c r="V303" s="222" t="s">
        <v>282</v>
      </c>
      <c r="W303" s="222" t="s">
        <v>282</v>
      </c>
      <c r="X303" s="222" t="s">
        <v>282</v>
      </c>
      <c r="Y303" s="222" t="s">
        <v>282</v>
      </c>
      <c r="Z303" s="222" t="s">
        <v>282</v>
      </c>
      <c r="AA303" s="222" t="s">
        <v>282</v>
      </c>
      <c r="AB303" s="85"/>
      <c r="AC303" s="181" t="s">
        <v>1004</v>
      </c>
      <c r="AD303" s="20" t="s">
        <v>968</v>
      </c>
      <c r="AE303" s="81" t="s">
        <v>369</v>
      </c>
      <c r="AF303" s="81" t="s">
        <v>315</v>
      </c>
      <c r="AG303" s="81" t="s">
        <v>315</v>
      </c>
      <c r="AH303" s="563" t="s">
        <v>955</v>
      </c>
      <c r="AI303" s="81" t="s">
        <v>443</v>
      </c>
      <c r="AJ303" s="222" t="s">
        <v>1273</v>
      </c>
      <c r="AK303" s="236" t="s">
        <v>324</v>
      </c>
      <c r="AL303" s="81" t="s">
        <v>315</v>
      </c>
      <c r="AM303" s="81"/>
      <c r="AN303" s="81"/>
      <c r="AO303" s="81"/>
      <c r="AP303" s="81"/>
      <c r="AQ303" s="81"/>
      <c r="AR303" s="131"/>
      <c r="AS303" s="67"/>
    </row>
    <row r="304">
      <c r="A304" s="383"/>
      <c r="B304" s="569" t="s">
        <v>238</v>
      </c>
      <c r="C304" s="570"/>
      <c r="D304" s="571" t="s">
        <v>258</v>
      </c>
      <c r="E304" s="572">
        <v>43575.0</v>
      </c>
      <c r="F304" s="573" t="s">
        <v>280</v>
      </c>
      <c r="G304" s="572">
        <v>43581.0</v>
      </c>
      <c r="H304" s="573" t="s">
        <v>282</v>
      </c>
      <c r="I304" s="132" t="s">
        <v>1558</v>
      </c>
      <c r="J304" s="574" t="s">
        <v>207</v>
      </c>
      <c r="K304" s="129" t="s">
        <v>933</v>
      </c>
      <c r="L304" s="384" t="s">
        <v>347</v>
      </c>
      <c r="M304" s="181" t="s">
        <v>1559</v>
      </c>
      <c r="N304" s="575" t="s">
        <v>597</v>
      </c>
      <c r="O304" s="181" t="s">
        <v>750</v>
      </c>
      <c r="P304" s="575" t="s">
        <v>597</v>
      </c>
      <c r="Q304" s="181" t="s">
        <v>315</v>
      </c>
      <c r="R304" s="181" t="s">
        <v>854</v>
      </c>
      <c r="S304" s="575" t="s">
        <v>910</v>
      </c>
      <c r="T304" s="181" t="s">
        <v>329</v>
      </c>
      <c r="U304" s="181" t="s">
        <v>324</v>
      </c>
      <c r="V304" s="181" t="s">
        <v>324</v>
      </c>
      <c r="W304" s="181" t="s">
        <v>324</v>
      </c>
      <c r="X304" s="181" t="s">
        <v>324</v>
      </c>
      <c r="Y304" s="181" t="s">
        <v>329</v>
      </c>
      <c r="Z304" s="181" t="s">
        <v>282</v>
      </c>
      <c r="AA304" s="181" t="s">
        <v>324</v>
      </c>
      <c r="AB304" s="576"/>
      <c r="AC304" s="181" t="s">
        <v>324</v>
      </c>
      <c r="AD304" s="576"/>
      <c r="AE304" s="181" t="s">
        <v>315</v>
      </c>
      <c r="AF304" s="181" t="s">
        <v>315</v>
      </c>
      <c r="AG304" s="181" t="s">
        <v>315</v>
      </c>
      <c r="AH304" s="575" t="s">
        <v>1170</v>
      </c>
      <c r="AI304" s="181" t="s">
        <v>1560</v>
      </c>
      <c r="AJ304" s="181" t="s">
        <v>324</v>
      </c>
      <c r="AK304" s="181" t="s">
        <v>1305</v>
      </c>
      <c r="AL304" s="181" t="s">
        <v>369</v>
      </c>
      <c r="AM304" s="577" t="s">
        <v>1323</v>
      </c>
      <c r="AN304" s="181" t="s">
        <v>1561</v>
      </c>
      <c r="AO304" s="577" t="s">
        <v>1562</v>
      </c>
      <c r="AP304" s="181" t="s">
        <v>324</v>
      </c>
      <c r="AQ304" s="181" t="s">
        <v>1563</v>
      </c>
      <c r="AR304" s="578" t="s">
        <v>639</v>
      </c>
      <c r="AS304" s="579"/>
    </row>
    <row r="305">
      <c r="A305" s="240"/>
      <c r="B305" s="69"/>
      <c r="C305" s="560"/>
      <c r="D305" s="71"/>
      <c r="E305" s="96"/>
      <c r="F305" s="96"/>
      <c r="G305" s="96"/>
      <c r="H305" s="96"/>
      <c r="I305" s="132"/>
      <c r="J305" s="564"/>
      <c r="K305" s="562"/>
      <c r="L305" s="76"/>
      <c r="M305" s="81" t="s">
        <v>1564</v>
      </c>
      <c r="N305" s="580"/>
      <c r="O305" s="81"/>
      <c r="P305" s="581" t="s">
        <v>1565</v>
      </c>
      <c r="Q305" s="81"/>
      <c r="R305" s="81"/>
      <c r="S305" s="580"/>
      <c r="T305" s="81" t="s">
        <v>282</v>
      </c>
      <c r="U305" s="81" t="s">
        <v>1566</v>
      </c>
      <c r="V305" s="81" t="s">
        <v>1566</v>
      </c>
      <c r="W305" s="81" t="s">
        <v>1566</v>
      </c>
      <c r="X305" s="81" t="s">
        <v>1566</v>
      </c>
      <c r="Y305" s="81" t="s">
        <v>1566</v>
      </c>
      <c r="Z305" s="81" t="s">
        <v>1566</v>
      </c>
      <c r="AA305" s="81" t="s">
        <v>1566</v>
      </c>
      <c r="AB305" s="85"/>
      <c r="AC305" s="181"/>
      <c r="AD305" s="85"/>
      <c r="AE305" s="81"/>
      <c r="AF305" s="81"/>
      <c r="AG305" s="81"/>
      <c r="AH305" s="580"/>
      <c r="AI305" s="133" t="s">
        <v>443</v>
      </c>
      <c r="AJ305" s="81"/>
      <c r="AK305" s="81"/>
      <c r="AL305" s="81"/>
      <c r="AM305" s="90"/>
      <c r="AN305" s="81" t="s">
        <v>1567</v>
      </c>
      <c r="AO305" s="90" t="s">
        <v>1565</v>
      </c>
      <c r="AP305" s="81"/>
      <c r="AQ305" s="81"/>
      <c r="AR305" s="131"/>
      <c r="AS305" s="67"/>
    </row>
    <row r="306">
      <c r="A306" s="240"/>
      <c r="B306" s="69"/>
      <c r="C306" s="560"/>
      <c r="D306" s="71"/>
      <c r="E306" s="96"/>
      <c r="F306" s="96"/>
      <c r="G306" s="96"/>
      <c r="H306" s="73"/>
      <c r="I306" s="132"/>
      <c r="J306" s="564"/>
      <c r="K306" s="562"/>
      <c r="L306" s="76" t="s">
        <v>347</v>
      </c>
      <c r="M306" s="81" t="s">
        <v>403</v>
      </c>
      <c r="N306" s="580" t="s">
        <v>597</v>
      </c>
      <c r="O306" s="81"/>
      <c r="P306" s="580"/>
      <c r="Q306" s="81" t="s">
        <v>315</v>
      </c>
      <c r="R306" s="81" t="s">
        <v>854</v>
      </c>
      <c r="S306" s="580" t="s">
        <v>910</v>
      </c>
      <c r="T306" s="81" t="s">
        <v>282</v>
      </c>
      <c r="U306" s="81" t="s">
        <v>282</v>
      </c>
      <c r="V306" s="81" t="s">
        <v>282</v>
      </c>
      <c r="W306" s="81" t="s">
        <v>282</v>
      </c>
      <c r="X306" s="81" t="s">
        <v>282</v>
      </c>
      <c r="Y306" s="81" t="s">
        <v>282</v>
      </c>
      <c r="Z306" s="81" t="s">
        <v>282</v>
      </c>
      <c r="AA306" s="81" t="s">
        <v>282</v>
      </c>
      <c r="AB306" s="85"/>
      <c r="AC306" s="181" t="s">
        <v>1005</v>
      </c>
      <c r="AD306" s="20" t="s">
        <v>1044</v>
      </c>
      <c r="AE306" s="81" t="s">
        <v>315</v>
      </c>
      <c r="AF306" s="81" t="s">
        <v>315</v>
      </c>
      <c r="AG306" s="81" t="s">
        <v>315</v>
      </c>
      <c r="AH306" s="580" t="s">
        <v>1170</v>
      </c>
      <c r="AI306" s="133" t="s">
        <v>443</v>
      </c>
      <c r="AJ306" s="81"/>
      <c r="AK306" s="81" t="s">
        <v>1305</v>
      </c>
      <c r="AL306" s="81" t="s">
        <v>369</v>
      </c>
      <c r="AM306" s="90" t="s">
        <v>1323</v>
      </c>
      <c r="AN306" s="81"/>
      <c r="AO306" s="90"/>
      <c r="AP306" s="81"/>
      <c r="AQ306" s="81"/>
      <c r="AR306" s="131"/>
      <c r="AS306" s="67"/>
    </row>
    <row r="307">
      <c r="A307" s="240"/>
      <c r="B307" s="69" t="s">
        <v>238</v>
      </c>
      <c r="C307" s="560"/>
      <c r="D307" s="71" t="s">
        <v>258</v>
      </c>
      <c r="E307" s="72">
        <v>43575.0</v>
      </c>
      <c r="F307" s="73" t="s">
        <v>280</v>
      </c>
      <c r="G307" s="72">
        <v>43581.0</v>
      </c>
      <c r="H307" s="73" t="s">
        <v>282</v>
      </c>
      <c r="I307" s="128" t="s">
        <v>1568</v>
      </c>
      <c r="J307" s="564" t="s">
        <v>208</v>
      </c>
      <c r="K307" s="77" t="s">
        <v>933</v>
      </c>
      <c r="L307" s="76" t="s">
        <v>347</v>
      </c>
      <c r="M307" s="81" t="s">
        <v>1559</v>
      </c>
      <c r="N307" s="581" t="s">
        <v>597</v>
      </c>
      <c r="O307" s="81" t="s">
        <v>750</v>
      </c>
      <c r="P307" s="581" t="s">
        <v>597</v>
      </c>
      <c r="Q307" s="81" t="s">
        <v>315</v>
      </c>
      <c r="R307" s="81" t="s">
        <v>854</v>
      </c>
      <c r="S307" s="581" t="s">
        <v>910</v>
      </c>
      <c r="T307" s="81" t="s">
        <v>329</v>
      </c>
      <c r="U307" s="81" t="s">
        <v>324</v>
      </c>
      <c r="V307" s="81" t="s">
        <v>324</v>
      </c>
      <c r="W307" s="81" t="s">
        <v>324</v>
      </c>
      <c r="X307" s="81" t="s">
        <v>324</v>
      </c>
      <c r="Y307" s="81" t="s">
        <v>329</v>
      </c>
      <c r="Z307" s="81" t="s">
        <v>282</v>
      </c>
      <c r="AA307" s="81" t="s">
        <v>324</v>
      </c>
      <c r="AB307" s="85"/>
      <c r="AC307" s="81" t="s">
        <v>324</v>
      </c>
      <c r="AD307" s="85"/>
      <c r="AE307" s="81" t="s">
        <v>315</v>
      </c>
      <c r="AF307" s="81" t="s">
        <v>315</v>
      </c>
      <c r="AG307" s="81" t="s">
        <v>315</v>
      </c>
      <c r="AH307" s="581" t="s">
        <v>1170</v>
      </c>
      <c r="AI307" s="81" t="s">
        <v>1560</v>
      </c>
      <c r="AJ307" s="81" t="s">
        <v>324</v>
      </c>
      <c r="AK307" s="81" t="s">
        <v>1305</v>
      </c>
      <c r="AL307" s="81" t="s">
        <v>369</v>
      </c>
      <c r="AM307" s="90" t="s">
        <v>1323</v>
      </c>
      <c r="AN307" s="81" t="s">
        <v>1561</v>
      </c>
      <c r="AO307" s="90" t="s">
        <v>1562</v>
      </c>
      <c r="AP307" s="81" t="s">
        <v>324</v>
      </c>
      <c r="AQ307" s="81" t="s">
        <v>1563</v>
      </c>
      <c r="AR307" s="131" t="s">
        <v>639</v>
      </c>
      <c r="AS307" s="67"/>
    </row>
    <row r="308">
      <c r="A308" s="240"/>
      <c r="B308" s="69"/>
      <c r="C308" s="560"/>
      <c r="D308" s="71"/>
      <c r="E308" s="96"/>
      <c r="F308" s="96"/>
      <c r="G308" s="96"/>
      <c r="H308" s="96"/>
      <c r="I308" s="132"/>
      <c r="J308" s="564"/>
      <c r="K308" s="562"/>
      <c r="L308" s="76"/>
      <c r="M308" s="81" t="s">
        <v>404</v>
      </c>
      <c r="N308" s="580"/>
      <c r="O308" s="81"/>
      <c r="P308" s="581" t="s">
        <v>1565</v>
      </c>
      <c r="Q308" s="81"/>
      <c r="R308" s="81"/>
      <c r="S308" s="580"/>
      <c r="T308" s="181" t="s">
        <v>324</v>
      </c>
      <c r="U308" s="181" t="s">
        <v>324</v>
      </c>
      <c r="V308" s="181" t="s">
        <v>324</v>
      </c>
      <c r="W308" s="181" t="s">
        <v>324</v>
      </c>
      <c r="X308" s="181" t="s">
        <v>324</v>
      </c>
      <c r="Y308" s="81" t="s">
        <v>327</v>
      </c>
      <c r="Z308" s="181" t="s">
        <v>324</v>
      </c>
      <c r="AA308" s="181" t="s">
        <v>324</v>
      </c>
      <c r="AB308" s="85"/>
      <c r="AC308" s="181"/>
      <c r="AD308" s="85"/>
      <c r="AE308" s="81"/>
      <c r="AF308" s="81"/>
      <c r="AG308" s="81"/>
      <c r="AH308" s="580"/>
      <c r="AI308" s="133" t="s">
        <v>443</v>
      </c>
      <c r="AJ308" s="81"/>
      <c r="AK308" s="81"/>
      <c r="AL308" s="81"/>
      <c r="AM308" s="90"/>
      <c r="AN308" s="81" t="s">
        <v>1567</v>
      </c>
      <c r="AO308" s="90" t="s">
        <v>1565</v>
      </c>
      <c r="AP308" s="81"/>
      <c r="AQ308" s="81"/>
      <c r="AR308" s="131"/>
    </row>
    <row r="309">
      <c r="A309" s="240"/>
      <c r="B309" s="69"/>
      <c r="C309" s="560"/>
      <c r="D309" s="71"/>
      <c r="E309" s="96"/>
      <c r="F309" s="96"/>
      <c r="G309" s="96"/>
      <c r="H309" s="73" t="s">
        <v>1569</v>
      </c>
      <c r="I309" s="132"/>
      <c r="J309" s="564"/>
      <c r="K309" s="562"/>
      <c r="L309" s="76" t="s">
        <v>347</v>
      </c>
      <c r="M309" s="81" t="s">
        <v>404</v>
      </c>
      <c r="N309" s="580" t="s">
        <v>597</v>
      </c>
      <c r="O309" s="580"/>
      <c r="P309" s="580" t="s">
        <v>597</v>
      </c>
      <c r="Q309" s="81" t="s">
        <v>315</v>
      </c>
      <c r="R309" s="181" t="s">
        <v>854</v>
      </c>
      <c r="S309" s="575" t="s">
        <v>910</v>
      </c>
      <c r="T309" s="181" t="s">
        <v>324</v>
      </c>
      <c r="U309" s="181" t="s">
        <v>324</v>
      </c>
      <c r="V309" s="181" t="s">
        <v>324</v>
      </c>
      <c r="W309" s="181" t="s">
        <v>324</v>
      </c>
      <c r="X309" s="181" t="s">
        <v>324</v>
      </c>
      <c r="Y309" s="81" t="s">
        <v>327</v>
      </c>
      <c r="Z309" s="81" t="s">
        <v>324</v>
      </c>
      <c r="AA309" s="81" t="s">
        <v>324</v>
      </c>
      <c r="AB309" s="81"/>
      <c r="AC309" s="181" t="s">
        <v>1005</v>
      </c>
      <c r="AD309" s="20" t="s">
        <v>1045</v>
      </c>
      <c r="AE309" s="81" t="s">
        <v>315</v>
      </c>
      <c r="AF309" s="81" t="s">
        <v>315</v>
      </c>
      <c r="AG309" s="81" t="s">
        <v>315</v>
      </c>
      <c r="AH309" s="575" t="s">
        <v>1170</v>
      </c>
      <c r="AI309" s="133" t="s">
        <v>443</v>
      </c>
      <c r="AJ309" s="133" t="s">
        <v>324</v>
      </c>
      <c r="AK309" s="81" t="s">
        <v>366</v>
      </c>
      <c r="AL309" s="81"/>
      <c r="AM309" s="90" t="s">
        <v>1323</v>
      </c>
      <c r="AN309" s="90"/>
      <c r="AO309" s="81"/>
      <c r="AP309" s="90"/>
      <c r="AQ309" s="81"/>
      <c r="AR309" s="81"/>
      <c r="AS309" s="582"/>
    </row>
    <row r="310">
      <c r="A310" s="240"/>
      <c r="B310" s="69" t="s">
        <v>238</v>
      </c>
      <c r="C310" s="560"/>
      <c r="D310" s="71" t="s">
        <v>258</v>
      </c>
      <c r="E310" s="72">
        <v>43575.0</v>
      </c>
      <c r="F310" s="73" t="s">
        <v>280</v>
      </c>
      <c r="G310" s="572">
        <v>43581.0</v>
      </c>
      <c r="H310" s="73" t="s">
        <v>282</v>
      </c>
      <c r="I310" s="132" t="s">
        <v>1570</v>
      </c>
      <c r="J310" s="564" t="s">
        <v>209</v>
      </c>
      <c r="K310" s="129" t="s">
        <v>933</v>
      </c>
      <c r="L310" s="76" t="s">
        <v>347</v>
      </c>
      <c r="M310" s="81" t="s">
        <v>1559</v>
      </c>
      <c r="N310" s="580" t="s">
        <v>597</v>
      </c>
      <c r="O310" s="81" t="s">
        <v>750</v>
      </c>
      <c r="P310" s="580" t="s">
        <v>597</v>
      </c>
      <c r="Q310" s="81" t="s">
        <v>315</v>
      </c>
      <c r="R310" s="81" t="s">
        <v>854</v>
      </c>
      <c r="S310" s="580" t="s">
        <v>910</v>
      </c>
      <c r="T310" s="81" t="s">
        <v>329</v>
      </c>
      <c r="U310" s="81" t="s">
        <v>324</v>
      </c>
      <c r="V310" s="81" t="s">
        <v>324</v>
      </c>
      <c r="W310" s="81" t="s">
        <v>324</v>
      </c>
      <c r="X310" s="81" t="s">
        <v>324</v>
      </c>
      <c r="Y310" s="81" t="s">
        <v>329</v>
      </c>
      <c r="Z310" s="81" t="s">
        <v>282</v>
      </c>
      <c r="AA310" s="81" t="s">
        <v>324</v>
      </c>
      <c r="AB310" s="85"/>
      <c r="AC310" s="181" t="s">
        <v>324</v>
      </c>
      <c r="AD310" s="85"/>
      <c r="AE310" s="81" t="s">
        <v>315</v>
      </c>
      <c r="AF310" s="81" t="s">
        <v>315</v>
      </c>
      <c r="AG310" s="81" t="s">
        <v>315</v>
      </c>
      <c r="AH310" s="580" t="s">
        <v>1170</v>
      </c>
      <c r="AI310" s="81" t="s">
        <v>1560</v>
      </c>
      <c r="AJ310" s="81" t="s">
        <v>324</v>
      </c>
      <c r="AK310" s="81" t="s">
        <v>1305</v>
      </c>
      <c r="AL310" s="81" t="s">
        <v>369</v>
      </c>
      <c r="AM310" s="90" t="s">
        <v>1323</v>
      </c>
      <c r="AN310" s="81" t="s">
        <v>1561</v>
      </c>
      <c r="AO310" s="90" t="s">
        <v>1562</v>
      </c>
      <c r="AP310" s="81" t="s">
        <v>324</v>
      </c>
      <c r="AQ310" s="81" t="s">
        <v>1563</v>
      </c>
      <c r="AR310" s="131" t="s">
        <v>1363</v>
      </c>
      <c r="AS310" s="67"/>
    </row>
    <row r="311">
      <c r="A311" s="240"/>
      <c r="B311" s="69"/>
      <c r="C311" s="560"/>
      <c r="D311" s="71"/>
      <c r="E311" s="96"/>
      <c r="F311" s="96"/>
      <c r="G311" s="96"/>
      <c r="H311" s="96"/>
      <c r="I311" s="132"/>
      <c r="J311" s="564"/>
      <c r="K311" s="562"/>
      <c r="L311" s="76"/>
      <c r="M311" s="81" t="s">
        <v>1564</v>
      </c>
      <c r="N311" s="580"/>
      <c r="O311" s="81"/>
      <c r="P311" s="581" t="s">
        <v>1565</v>
      </c>
      <c r="Q311" s="81"/>
      <c r="R311" s="81"/>
      <c r="S311" s="580"/>
      <c r="T311" s="81" t="s">
        <v>282</v>
      </c>
      <c r="U311" s="81" t="s">
        <v>1566</v>
      </c>
      <c r="V311" s="81" t="s">
        <v>1566</v>
      </c>
      <c r="W311" s="81" t="s">
        <v>1566</v>
      </c>
      <c r="X311" s="81" t="s">
        <v>1566</v>
      </c>
      <c r="Y311" s="81" t="s">
        <v>1566</v>
      </c>
      <c r="Z311" s="81" t="s">
        <v>1566</v>
      </c>
      <c r="AA311" s="81" t="s">
        <v>1566</v>
      </c>
      <c r="AB311" s="85"/>
      <c r="AC311" s="181"/>
      <c r="AD311" s="85"/>
      <c r="AE311" s="81"/>
      <c r="AF311" s="81"/>
      <c r="AG311" s="81"/>
      <c r="AH311" s="580"/>
      <c r="AI311" s="133" t="s">
        <v>443</v>
      </c>
      <c r="AJ311" s="81"/>
      <c r="AK311" s="81"/>
      <c r="AL311" s="81"/>
      <c r="AM311" s="90"/>
      <c r="AN311" s="81" t="s">
        <v>1567</v>
      </c>
      <c r="AO311" s="90" t="s">
        <v>1565</v>
      </c>
      <c r="AP311" s="81"/>
      <c r="AQ311" s="81"/>
      <c r="AR311" s="131"/>
    </row>
    <row r="312">
      <c r="A312" s="240"/>
      <c r="B312" s="69"/>
      <c r="C312" s="560"/>
      <c r="D312" s="71"/>
      <c r="E312" s="96"/>
      <c r="F312" s="96"/>
      <c r="G312" s="96"/>
      <c r="H312" s="96"/>
      <c r="I312" s="132"/>
      <c r="J312" s="564"/>
      <c r="K312" s="562"/>
      <c r="L312" s="76" t="s">
        <v>347</v>
      </c>
      <c r="M312" s="81" t="s">
        <v>404</v>
      </c>
      <c r="N312" s="580" t="s">
        <v>597</v>
      </c>
      <c r="O312" s="580"/>
      <c r="P312" s="580" t="s">
        <v>597</v>
      </c>
      <c r="Q312" s="81" t="s">
        <v>315</v>
      </c>
      <c r="R312" s="181" t="s">
        <v>854</v>
      </c>
      <c r="S312" s="575" t="s">
        <v>910</v>
      </c>
      <c r="T312" s="181" t="s">
        <v>324</v>
      </c>
      <c r="U312" s="181" t="s">
        <v>324</v>
      </c>
      <c r="V312" s="181" t="s">
        <v>324</v>
      </c>
      <c r="W312" s="181" t="s">
        <v>324</v>
      </c>
      <c r="X312" s="181" t="s">
        <v>324</v>
      </c>
      <c r="Y312" s="81" t="s">
        <v>327</v>
      </c>
      <c r="Z312" s="81" t="s">
        <v>324</v>
      </c>
      <c r="AA312" s="81" t="s">
        <v>324</v>
      </c>
      <c r="AB312" s="81"/>
      <c r="AC312" s="181" t="s">
        <v>1005</v>
      </c>
      <c r="AD312" s="20" t="s">
        <v>1049</v>
      </c>
      <c r="AE312" s="81" t="s">
        <v>315</v>
      </c>
      <c r="AF312" s="81" t="s">
        <v>315</v>
      </c>
      <c r="AG312" s="81" t="s">
        <v>315</v>
      </c>
      <c r="AH312" s="575" t="s">
        <v>1170</v>
      </c>
      <c r="AI312" s="133" t="s">
        <v>443</v>
      </c>
      <c r="AJ312" s="133" t="s">
        <v>324</v>
      </c>
      <c r="AK312" s="81" t="s">
        <v>366</v>
      </c>
      <c r="AL312" s="81"/>
      <c r="AM312" s="90" t="s">
        <v>1323</v>
      </c>
      <c r="AN312" s="90"/>
      <c r="AO312" s="81"/>
      <c r="AP312" s="90"/>
      <c r="AQ312" s="81"/>
      <c r="AR312" s="81"/>
      <c r="AS312" s="582"/>
    </row>
    <row r="313">
      <c r="A313" s="240"/>
      <c r="B313" s="69" t="s">
        <v>238</v>
      </c>
      <c r="C313" s="560"/>
      <c r="D313" s="71" t="s">
        <v>258</v>
      </c>
      <c r="E313" s="72">
        <v>43575.0</v>
      </c>
      <c r="F313" s="73" t="s">
        <v>280</v>
      </c>
      <c r="G313" s="572">
        <v>43581.0</v>
      </c>
      <c r="H313" s="73" t="s">
        <v>282</v>
      </c>
      <c r="I313" s="132" t="s">
        <v>1571</v>
      </c>
      <c r="J313" s="564" t="s">
        <v>210</v>
      </c>
      <c r="K313" s="129" t="s">
        <v>455</v>
      </c>
      <c r="L313" s="76" t="s">
        <v>347</v>
      </c>
      <c r="M313" s="81" t="s">
        <v>1559</v>
      </c>
      <c r="N313" s="580" t="s">
        <v>597</v>
      </c>
      <c r="O313" s="81" t="s">
        <v>750</v>
      </c>
      <c r="P313" s="580" t="s">
        <v>597</v>
      </c>
      <c r="Q313" s="81" t="s">
        <v>315</v>
      </c>
      <c r="R313" s="81" t="s">
        <v>854</v>
      </c>
      <c r="S313" s="580" t="s">
        <v>910</v>
      </c>
      <c r="T313" s="81" t="s">
        <v>329</v>
      </c>
      <c r="U313" s="81" t="s">
        <v>324</v>
      </c>
      <c r="V313" s="81" t="s">
        <v>324</v>
      </c>
      <c r="W313" s="81" t="s">
        <v>324</v>
      </c>
      <c r="X313" s="81" t="s">
        <v>324</v>
      </c>
      <c r="Y313" s="81" t="s">
        <v>329</v>
      </c>
      <c r="Z313" s="81" t="s">
        <v>282</v>
      </c>
      <c r="AA313" s="81" t="s">
        <v>324</v>
      </c>
      <c r="AB313" s="85"/>
      <c r="AC313" s="181" t="s">
        <v>324</v>
      </c>
      <c r="AD313" s="85"/>
      <c r="AE313" s="81" t="s">
        <v>315</v>
      </c>
      <c r="AF313" s="81" t="s">
        <v>315</v>
      </c>
      <c r="AG313" s="81" t="s">
        <v>315</v>
      </c>
      <c r="AH313" s="580" t="s">
        <v>1170</v>
      </c>
      <c r="AI313" s="81" t="s">
        <v>1560</v>
      </c>
      <c r="AJ313" s="81" t="s">
        <v>324</v>
      </c>
      <c r="AK313" s="81" t="s">
        <v>1305</v>
      </c>
      <c r="AL313" s="81" t="s">
        <v>369</v>
      </c>
      <c r="AM313" s="90" t="s">
        <v>1323</v>
      </c>
      <c r="AN313" s="81" t="s">
        <v>1561</v>
      </c>
      <c r="AO313" s="90" t="s">
        <v>1562</v>
      </c>
      <c r="AP313" s="81" t="s">
        <v>324</v>
      </c>
      <c r="AQ313" s="81" t="s">
        <v>1563</v>
      </c>
      <c r="AR313" s="131" t="s">
        <v>1363</v>
      </c>
      <c r="AS313" s="67"/>
    </row>
    <row r="314">
      <c r="A314" s="240"/>
      <c r="B314" s="69"/>
      <c r="C314" s="560"/>
      <c r="D314" s="71"/>
      <c r="E314" s="96"/>
      <c r="F314" s="96"/>
      <c r="G314" s="96"/>
      <c r="H314" s="96"/>
      <c r="I314" s="132"/>
      <c r="J314" s="564"/>
      <c r="K314" s="562"/>
      <c r="L314" s="76"/>
      <c r="M314" s="81" t="s">
        <v>1564</v>
      </c>
      <c r="N314" s="580"/>
      <c r="O314" s="81"/>
      <c r="P314" s="581" t="s">
        <v>1565</v>
      </c>
      <c r="Q314" s="81"/>
      <c r="R314" s="81"/>
      <c r="S314" s="580"/>
      <c r="T314" s="81" t="s">
        <v>282</v>
      </c>
      <c r="U314" s="81" t="s">
        <v>1566</v>
      </c>
      <c r="V314" s="81" t="s">
        <v>1566</v>
      </c>
      <c r="W314" s="81" t="s">
        <v>1566</v>
      </c>
      <c r="X314" s="81" t="s">
        <v>1566</v>
      </c>
      <c r="Y314" s="81" t="s">
        <v>1566</v>
      </c>
      <c r="Z314" s="81" t="s">
        <v>1566</v>
      </c>
      <c r="AA314" s="81" t="s">
        <v>1566</v>
      </c>
      <c r="AB314" s="85"/>
      <c r="AC314" s="181"/>
      <c r="AD314" s="85"/>
      <c r="AE314" s="81"/>
      <c r="AF314" s="81"/>
      <c r="AG314" s="81"/>
      <c r="AH314" s="580"/>
      <c r="AI314" s="133" t="s">
        <v>443</v>
      </c>
      <c r="AJ314" s="81"/>
      <c r="AK314" s="81"/>
      <c r="AL314" s="81"/>
      <c r="AM314" s="90"/>
      <c r="AN314" s="81" t="s">
        <v>1567</v>
      </c>
      <c r="AO314" s="90" t="s">
        <v>1565</v>
      </c>
      <c r="AP314" s="81"/>
      <c r="AQ314" s="81"/>
      <c r="AR314" s="131"/>
    </row>
    <row r="315">
      <c r="A315" s="240"/>
      <c r="B315" s="69"/>
      <c r="C315" s="560"/>
      <c r="D315" s="71"/>
      <c r="E315" s="96"/>
      <c r="F315" s="96"/>
      <c r="G315" s="96"/>
      <c r="H315" s="96"/>
      <c r="I315" s="132"/>
      <c r="J315" s="564"/>
      <c r="K315" s="562"/>
      <c r="L315" s="76" t="s">
        <v>347</v>
      </c>
      <c r="M315" s="81" t="s">
        <v>404</v>
      </c>
      <c r="N315" s="580" t="s">
        <v>597</v>
      </c>
      <c r="O315" s="580"/>
      <c r="P315" s="580" t="s">
        <v>597</v>
      </c>
      <c r="Q315" s="81" t="s">
        <v>315</v>
      </c>
      <c r="R315" s="181" t="s">
        <v>854</v>
      </c>
      <c r="S315" s="575" t="s">
        <v>910</v>
      </c>
      <c r="T315" s="181" t="s">
        <v>324</v>
      </c>
      <c r="U315" s="181" t="s">
        <v>324</v>
      </c>
      <c r="V315" s="181" t="s">
        <v>324</v>
      </c>
      <c r="W315" s="181" t="s">
        <v>324</v>
      </c>
      <c r="X315" s="181" t="s">
        <v>324</v>
      </c>
      <c r="Y315" s="81" t="s">
        <v>327</v>
      </c>
      <c r="Z315" s="81" t="s">
        <v>324</v>
      </c>
      <c r="AA315" s="81" t="s">
        <v>324</v>
      </c>
      <c r="AB315" s="81"/>
      <c r="AC315" s="181" t="s">
        <v>1005</v>
      </c>
      <c r="AD315" s="20" t="s">
        <v>1050</v>
      </c>
      <c r="AE315" s="81" t="s">
        <v>315</v>
      </c>
      <c r="AF315" s="81" t="s">
        <v>315</v>
      </c>
      <c r="AG315" s="81" t="s">
        <v>315</v>
      </c>
      <c r="AH315" s="575" t="s">
        <v>1170</v>
      </c>
      <c r="AI315" s="133" t="s">
        <v>443</v>
      </c>
      <c r="AJ315" s="133" t="s">
        <v>324</v>
      </c>
      <c r="AK315" s="81" t="s">
        <v>366</v>
      </c>
      <c r="AL315" s="81"/>
      <c r="AM315" s="90" t="s">
        <v>1323</v>
      </c>
      <c r="AN315" s="90"/>
      <c r="AO315" s="81"/>
      <c r="AP315" s="90"/>
      <c r="AQ315" s="81"/>
      <c r="AR315" s="81"/>
      <c r="AS315" s="582"/>
    </row>
    <row r="316">
      <c r="A316" s="240"/>
      <c r="B316" s="69" t="s">
        <v>238</v>
      </c>
      <c r="C316" s="560"/>
      <c r="D316" s="71" t="s">
        <v>258</v>
      </c>
      <c r="E316" s="72">
        <v>43575.0</v>
      </c>
      <c r="F316" s="73" t="s">
        <v>280</v>
      </c>
      <c r="G316" s="572">
        <v>43581.0</v>
      </c>
      <c r="H316" s="73" t="s">
        <v>282</v>
      </c>
      <c r="I316" s="132" t="s">
        <v>1572</v>
      </c>
      <c r="J316" s="564" t="s">
        <v>211</v>
      </c>
      <c r="K316" s="129" t="s">
        <v>933</v>
      </c>
      <c r="L316" s="76" t="s">
        <v>347</v>
      </c>
      <c r="M316" s="81" t="s">
        <v>1559</v>
      </c>
      <c r="N316" s="580" t="s">
        <v>597</v>
      </c>
      <c r="O316" s="81" t="s">
        <v>750</v>
      </c>
      <c r="P316" s="580" t="s">
        <v>597</v>
      </c>
      <c r="Q316" s="81" t="s">
        <v>315</v>
      </c>
      <c r="R316" s="81" t="s">
        <v>854</v>
      </c>
      <c r="S316" s="580" t="s">
        <v>910</v>
      </c>
      <c r="T316" s="81" t="s">
        <v>329</v>
      </c>
      <c r="U316" s="81" t="s">
        <v>324</v>
      </c>
      <c r="V316" s="81" t="s">
        <v>324</v>
      </c>
      <c r="W316" s="81" t="s">
        <v>324</v>
      </c>
      <c r="X316" s="81" t="s">
        <v>324</v>
      </c>
      <c r="Y316" s="81" t="s">
        <v>329</v>
      </c>
      <c r="Z316" s="81" t="s">
        <v>282</v>
      </c>
      <c r="AA316" s="81" t="s">
        <v>324</v>
      </c>
      <c r="AB316" s="85"/>
      <c r="AC316" s="181" t="s">
        <v>324</v>
      </c>
      <c r="AD316" s="85"/>
      <c r="AE316" s="81" t="s">
        <v>315</v>
      </c>
      <c r="AF316" s="81" t="s">
        <v>315</v>
      </c>
      <c r="AG316" s="81" t="s">
        <v>315</v>
      </c>
      <c r="AH316" s="580" t="s">
        <v>1170</v>
      </c>
      <c r="AI316" s="81" t="s">
        <v>1560</v>
      </c>
      <c r="AJ316" s="81" t="s">
        <v>324</v>
      </c>
      <c r="AK316" s="81" t="s">
        <v>1305</v>
      </c>
      <c r="AL316" s="81" t="s">
        <v>369</v>
      </c>
      <c r="AM316" s="90" t="s">
        <v>1323</v>
      </c>
      <c r="AN316" s="81" t="s">
        <v>1561</v>
      </c>
      <c r="AO316" s="90" t="s">
        <v>1562</v>
      </c>
      <c r="AP316" s="81" t="s">
        <v>324</v>
      </c>
      <c r="AQ316" s="81" t="s">
        <v>1563</v>
      </c>
      <c r="AR316" s="131" t="s">
        <v>1363</v>
      </c>
      <c r="AS316" s="67"/>
    </row>
    <row r="317">
      <c r="A317" s="240"/>
      <c r="B317" s="69"/>
      <c r="C317" s="560"/>
      <c r="D317" s="71"/>
      <c r="E317" s="96"/>
      <c r="F317" s="96"/>
      <c r="G317" s="96"/>
      <c r="H317" s="96"/>
      <c r="I317" s="132"/>
      <c r="J317" s="564"/>
      <c r="K317" s="562"/>
      <c r="L317" s="76"/>
      <c r="M317" s="81" t="s">
        <v>1564</v>
      </c>
      <c r="N317" s="580"/>
      <c r="O317" s="81"/>
      <c r="P317" s="581" t="s">
        <v>1565</v>
      </c>
      <c r="Q317" s="81"/>
      <c r="R317" s="81"/>
      <c r="S317" s="580"/>
      <c r="T317" s="81" t="s">
        <v>282</v>
      </c>
      <c r="U317" s="81" t="s">
        <v>1566</v>
      </c>
      <c r="V317" s="81" t="s">
        <v>1566</v>
      </c>
      <c r="W317" s="81" t="s">
        <v>1566</v>
      </c>
      <c r="X317" s="81" t="s">
        <v>1566</v>
      </c>
      <c r="Y317" s="81" t="s">
        <v>1566</v>
      </c>
      <c r="Z317" s="81" t="s">
        <v>1566</v>
      </c>
      <c r="AA317" s="81" t="s">
        <v>1566</v>
      </c>
      <c r="AB317" s="85"/>
      <c r="AC317" s="181"/>
      <c r="AD317" s="85"/>
      <c r="AE317" s="81"/>
      <c r="AF317" s="81"/>
      <c r="AG317" s="81"/>
      <c r="AH317" s="580"/>
      <c r="AI317" s="133" t="s">
        <v>443</v>
      </c>
      <c r="AJ317" s="81"/>
      <c r="AK317" s="81"/>
      <c r="AL317" s="81"/>
      <c r="AM317" s="90"/>
      <c r="AN317" s="81" t="s">
        <v>1567</v>
      </c>
      <c r="AO317" s="90" t="s">
        <v>1565</v>
      </c>
      <c r="AP317" s="81"/>
      <c r="AQ317" s="81"/>
      <c r="AR317" s="131"/>
    </row>
    <row r="318">
      <c r="A318" s="240"/>
      <c r="B318" s="69"/>
      <c r="C318" s="560"/>
      <c r="D318" s="71"/>
      <c r="E318" s="96"/>
      <c r="F318" s="96"/>
      <c r="G318" s="96"/>
      <c r="H318" s="96"/>
      <c r="I318" s="132"/>
      <c r="J318" s="564"/>
      <c r="K318" s="562"/>
      <c r="L318" s="76" t="s">
        <v>347</v>
      </c>
      <c r="M318" s="81" t="s">
        <v>404</v>
      </c>
      <c r="N318" s="580" t="s">
        <v>597</v>
      </c>
      <c r="O318" s="580"/>
      <c r="P318" s="580" t="s">
        <v>597</v>
      </c>
      <c r="Q318" s="81" t="s">
        <v>315</v>
      </c>
      <c r="R318" s="181" t="s">
        <v>854</v>
      </c>
      <c r="S318" s="575" t="s">
        <v>910</v>
      </c>
      <c r="T318" s="181" t="s">
        <v>324</v>
      </c>
      <c r="U318" s="181" t="s">
        <v>324</v>
      </c>
      <c r="V318" s="181" t="s">
        <v>324</v>
      </c>
      <c r="W318" s="181" t="s">
        <v>324</v>
      </c>
      <c r="X318" s="181" t="s">
        <v>324</v>
      </c>
      <c r="Y318" s="81" t="s">
        <v>327</v>
      </c>
      <c r="Z318" s="81" t="s">
        <v>324</v>
      </c>
      <c r="AA318" s="81" t="s">
        <v>324</v>
      </c>
      <c r="AB318" s="81"/>
      <c r="AC318" s="181" t="s">
        <v>1005</v>
      </c>
      <c r="AD318" s="20" t="s">
        <v>1051</v>
      </c>
      <c r="AE318" s="81" t="s">
        <v>315</v>
      </c>
      <c r="AF318" s="81" t="s">
        <v>315</v>
      </c>
      <c r="AG318" s="81" t="s">
        <v>315</v>
      </c>
      <c r="AH318" s="575" t="s">
        <v>1170</v>
      </c>
      <c r="AI318" s="133" t="s">
        <v>443</v>
      </c>
      <c r="AJ318" s="133" t="s">
        <v>324</v>
      </c>
      <c r="AK318" s="81" t="s">
        <v>366</v>
      </c>
      <c r="AL318" s="81"/>
      <c r="AM318" s="90" t="s">
        <v>1323</v>
      </c>
      <c r="AN318" s="90"/>
      <c r="AO318" s="81"/>
      <c r="AP318" s="90"/>
      <c r="AQ318" s="81"/>
      <c r="AR318" s="81"/>
      <c r="AS318" s="582"/>
    </row>
    <row r="319">
      <c r="A319" s="240"/>
      <c r="B319" s="69" t="s">
        <v>238</v>
      </c>
      <c r="C319" s="560"/>
      <c r="D319" s="71" t="s">
        <v>258</v>
      </c>
      <c r="E319" s="72">
        <v>43575.0</v>
      </c>
      <c r="F319" s="73" t="s">
        <v>280</v>
      </c>
      <c r="G319" s="72">
        <v>43583.0</v>
      </c>
      <c r="H319" s="73" t="s">
        <v>282</v>
      </c>
      <c r="I319" s="128" t="s">
        <v>1573</v>
      </c>
      <c r="J319" s="564" t="s">
        <v>212</v>
      </c>
      <c r="K319" s="77" t="s">
        <v>933</v>
      </c>
      <c r="L319" s="76" t="s">
        <v>347</v>
      </c>
      <c r="M319" s="81" t="s">
        <v>1559</v>
      </c>
      <c r="N319" s="581" t="s">
        <v>597</v>
      </c>
      <c r="O319" s="81" t="s">
        <v>750</v>
      </c>
      <c r="P319" s="581" t="s">
        <v>597</v>
      </c>
      <c r="Q319" s="81" t="s">
        <v>315</v>
      </c>
      <c r="R319" s="81" t="s">
        <v>854</v>
      </c>
      <c r="S319" s="581" t="s">
        <v>910</v>
      </c>
      <c r="T319" s="81" t="s">
        <v>329</v>
      </c>
      <c r="U319" s="81" t="s">
        <v>324</v>
      </c>
      <c r="V319" s="81" t="s">
        <v>324</v>
      </c>
      <c r="W319" s="81" t="s">
        <v>324</v>
      </c>
      <c r="X319" s="81" t="s">
        <v>324</v>
      </c>
      <c r="Y319" s="81" t="s">
        <v>329</v>
      </c>
      <c r="Z319" s="81" t="s">
        <v>282</v>
      </c>
      <c r="AA319" s="81" t="s">
        <v>324</v>
      </c>
      <c r="AB319" s="85"/>
      <c r="AC319" s="81" t="s">
        <v>324</v>
      </c>
      <c r="AD319" s="85"/>
      <c r="AE319" s="81" t="s">
        <v>315</v>
      </c>
      <c r="AF319" s="81" t="s">
        <v>315</v>
      </c>
      <c r="AG319" s="81" t="s">
        <v>315</v>
      </c>
      <c r="AH319" s="581" t="s">
        <v>1170</v>
      </c>
      <c r="AI319" s="81" t="s">
        <v>1560</v>
      </c>
      <c r="AJ319" s="81" t="s">
        <v>324</v>
      </c>
      <c r="AK319" s="81" t="s">
        <v>1305</v>
      </c>
      <c r="AL319" s="81" t="s">
        <v>369</v>
      </c>
      <c r="AM319" s="90" t="s">
        <v>1323</v>
      </c>
      <c r="AN319" s="81" t="s">
        <v>1561</v>
      </c>
      <c r="AO319" s="90" t="s">
        <v>1562</v>
      </c>
      <c r="AP319" s="81" t="s">
        <v>324</v>
      </c>
      <c r="AQ319" s="81" t="s">
        <v>1563</v>
      </c>
      <c r="AR319" s="131" t="s">
        <v>1363</v>
      </c>
      <c r="AS319" s="67"/>
    </row>
    <row r="320">
      <c r="A320" s="240"/>
      <c r="B320" s="69"/>
      <c r="C320" s="560"/>
      <c r="D320" s="71"/>
      <c r="E320" s="96"/>
      <c r="F320" s="96"/>
      <c r="G320" s="96"/>
      <c r="H320" s="96"/>
      <c r="I320" s="132"/>
      <c r="J320" s="564"/>
      <c r="K320" s="562"/>
      <c r="L320" s="76"/>
      <c r="M320" s="81" t="s">
        <v>404</v>
      </c>
      <c r="N320" s="91" t="s">
        <v>1574</v>
      </c>
      <c r="O320" s="81"/>
      <c r="P320" s="20" t="s">
        <v>797</v>
      </c>
      <c r="Q320" s="81"/>
      <c r="R320" s="81"/>
      <c r="S320" s="580"/>
      <c r="T320" s="81" t="s">
        <v>327</v>
      </c>
      <c r="U320" s="81" t="s">
        <v>327</v>
      </c>
      <c r="V320" s="81" t="s">
        <v>324</v>
      </c>
      <c r="W320" s="81" t="s">
        <v>324</v>
      </c>
      <c r="X320" s="81" t="s">
        <v>327</v>
      </c>
      <c r="Y320" s="81" t="s">
        <v>327</v>
      </c>
      <c r="Z320" s="81" t="s">
        <v>324</v>
      </c>
      <c r="AA320" s="81" t="s">
        <v>324</v>
      </c>
      <c r="AB320" s="85"/>
      <c r="AC320" s="181" t="s">
        <v>1006</v>
      </c>
      <c r="AD320" s="20" t="s">
        <v>797</v>
      </c>
      <c r="AE320" s="81" t="s">
        <v>1575</v>
      </c>
      <c r="AF320" s="81"/>
      <c r="AG320" s="81"/>
      <c r="AH320" s="580"/>
      <c r="AI320" s="133" t="s">
        <v>443</v>
      </c>
      <c r="AJ320" s="81"/>
      <c r="AK320" s="81"/>
      <c r="AL320" s="81"/>
      <c r="AM320" s="90"/>
      <c r="AN320" s="81" t="s">
        <v>1567</v>
      </c>
      <c r="AO320" s="90" t="s">
        <v>1565</v>
      </c>
      <c r="AP320" s="81"/>
      <c r="AQ320" s="81"/>
      <c r="AR320" s="131"/>
    </row>
    <row r="321">
      <c r="A321" s="240"/>
      <c r="B321" s="69"/>
      <c r="C321" s="560"/>
      <c r="D321" s="71"/>
      <c r="E321" s="96"/>
      <c r="F321" s="96"/>
      <c r="G321" s="73" t="s">
        <v>1576</v>
      </c>
      <c r="H321" s="96"/>
      <c r="I321" s="132"/>
      <c r="J321" s="564"/>
      <c r="K321" s="562"/>
      <c r="L321" s="76"/>
      <c r="M321" s="81" t="s">
        <v>404</v>
      </c>
      <c r="N321" s="581" t="s">
        <v>597</v>
      </c>
      <c r="O321" s="81" t="s">
        <v>750</v>
      </c>
      <c r="P321" s="20" t="s">
        <v>797</v>
      </c>
      <c r="Q321" s="81" t="s">
        <v>315</v>
      </c>
      <c r="R321" s="81" t="s">
        <v>854</v>
      </c>
      <c r="S321" s="581" t="s">
        <v>910</v>
      </c>
      <c r="T321" s="81" t="s">
        <v>327</v>
      </c>
      <c r="U321" s="81" t="s">
        <v>327</v>
      </c>
      <c r="V321" s="81" t="s">
        <v>324</v>
      </c>
      <c r="W321" s="81" t="s">
        <v>324</v>
      </c>
      <c r="X321" s="81" t="s">
        <v>327</v>
      </c>
      <c r="Y321" s="81" t="s">
        <v>327</v>
      </c>
      <c r="Z321" s="81" t="s">
        <v>324</v>
      </c>
      <c r="AA321" s="81" t="s">
        <v>324</v>
      </c>
      <c r="AB321" s="85"/>
      <c r="AC321" s="181" t="s">
        <v>1006</v>
      </c>
      <c r="AD321" s="20" t="s">
        <v>797</v>
      </c>
      <c r="AE321" s="583" t="s">
        <v>315</v>
      </c>
      <c r="AF321" s="81" t="s">
        <v>315</v>
      </c>
      <c r="AG321" s="81" t="s">
        <v>315</v>
      </c>
      <c r="AH321" s="581" t="s">
        <v>1170</v>
      </c>
      <c r="AI321" s="133" t="s">
        <v>443</v>
      </c>
      <c r="AJ321" s="81" t="s">
        <v>324</v>
      </c>
      <c r="AK321" s="81" t="s">
        <v>1305</v>
      </c>
      <c r="AL321" s="81" t="s">
        <v>369</v>
      </c>
      <c r="AM321" s="90" t="s">
        <v>1323</v>
      </c>
      <c r="AN321" s="90"/>
      <c r="AO321" s="81"/>
      <c r="AP321" s="81" t="s">
        <v>324</v>
      </c>
      <c r="AQ321" s="81"/>
      <c r="AR321" s="81"/>
      <c r="AS321" s="582"/>
    </row>
    <row r="322">
      <c r="A322" s="240"/>
      <c r="B322" s="69" t="s">
        <v>238</v>
      </c>
      <c r="C322" s="560"/>
      <c r="D322" s="71" t="s">
        <v>258</v>
      </c>
      <c r="E322" s="72">
        <v>43575.0</v>
      </c>
      <c r="F322" s="73" t="s">
        <v>280</v>
      </c>
      <c r="G322" s="572">
        <v>43581.0</v>
      </c>
      <c r="H322" s="73" t="s">
        <v>282</v>
      </c>
      <c r="I322" s="132" t="s">
        <v>1577</v>
      </c>
      <c r="J322" s="564" t="s">
        <v>213</v>
      </c>
      <c r="K322" s="562" t="s">
        <v>1578</v>
      </c>
      <c r="L322" s="76" t="s">
        <v>347</v>
      </c>
      <c r="M322" s="81" t="s">
        <v>1559</v>
      </c>
      <c r="N322" s="580" t="s">
        <v>597</v>
      </c>
      <c r="O322" s="81" t="s">
        <v>750</v>
      </c>
      <c r="P322" s="580" t="s">
        <v>597</v>
      </c>
      <c r="Q322" s="81" t="s">
        <v>315</v>
      </c>
      <c r="R322" s="81" t="s">
        <v>854</v>
      </c>
      <c r="S322" s="580" t="s">
        <v>910</v>
      </c>
      <c r="T322" s="81" t="s">
        <v>329</v>
      </c>
      <c r="U322" s="81" t="s">
        <v>324</v>
      </c>
      <c r="V322" s="81" t="s">
        <v>324</v>
      </c>
      <c r="W322" s="81" t="s">
        <v>324</v>
      </c>
      <c r="X322" s="81" t="s">
        <v>324</v>
      </c>
      <c r="Y322" s="81" t="s">
        <v>329</v>
      </c>
      <c r="Z322" s="81" t="s">
        <v>282</v>
      </c>
      <c r="AA322" s="81" t="s">
        <v>324</v>
      </c>
      <c r="AB322" s="85"/>
      <c r="AC322" s="181" t="s">
        <v>324</v>
      </c>
      <c r="AD322" s="85"/>
      <c r="AE322" s="81" t="s">
        <v>315</v>
      </c>
      <c r="AF322" s="81" t="s">
        <v>315</v>
      </c>
      <c r="AG322" s="81" t="s">
        <v>315</v>
      </c>
      <c r="AH322" s="580" t="s">
        <v>1170</v>
      </c>
      <c r="AI322" s="81" t="s">
        <v>1560</v>
      </c>
      <c r="AJ322" s="81" t="s">
        <v>324</v>
      </c>
      <c r="AK322" s="81" t="s">
        <v>1305</v>
      </c>
      <c r="AL322" s="81" t="s">
        <v>369</v>
      </c>
      <c r="AM322" s="90" t="s">
        <v>1323</v>
      </c>
      <c r="AN322" s="81" t="s">
        <v>1561</v>
      </c>
      <c r="AO322" s="90" t="s">
        <v>1562</v>
      </c>
      <c r="AP322" s="81" t="s">
        <v>324</v>
      </c>
      <c r="AQ322" s="81" t="s">
        <v>1563</v>
      </c>
      <c r="AR322" s="131" t="s">
        <v>1363</v>
      </c>
      <c r="AS322" s="67"/>
    </row>
    <row r="323">
      <c r="A323" s="240"/>
      <c r="B323" s="69"/>
      <c r="C323" s="560"/>
      <c r="D323" s="71"/>
      <c r="E323" s="96"/>
      <c r="F323" s="96"/>
      <c r="G323" s="96"/>
      <c r="H323" s="96"/>
      <c r="I323" s="132"/>
      <c r="J323" s="564"/>
      <c r="K323" s="562"/>
      <c r="L323" s="76"/>
      <c r="M323" s="81" t="s">
        <v>1564</v>
      </c>
      <c r="N323" s="580"/>
      <c r="O323" s="81"/>
      <c r="P323" s="581" t="s">
        <v>1565</v>
      </c>
      <c r="Q323" s="81"/>
      <c r="R323" s="81"/>
      <c r="S323" s="580"/>
      <c r="T323" s="81" t="s">
        <v>282</v>
      </c>
      <c r="U323" s="81" t="s">
        <v>1566</v>
      </c>
      <c r="V323" s="81" t="s">
        <v>1566</v>
      </c>
      <c r="W323" s="81" t="s">
        <v>1566</v>
      </c>
      <c r="X323" s="81" t="s">
        <v>1566</v>
      </c>
      <c r="Y323" s="81" t="s">
        <v>1566</v>
      </c>
      <c r="Z323" s="81" t="s">
        <v>1566</v>
      </c>
      <c r="AA323" s="81" t="s">
        <v>1566</v>
      </c>
      <c r="AB323" s="85"/>
      <c r="AC323" s="181"/>
      <c r="AD323" s="85"/>
      <c r="AE323" s="81"/>
      <c r="AF323" s="81"/>
      <c r="AG323" s="81"/>
      <c r="AH323" s="580"/>
      <c r="AI323" s="133" t="s">
        <v>443</v>
      </c>
      <c r="AJ323" s="81"/>
      <c r="AK323" s="81"/>
      <c r="AL323" s="81"/>
      <c r="AM323" s="90"/>
      <c r="AN323" s="81" t="s">
        <v>1567</v>
      </c>
      <c r="AO323" s="90" t="s">
        <v>1565</v>
      </c>
      <c r="AP323" s="81"/>
      <c r="AQ323" s="81"/>
      <c r="AR323" s="131"/>
    </row>
    <row r="324">
      <c r="A324" s="240"/>
      <c r="B324" s="69"/>
      <c r="C324" s="560"/>
      <c r="D324" s="71"/>
      <c r="E324" s="96"/>
      <c r="F324" s="96"/>
      <c r="G324" s="96"/>
      <c r="H324" s="96"/>
      <c r="I324" s="132"/>
      <c r="J324" s="564"/>
      <c r="K324" s="562"/>
      <c r="L324" s="76" t="s">
        <v>347</v>
      </c>
      <c r="M324" s="81" t="s">
        <v>404</v>
      </c>
      <c r="N324" s="580" t="s">
        <v>597</v>
      </c>
      <c r="O324" s="580"/>
      <c r="P324" s="580" t="s">
        <v>597</v>
      </c>
      <c r="Q324" s="81" t="s">
        <v>315</v>
      </c>
      <c r="R324" s="181" t="s">
        <v>854</v>
      </c>
      <c r="S324" s="575" t="s">
        <v>910</v>
      </c>
      <c r="T324" s="181" t="s">
        <v>324</v>
      </c>
      <c r="U324" s="181" t="s">
        <v>324</v>
      </c>
      <c r="V324" s="181" t="s">
        <v>324</v>
      </c>
      <c r="W324" s="181" t="s">
        <v>324</v>
      </c>
      <c r="X324" s="181" t="s">
        <v>324</v>
      </c>
      <c r="Y324" s="81" t="s">
        <v>327</v>
      </c>
      <c r="Z324" s="81" t="s">
        <v>324</v>
      </c>
      <c r="AA324" s="81" t="s">
        <v>324</v>
      </c>
      <c r="AB324" s="81"/>
      <c r="AC324" s="181" t="s">
        <v>1005</v>
      </c>
      <c r="AD324" s="20" t="s">
        <v>1052</v>
      </c>
      <c r="AE324" s="81" t="s">
        <v>315</v>
      </c>
      <c r="AF324" s="81" t="s">
        <v>315</v>
      </c>
      <c r="AG324" s="81" t="s">
        <v>315</v>
      </c>
      <c r="AH324" s="575" t="s">
        <v>1170</v>
      </c>
      <c r="AI324" s="133" t="s">
        <v>443</v>
      </c>
      <c r="AJ324" s="133" t="s">
        <v>324</v>
      </c>
      <c r="AK324" s="81" t="s">
        <v>366</v>
      </c>
      <c r="AL324" s="81"/>
      <c r="AM324" s="90" t="s">
        <v>1323</v>
      </c>
      <c r="AN324" s="90"/>
      <c r="AO324" s="81"/>
      <c r="AP324" s="90"/>
      <c r="AQ324" s="81"/>
      <c r="AR324" s="81"/>
      <c r="AS324" s="582"/>
    </row>
    <row r="325">
      <c r="A325" s="240"/>
      <c r="B325" s="69" t="s">
        <v>238</v>
      </c>
      <c r="C325" s="560"/>
      <c r="D325" s="71" t="s">
        <v>258</v>
      </c>
      <c r="E325" s="72">
        <v>43575.0</v>
      </c>
      <c r="F325" s="73" t="s">
        <v>280</v>
      </c>
      <c r="G325" s="572">
        <v>43581.0</v>
      </c>
      <c r="H325" s="73" t="s">
        <v>282</v>
      </c>
      <c r="I325" s="132" t="s">
        <v>1579</v>
      </c>
      <c r="J325" s="564" t="s">
        <v>214</v>
      </c>
      <c r="K325" s="562"/>
      <c r="L325" s="76" t="s">
        <v>347</v>
      </c>
      <c r="M325" s="81" t="s">
        <v>1559</v>
      </c>
      <c r="N325" s="580" t="s">
        <v>597</v>
      </c>
      <c r="O325" s="81" t="s">
        <v>750</v>
      </c>
      <c r="P325" s="580" t="s">
        <v>597</v>
      </c>
      <c r="Q325" s="81" t="s">
        <v>315</v>
      </c>
      <c r="R325" s="81" t="s">
        <v>854</v>
      </c>
      <c r="S325" s="580" t="s">
        <v>910</v>
      </c>
      <c r="T325" s="81" t="s">
        <v>329</v>
      </c>
      <c r="U325" s="81" t="s">
        <v>324</v>
      </c>
      <c r="V325" s="81" t="s">
        <v>324</v>
      </c>
      <c r="W325" s="81" t="s">
        <v>324</v>
      </c>
      <c r="X325" s="81" t="s">
        <v>324</v>
      </c>
      <c r="Y325" s="81" t="s">
        <v>329</v>
      </c>
      <c r="Z325" s="81" t="s">
        <v>282</v>
      </c>
      <c r="AA325" s="81" t="s">
        <v>324</v>
      </c>
      <c r="AB325" s="85"/>
      <c r="AC325" s="181" t="s">
        <v>324</v>
      </c>
      <c r="AD325" s="85"/>
      <c r="AE325" s="81" t="s">
        <v>315</v>
      </c>
      <c r="AF325" s="81" t="s">
        <v>315</v>
      </c>
      <c r="AG325" s="81" t="s">
        <v>315</v>
      </c>
      <c r="AH325" s="580" t="s">
        <v>1170</v>
      </c>
      <c r="AI325" s="81" t="s">
        <v>1560</v>
      </c>
      <c r="AJ325" s="81" t="s">
        <v>324</v>
      </c>
      <c r="AK325" s="81" t="s">
        <v>1305</v>
      </c>
      <c r="AL325" s="81" t="s">
        <v>369</v>
      </c>
      <c r="AM325" s="90" t="s">
        <v>1323</v>
      </c>
      <c r="AN325" s="81" t="s">
        <v>1561</v>
      </c>
      <c r="AO325" s="90" t="s">
        <v>1562</v>
      </c>
      <c r="AP325" s="81" t="s">
        <v>324</v>
      </c>
      <c r="AQ325" s="81" t="s">
        <v>1563</v>
      </c>
      <c r="AR325" s="131" t="s">
        <v>1363</v>
      </c>
      <c r="AS325" s="67"/>
    </row>
    <row r="326">
      <c r="A326" s="240"/>
      <c r="B326" s="69"/>
      <c r="C326" s="560"/>
      <c r="D326" s="71"/>
      <c r="E326" s="96"/>
      <c r="F326" s="96"/>
      <c r="G326" s="96"/>
      <c r="H326" s="96"/>
      <c r="I326" s="132"/>
      <c r="J326" s="564"/>
      <c r="K326" s="562"/>
      <c r="L326" s="76"/>
      <c r="M326" s="81" t="s">
        <v>1564</v>
      </c>
      <c r="N326" s="580"/>
      <c r="O326" s="81"/>
      <c r="P326" s="581" t="s">
        <v>1565</v>
      </c>
      <c r="Q326" s="81"/>
      <c r="R326" s="81"/>
      <c r="S326" s="580"/>
      <c r="T326" s="81" t="s">
        <v>282</v>
      </c>
      <c r="U326" s="81" t="s">
        <v>1566</v>
      </c>
      <c r="V326" s="81" t="s">
        <v>1566</v>
      </c>
      <c r="W326" s="81" t="s">
        <v>1566</v>
      </c>
      <c r="X326" s="81" t="s">
        <v>1566</v>
      </c>
      <c r="Y326" s="81" t="s">
        <v>1566</v>
      </c>
      <c r="Z326" s="81" t="s">
        <v>1566</v>
      </c>
      <c r="AA326" s="81" t="s">
        <v>1566</v>
      </c>
      <c r="AB326" s="85"/>
      <c r="AC326" s="181"/>
      <c r="AD326" s="85"/>
      <c r="AE326" s="81"/>
      <c r="AF326" s="81"/>
      <c r="AG326" s="81"/>
      <c r="AH326" s="580"/>
      <c r="AI326" s="133" t="s">
        <v>443</v>
      </c>
      <c r="AJ326" s="81"/>
      <c r="AK326" s="81"/>
      <c r="AL326" s="81"/>
      <c r="AM326" s="90"/>
      <c r="AN326" s="81" t="s">
        <v>1567</v>
      </c>
      <c r="AO326" s="90" t="s">
        <v>1565</v>
      </c>
      <c r="AP326" s="81"/>
      <c r="AQ326" s="81"/>
      <c r="AR326" s="131"/>
    </row>
    <row r="327">
      <c r="A327" s="240"/>
      <c r="B327" s="69"/>
      <c r="C327" s="560"/>
      <c r="D327" s="71"/>
      <c r="E327" s="96"/>
      <c r="F327" s="96"/>
      <c r="G327" s="96"/>
      <c r="H327" s="96"/>
      <c r="I327" s="132"/>
      <c r="J327" s="564"/>
      <c r="K327" s="562"/>
      <c r="L327" s="76" t="s">
        <v>347</v>
      </c>
      <c r="M327" s="81" t="s">
        <v>404</v>
      </c>
      <c r="N327" s="580" t="s">
        <v>597</v>
      </c>
      <c r="O327" s="580"/>
      <c r="P327" s="580" t="s">
        <v>597</v>
      </c>
      <c r="Q327" s="81" t="s">
        <v>315</v>
      </c>
      <c r="R327" s="181" t="s">
        <v>854</v>
      </c>
      <c r="S327" s="575" t="s">
        <v>910</v>
      </c>
      <c r="T327" s="181" t="s">
        <v>324</v>
      </c>
      <c r="U327" s="181" t="s">
        <v>324</v>
      </c>
      <c r="V327" s="181" t="s">
        <v>324</v>
      </c>
      <c r="W327" s="181" t="s">
        <v>324</v>
      </c>
      <c r="X327" s="181" t="s">
        <v>324</v>
      </c>
      <c r="Y327" s="81" t="s">
        <v>327</v>
      </c>
      <c r="Z327" s="81" t="s">
        <v>324</v>
      </c>
      <c r="AA327" s="81" t="s">
        <v>324</v>
      </c>
      <c r="AB327" s="81"/>
      <c r="AC327" s="181" t="s">
        <v>1005</v>
      </c>
      <c r="AD327" s="20" t="s">
        <v>1054</v>
      </c>
      <c r="AE327" s="81" t="s">
        <v>315</v>
      </c>
      <c r="AF327" s="81" t="s">
        <v>315</v>
      </c>
      <c r="AG327" s="81" t="s">
        <v>315</v>
      </c>
      <c r="AH327" s="575" t="s">
        <v>1170</v>
      </c>
      <c r="AI327" s="133" t="s">
        <v>443</v>
      </c>
      <c r="AJ327" s="133" t="s">
        <v>324</v>
      </c>
      <c r="AK327" s="81" t="s">
        <v>366</v>
      </c>
      <c r="AL327" s="81"/>
      <c r="AM327" s="90" t="s">
        <v>1323</v>
      </c>
      <c r="AN327" s="90"/>
      <c r="AO327" s="81"/>
      <c r="AP327" s="90"/>
      <c r="AQ327" s="81"/>
      <c r="AR327" s="81"/>
      <c r="AS327" s="582"/>
    </row>
    <row r="328">
      <c r="A328" s="240"/>
      <c r="B328" s="69" t="s">
        <v>238</v>
      </c>
      <c r="C328" s="560"/>
      <c r="D328" s="71" t="s">
        <v>258</v>
      </c>
      <c r="E328" s="72">
        <v>43575.0</v>
      </c>
      <c r="F328" s="73" t="s">
        <v>280</v>
      </c>
      <c r="G328" s="572">
        <v>43581.0</v>
      </c>
      <c r="H328" s="73" t="s">
        <v>282</v>
      </c>
      <c r="I328" s="132" t="s">
        <v>1580</v>
      </c>
      <c r="J328" s="564" t="s">
        <v>215</v>
      </c>
      <c r="K328" s="562" t="s">
        <v>985</v>
      </c>
      <c r="L328" s="76" t="s">
        <v>347</v>
      </c>
      <c r="M328" s="81" t="s">
        <v>1559</v>
      </c>
      <c r="N328" s="580" t="s">
        <v>597</v>
      </c>
      <c r="O328" s="81" t="s">
        <v>750</v>
      </c>
      <c r="P328" s="580" t="s">
        <v>597</v>
      </c>
      <c r="Q328" s="81" t="s">
        <v>315</v>
      </c>
      <c r="R328" s="81" t="s">
        <v>854</v>
      </c>
      <c r="S328" s="580" t="s">
        <v>910</v>
      </c>
      <c r="T328" s="81" t="s">
        <v>329</v>
      </c>
      <c r="U328" s="81" t="s">
        <v>324</v>
      </c>
      <c r="V328" s="81" t="s">
        <v>324</v>
      </c>
      <c r="W328" s="81" t="s">
        <v>324</v>
      </c>
      <c r="X328" s="81" t="s">
        <v>324</v>
      </c>
      <c r="Y328" s="81" t="s">
        <v>329</v>
      </c>
      <c r="Z328" s="81" t="s">
        <v>282</v>
      </c>
      <c r="AA328" s="81" t="s">
        <v>324</v>
      </c>
      <c r="AB328" s="85"/>
      <c r="AC328" s="181" t="s">
        <v>324</v>
      </c>
      <c r="AD328" s="85"/>
      <c r="AE328" s="81" t="s">
        <v>315</v>
      </c>
      <c r="AF328" s="81" t="s">
        <v>315</v>
      </c>
      <c r="AG328" s="81" t="s">
        <v>315</v>
      </c>
      <c r="AH328" s="580" t="s">
        <v>1170</v>
      </c>
      <c r="AI328" s="81" t="s">
        <v>1560</v>
      </c>
      <c r="AJ328" s="81" t="s">
        <v>324</v>
      </c>
      <c r="AK328" s="81" t="s">
        <v>1305</v>
      </c>
      <c r="AL328" s="81" t="s">
        <v>369</v>
      </c>
      <c r="AM328" s="90" t="s">
        <v>1323</v>
      </c>
      <c r="AN328" s="81" t="s">
        <v>1561</v>
      </c>
      <c r="AO328" s="90" t="s">
        <v>1562</v>
      </c>
      <c r="AP328" s="81" t="s">
        <v>324</v>
      </c>
      <c r="AQ328" s="81" t="s">
        <v>1563</v>
      </c>
      <c r="AR328" s="131" t="s">
        <v>1363</v>
      </c>
      <c r="AS328" s="67"/>
    </row>
    <row r="329">
      <c r="A329" s="240"/>
      <c r="B329" s="69"/>
      <c r="C329" s="560"/>
      <c r="D329" s="71"/>
      <c r="E329" s="96"/>
      <c r="F329" s="96"/>
      <c r="G329" s="96"/>
      <c r="H329" s="96"/>
      <c r="I329" s="132"/>
      <c r="J329" s="564"/>
      <c r="K329" s="562"/>
      <c r="L329" s="76"/>
      <c r="M329" s="81" t="s">
        <v>1564</v>
      </c>
      <c r="N329" s="580"/>
      <c r="O329" s="81"/>
      <c r="P329" s="581" t="s">
        <v>1565</v>
      </c>
      <c r="Q329" s="81"/>
      <c r="R329" s="81"/>
      <c r="S329" s="580"/>
      <c r="T329" s="81" t="s">
        <v>282</v>
      </c>
      <c r="U329" s="81" t="s">
        <v>1566</v>
      </c>
      <c r="V329" s="81" t="s">
        <v>1566</v>
      </c>
      <c r="W329" s="81" t="s">
        <v>1566</v>
      </c>
      <c r="X329" s="81" t="s">
        <v>1566</v>
      </c>
      <c r="Y329" s="81" t="s">
        <v>1566</v>
      </c>
      <c r="Z329" s="81" t="s">
        <v>1566</v>
      </c>
      <c r="AA329" s="81" t="s">
        <v>1566</v>
      </c>
      <c r="AB329" s="85"/>
      <c r="AC329" s="181"/>
      <c r="AD329" s="85"/>
      <c r="AE329" s="81"/>
      <c r="AF329" s="81"/>
      <c r="AG329" s="81"/>
      <c r="AH329" s="580"/>
      <c r="AI329" s="133" t="s">
        <v>443</v>
      </c>
      <c r="AJ329" s="81"/>
      <c r="AK329" s="81"/>
      <c r="AL329" s="81"/>
      <c r="AM329" s="90"/>
      <c r="AN329" s="81" t="s">
        <v>1567</v>
      </c>
      <c r="AO329" s="90" t="s">
        <v>1565</v>
      </c>
      <c r="AP329" s="81"/>
      <c r="AQ329" s="81"/>
      <c r="AR329" s="131"/>
    </row>
    <row r="330">
      <c r="A330" s="240"/>
      <c r="B330" s="69"/>
      <c r="C330" s="560"/>
      <c r="D330" s="71"/>
      <c r="E330" s="96"/>
      <c r="F330" s="96"/>
      <c r="G330" s="96"/>
      <c r="H330" s="96"/>
      <c r="I330" s="132"/>
      <c r="J330" s="564"/>
      <c r="K330" s="562"/>
      <c r="L330" s="76" t="s">
        <v>347</v>
      </c>
      <c r="M330" s="81" t="s">
        <v>404</v>
      </c>
      <c r="N330" s="580" t="s">
        <v>597</v>
      </c>
      <c r="O330" s="580"/>
      <c r="P330" s="580" t="s">
        <v>597</v>
      </c>
      <c r="Q330" s="81" t="s">
        <v>315</v>
      </c>
      <c r="R330" s="181" t="s">
        <v>854</v>
      </c>
      <c r="S330" s="575" t="s">
        <v>910</v>
      </c>
      <c r="T330" s="181" t="s">
        <v>324</v>
      </c>
      <c r="U330" s="181" t="s">
        <v>324</v>
      </c>
      <c r="V330" s="181" t="s">
        <v>324</v>
      </c>
      <c r="W330" s="181" t="s">
        <v>324</v>
      </c>
      <c r="X330" s="181" t="s">
        <v>324</v>
      </c>
      <c r="Y330" s="81" t="s">
        <v>327</v>
      </c>
      <c r="Z330" s="81" t="s">
        <v>324</v>
      </c>
      <c r="AA330" s="81" t="s">
        <v>324</v>
      </c>
      <c r="AB330" s="81"/>
      <c r="AC330" s="181" t="s">
        <v>1005</v>
      </c>
      <c r="AD330" s="20" t="s">
        <v>1056</v>
      </c>
      <c r="AE330" s="81" t="s">
        <v>315</v>
      </c>
      <c r="AF330" s="81" t="s">
        <v>315</v>
      </c>
      <c r="AG330" s="81" t="s">
        <v>315</v>
      </c>
      <c r="AH330" s="575" t="s">
        <v>1170</v>
      </c>
      <c r="AI330" s="133" t="s">
        <v>443</v>
      </c>
      <c r="AJ330" s="133" t="s">
        <v>324</v>
      </c>
      <c r="AK330" s="81" t="s">
        <v>366</v>
      </c>
      <c r="AL330" s="81"/>
      <c r="AM330" s="90" t="s">
        <v>1323</v>
      </c>
      <c r="AN330" s="90"/>
      <c r="AO330" s="81"/>
      <c r="AP330" s="90"/>
      <c r="AQ330" s="81"/>
      <c r="AR330" s="81"/>
      <c r="AS330" s="582"/>
    </row>
    <row r="331">
      <c r="A331" s="240"/>
      <c r="B331" s="69" t="s">
        <v>238</v>
      </c>
      <c r="C331" s="560"/>
      <c r="D331" s="71" t="s">
        <v>626</v>
      </c>
      <c r="E331" s="72">
        <v>43574.0</v>
      </c>
      <c r="F331" s="73" t="s">
        <v>258</v>
      </c>
      <c r="G331" s="572">
        <v>43581.0</v>
      </c>
      <c r="H331" s="73" t="s">
        <v>282</v>
      </c>
      <c r="I331" s="132" t="s">
        <v>1581</v>
      </c>
      <c r="J331" s="564" t="s">
        <v>216</v>
      </c>
      <c r="K331" s="129" t="s">
        <v>812</v>
      </c>
      <c r="L331" s="76" t="s">
        <v>347</v>
      </c>
      <c r="M331" s="81" t="s">
        <v>1559</v>
      </c>
      <c r="N331" s="580" t="s">
        <v>597</v>
      </c>
      <c r="O331" s="81" t="s">
        <v>750</v>
      </c>
      <c r="P331" s="580" t="s">
        <v>597</v>
      </c>
      <c r="Q331" s="81" t="s">
        <v>315</v>
      </c>
      <c r="R331" s="81" t="s">
        <v>854</v>
      </c>
      <c r="S331" s="580" t="s">
        <v>910</v>
      </c>
      <c r="T331" s="81" t="s">
        <v>329</v>
      </c>
      <c r="U331" s="81" t="s">
        <v>324</v>
      </c>
      <c r="V331" s="81" t="s">
        <v>324</v>
      </c>
      <c r="W331" s="81" t="s">
        <v>324</v>
      </c>
      <c r="X331" s="81" t="s">
        <v>324</v>
      </c>
      <c r="Y331" s="81" t="s">
        <v>329</v>
      </c>
      <c r="Z331" s="81" t="s">
        <v>282</v>
      </c>
      <c r="AA331" s="81" t="s">
        <v>324</v>
      </c>
      <c r="AB331" s="85"/>
      <c r="AC331" s="181" t="s">
        <v>324</v>
      </c>
      <c r="AD331" s="85"/>
      <c r="AE331" s="81" t="s">
        <v>315</v>
      </c>
      <c r="AF331" s="81" t="s">
        <v>315</v>
      </c>
      <c r="AG331" s="81" t="s">
        <v>315</v>
      </c>
      <c r="AH331" s="580" t="s">
        <v>1170</v>
      </c>
      <c r="AI331" s="81" t="s">
        <v>1560</v>
      </c>
      <c r="AJ331" s="81" t="s">
        <v>324</v>
      </c>
      <c r="AK331" s="81" t="s">
        <v>1305</v>
      </c>
      <c r="AL331" s="81" t="s">
        <v>369</v>
      </c>
      <c r="AM331" s="90" t="s">
        <v>1323</v>
      </c>
      <c r="AN331" s="81" t="s">
        <v>1561</v>
      </c>
      <c r="AO331" s="90" t="s">
        <v>1562</v>
      </c>
      <c r="AP331" s="81" t="s">
        <v>324</v>
      </c>
      <c r="AQ331" s="81" t="s">
        <v>1563</v>
      </c>
      <c r="AR331" s="131" t="s">
        <v>1363</v>
      </c>
      <c r="AS331" s="67"/>
    </row>
    <row r="332">
      <c r="A332" s="240"/>
      <c r="B332" s="69"/>
      <c r="C332" s="560"/>
      <c r="D332" s="71"/>
      <c r="E332" s="72"/>
      <c r="F332" s="72"/>
      <c r="G332" s="72"/>
      <c r="H332" s="72"/>
      <c r="I332" s="132"/>
      <c r="J332" s="564"/>
      <c r="K332" s="562"/>
      <c r="L332" s="76"/>
      <c r="M332" s="81" t="s">
        <v>1582</v>
      </c>
      <c r="N332" s="580"/>
      <c r="O332" s="81"/>
      <c r="P332" s="20" t="s">
        <v>1583</v>
      </c>
      <c r="Q332" s="81" t="s">
        <v>1584</v>
      </c>
      <c r="R332" s="81"/>
      <c r="S332" s="580"/>
      <c r="T332" s="81"/>
      <c r="U332" s="81"/>
      <c r="V332" s="81"/>
      <c r="W332" s="81"/>
      <c r="X332" s="81" t="s">
        <v>1585</v>
      </c>
      <c r="Y332" s="81" t="s">
        <v>327</v>
      </c>
      <c r="Z332" s="81" t="s">
        <v>324</v>
      </c>
      <c r="AA332" s="81"/>
      <c r="AB332" s="85"/>
      <c r="AC332" s="181"/>
      <c r="AD332" s="85"/>
      <c r="AE332" s="81"/>
      <c r="AF332" s="81"/>
      <c r="AG332" s="81"/>
      <c r="AH332" s="580"/>
      <c r="AI332" s="81" t="s">
        <v>443</v>
      </c>
      <c r="AJ332" s="81"/>
      <c r="AK332" s="81"/>
      <c r="AL332" s="81" t="s">
        <v>1586</v>
      </c>
      <c r="AM332" s="90"/>
      <c r="AN332" s="81"/>
      <c r="AO332" s="90" t="s">
        <v>324</v>
      </c>
      <c r="AP332" s="81"/>
      <c r="AQ332" s="81"/>
      <c r="AR332" s="131" t="s">
        <v>1038</v>
      </c>
      <c r="AS332" s="67"/>
    </row>
    <row r="333">
      <c r="A333" s="240"/>
      <c r="B333" s="69"/>
      <c r="C333" s="560"/>
      <c r="D333" s="71"/>
      <c r="E333" s="72"/>
      <c r="F333" s="72"/>
      <c r="G333" s="72"/>
      <c r="H333" s="72"/>
      <c r="I333" s="132"/>
      <c r="J333" s="564"/>
      <c r="K333" s="562"/>
      <c r="L333" s="76" t="s">
        <v>347</v>
      </c>
      <c r="M333" s="81" t="s">
        <v>404</v>
      </c>
      <c r="N333" s="580" t="s">
        <v>597</v>
      </c>
      <c r="O333" s="580"/>
      <c r="P333" s="580" t="s">
        <v>597</v>
      </c>
      <c r="Q333" s="81" t="s">
        <v>315</v>
      </c>
      <c r="R333" s="181" t="s">
        <v>854</v>
      </c>
      <c r="S333" s="575" t="s">
        <v>910</v>
      </c>
      <c r="T333" s="181" t="s">
        <v>324</v>
      </c>
      <c r="U333" s="181" t="s">
        <v>324</v>
      </c>
      <c r="V333" s="181" t="s">
        <v>324</v>
      </c>
      <c r="W333" s="181" t="s">
        <v>324</v>
      </c>
      <c r="X333" s="181" t="s">
        <v>324</v>
      </c>
      <c r="Y333" s="81" t="s">
        <v>327</v>
      </c>
      <c r="Z333" s="81" t="s">
        <v>324</v>
      </c>
      <c r="AA333" s="81" t="s">
        <v>324</v>
      </c>
      <c r="AB333" s="81"/>
      <c r="AC333" s="181" t="s">
        <v>1005</v>
      </c>
      <c r="AD333" s="20" t="s">
        <v>1057</v>
      </c>
      <c r="AE333" s="81" t="s">
        <v>315</v>
      </c>
      <c r="AF333" s="81" t="s">
        <v>315</v>
      </c>
      <c r="AG333" s="81" t="s">
        <v>315</v>
      </c>
      <c r="AH333" s="575" t="s">
        <v>1170</v>
      </c>
      <c r="AI333" s="133" t="s">
        <v>443</v>
      </c>
      <c r="AJ333" s="133" t="s">
        <v>324</v>
      </c>
      <c r="AK333" s="81" t="s">
        <v>366</v>
      </c>
      <c r="AL333" s="81"/>
      <c r="AM333" s="90" t="s">
        <v>1323</v>
      </c>
      <c r="AN333" s="90"/>
      <c r="AO333" s="81"/>
      <c r="AP333" s="90"/>
      <c r="AQ333" s="81"/>
      <c r="AR333" s="131"/>
      <c r="AS333" s="67"/>
    </row>
    <row r="334">
      <c r="A334" s="240"/>
      <c r="B334" s="69" t="s">
        <v>238</v>
      </c>
      <c r="C334" s="560"/>
      <c r="D334" s="71" t="s">
        <v>626</v>
      </c>
      <c r="E334" s="72">
        <v>43574.0</v>
      </c>
      <c r="F334" s="73" t="s">
        <v>258</v>
      </c>
      <c r="G334" s="572">
        <v>43581.0</v>
      </c>
      <c r="H334" s="73" t="s">
        <v>282</v>
      </c>
      <c r="I334" s="132" t="s">
        <v>1587</v>
      </c>
      <c r="J334" s="564" t="s">
        <v>217</v>
      </c>
      <c r="K334" s="129" t="s">
        <v>933</v>
      </c>
      <c r="L334" s="76" t="s">
        <v>347</v>
      </c>
      <c r="M334" s="81" t="s">
        <v>1559</v>
      </c>
      <c r="N334" s="580" t="s">
        <v>597</v>
      </c>
      <c r="O334" s="81" t="s">
        <v>750</v>
      </c>
      <c r="P334" s="580" t="s">
        <v>597</v>
      </c>
      <c r="Q334" s="81" t="s">
        <v>315</v>
      </c>
      <c r="R334" s="81" t="s">
        <v>854</v>
      </c>
      <c r="S334" s="580" t="s">
        <v>910</v>
      </c>
      <c r="T334" s="81" t="s">
        <v>329</v>
      </c>
      <c r="U334" s="81" t="s">
        <v>324</v>
      </c>
      <c r="V334" s="81" t="s">
        <v>324</v>
      </c>
      <c r="W334" s="81" t="s">
        <v>324</v>
      </c>
      <c r="X334" s="81" t="s">
        <v>324</v>
      </c>
      <c r="Y334" s="81" t="s">
        <v>329</v>
      </c>
      <c r="Z334" s="81" t="s">
        <v>282</v>
      </c>
      <c r="AA334" s="81" t="s">
        <v>324</v>
      </c>
      <c r="AB334" s="85"/>
      <c r="AC334" s="181" t="s">
        <v>324</v>
      </c>
      <c r="AD334" s="85"/>
      <c r="AE334" s="81" t="s">
        <v>315</v>
      </c>
      <c r="AF334" s="81" t="s">
        <v>315</v>
      </c>
      <c r="AG334" s="81" t="s">
        <v>315</v>
      </c>
      <c r="AH334" s="580" t="s">
        <v>1170</v>
      </c>
      <c r="AI334" s="81" t="s">
        <v>1560</v>
      </c>
      <c r="AJ334" s="81" t="s">
        <v>324</v>
      </c>
      <c r="AK334" s="81" t="s">
        <v>1305</v>
      </c>
      <c r="AL334" s="81" t="s">
        <v>369</v>
      </c>
      <c r="AM334" s="90" t="s">
        <v>1323</v>
      </c>
      <c r="AN334" s="81" t="s">
        <v>1561</v>
      </c>
      <c r="AO334" s="90" t="s">
        <v>1562</v>
      </c>
      <c r="AP334" s="81" t="s">
        <v>324</v>
      </c>
      <c r="AQ334" s="81" t="s">
        <v>1563</v>
      </c>
      <c r="AR334" s="131" t="s">
        <v>1363</v>
      </c>
      <c r="AS334" s="67"/>
    </row>
    <row r="335">
      <c r="A335" s="240"/>
      <c r="B335" s="69"/>
      <c r="C335" s="560"/>
      <c r="D335" s="71"/>
      <c r="E335" s="72"/>
      <c r="F335" s="72"/>
      <c r="G335" s="72"/>
      <c r="H335" s="72"/>
      <c r="I335" s="132"/>
      <c r="J335" s="564"/>
      <c r="K335" s="562"/>
      <c r="L335" s="76"/>
      <c r="M335" s="81" t="s">
        <v>1582</v>
      </c>
      <c r="N335" s="580"/>
      <c r="O335" s="81"/>
      <c r="P335" s="200" t="s">
        <v>1583</v>
      </c>
      <c r="Q335" s="81" t="s">
        <v>1584</v>
      </c>
      <c r="R335" s="81"/>
      <c r="S335" s="580"/>
      <c r="T335" s="81"/>
      <c r="U335" s="81"/>
      <c r="V335" s="81"/>
      <c r="W335" s="81"/>
      <c r="X335" s="81" t="s">
        <v>1585</v>
      </c>
      <c r="Y335" s="81" t="s">
        <v>327</v>
      </c>
      <c r="Z335" s="81" t="s">
        <v>324</v>
      </c>
      <c r="AA335" s="81"/>
      <c r="AB335" s="85"/>
      <c r="AC335" s="181"/>
      <c r="AD335" s="85"/>
      <c r="AE335" s="81"/>
      <c r="AF335" s="81"/>
      <c r="AG335" s="81"/>
      <c r="AH335" s="580"/>
      <c r="AI335" s="81" t="s">
        <v>443</v>
      </c>
      <c r="AJ335" s="81"/>
      <c r="AK335" s="81"/>
      <c r="AL335" s="81" t="s">
        <v>1586</v>
      </c>
      <c r="AM335" s="90"/>
      <c r="AN335" s="81"/>
      <c r="AO335" s="90" t="s">
        <v>324</v>
      </c>
      <c r="AP335" s="81"/>
      <c r="AQ335" s="81"/>
      <c r="AR335" s="131" t="s">
        <v>1363</v>
      </c>
      <c r="AS335" s="67"/>
    </row>
    <row r="336">
      <c r="A336" s="240"/>
      <c r="B336" s="69"/>
      <c r="C336" s="560"/>
      <c r="D336" s="71"/>
      <c r="E336" s="72"/>
      <c r="F336" s="72"/>
      <c r="G336" s="72"/>
      <c r="H336" s="72"/>
      <c r="I336" s="132"/>
      <c r="J336" s="564"/>
      <c r="K336" s="562"/>
      <c r="L336" s="76" t="s">
        <v>347</v>
      </c>
      <c r="M336" s="81" t="s">
        <v>404</v>
      </c>
      <c r="N336" s="580" t="s">
        <v>597</v>
      </c>
      <c r="O336" s="580"/>
      <c r="P336" s="580" t="s">
        <v>597</v>
      </c>
      <c r="Q336" s="81" t="s">
        <v>315</v>
      </c>
      <c r="R336" s="181" t="s">
        <v>854</v>
      </c>
      <c r="S336" s="575" t="s">
        <v>910</v>
      </c>
      <c r="T336" s="181" t="s">
        <v>324</v>
      </c>
      <c r="U336" s="181" t="s">
        <v>324</v>
      </c>
      <c r="V336" s="181" t="s">
        <v>324</v>
      </c>
      <c r="W336" s="181" t="s">
        <v>324</v>
      </c>
      <c r="X336" s="181" t="s">
        <v>324</v>
      </c>
      <c r="Y336" s="81" t="s">
        <v>327</v>
      </c>
      <c r="Z336" s="81" t="s">
        <v>324</v>
      </c>
      <c r="AA336" s="81" t="s">
        <v>324</v>
      </c>
      <c r="AB336" s="81"/>
      <c r="AC336" s="181" t="s">
        <v>1005</v>
      </c>
      <c r="AD336" s="20" t="s">
        <v>1058</v>
      </c>
      <c r="AE336" s="81" t="s">
        <v>315</v>
      </c>
      <c r="AF336" s="81" t="s">
        <v>315</v>
      </c>
      <c r="AG336" s="81" t="s">
        <v>315</v>
      </c>
      <c r="AH336" s="575" t="s">
        <v>1170</v>
      </c>
      <c r="AI336" s="133" t="s">
        <v>443</v>
      </c>
      <c r="AJ336" s="133" t="s">
        <v>324</v>
      </c>
      <c r="AK336" s="81" t="s">
        <v>366</v>
      </c>
      <c r="AL336" s="81"/>
      <c r="AM336" s="90" t="s">
        <v>1323</v>
      </c>
      <c r="AN336" s="90"/>
      <c r="AO336" s="81"/>
      <c r="AP336" s="90"/>
      <c r="AQ336" s="81"/>
      <c r="AR336" s="131"/>
      <c r="AS336" s="67"/>
    </row>
    <row r="337">
      <c r="A337" s="240"/>
      <c r="B337" s="69" t="s">
        <v>238</v>
      </c>
      <c r="C337" s="560"/>
      <c r="D337" s="71" t="s">
        <v>626</v>
      </c>
      <c r="E337" s="72">
        <v>43574.0</v>
      </c>
      <c r="F337" s="73" t="s">
        <v>258</v>
      </c>
      <c r="G337" s="572">
        <v>43581.0</v>
      </c>
      <c r="H337" s="73" t="s">
        <v>282</v>
      </c>
      <c r="I337" s="132" t="s">
        <v>1592</v>
      </c>
      <c r="J337" s="564" t="s">
        <v>218</v>
      </c>
      <c r="K337" s="129" t="s">
        <v>985</v>
      </c>
      <c r="L337" s="76" t="s">
        <v>347</v>
      </c>
      <c r="M337" s="81" t="s">
        <v>1559</v>
      </c>
      <c r="N337" s="580" t="s">
        <v>597</v>
      </c>
      <c r="O337" s="81" t="s">
        <v>750</v>
      </c>
      <c r="P337" s="580" t="s">
        <v>597</v>
      </c>
      <c r="Q337" s="81" t="s">
        <v>315</v>
      </c>
      <c r="R337" s="81" t="s">
        <v>854</v>
      </c>
      <c r="S337" s="580" t="s">
        <v>910</v>
      </c>
      <c r="T337" s="81" t="s">
        <v>329</v>
      </c>
      <c r="U337" s="81" t="s">
        <v>324</v>
      </c>
      <c r="V337" s="81" t="s">
        <v>324</v>
      </c>
      <c r="W337" s="81" t="s">
        <v>324</v>
      </c>
      <c r="X337" s="81" t="s">
        <v>324</v>
      </c>
      <c r="Y337" s="81" t="s">
        <v>329</v>
      </c>
      <c r="Z337" s="81" t="s">
        <v>282</v>
      </c>
      <c r="AA337" s="81" t="s">
        <v>324</v>
      </c>
      <c r="AB337" s="85"/>
      <c r="AC337" s="181" t="s">
        <v>324</v>
      </c>
      <c r="AD337" s="85"/>
      <c r="AE337" s="81" t="s">
        <v>315</v>
      </c>
      <c r="AF337" s="81" t="s">
        <v>315</v>
      </c>
      <c r="AG337" s="81" t="s">
        <v>315</v>
      </c>
      <c r="AH337" s="580" t="s">
        <v>1170</v>
      </c>
      <c r="AI337" s="81" t="s">
        <v>1560</v>
      </c>
      <c r="AJ337" s="81" t="s">
        <v>324</v>
      </c>
      <c r="AK337" s="81" t="s">
        <v>1305</v>
      </c>
      <c r="AL337" s="81" t="s">
        <v>369</v>
      </c>
      <c r="AM337" s="90" t="s">
        <v>1323</v>
      </c>
      <c r="AN337" s="81" t="s">
        <v>1561</v>
      </c>
      <c r="AO337" s="90" t="s">
        <v>1562</v>
      </c>
      <c r="AP337" s="81" t="s">
        <v>324</v>
      </c>
      <c r="AQ337" s="81" t="s">
        <v>1563</v>
      </c>
      <c r="AR337" s="131" t="s">
        <v>1363</v>
      </c>
      <c r="AS337" s="67"/>
    </row>
    <row r="338">
      <c r="A338" s="240"/>
      <c r="B338" s="69"/>
      <c r="C338" s="560"/>
      <c r="D338" s="71"/>
      <c r="E338" s="72"/>
      <c r="F338" s="72"/>
      <c r="G338" s="72"/>
      <c r="H338" s="72"/>
      <c r="I338" s="132"/>
      <c r="J338" s="564"/>
      <c r="K338" s="562"/>
      <c r="L338" s="76"/>
      <c r="M338" s="81" t="s">
        <v>1582</v>
      </c>
      <c r="N338" s="580"/>
      <c r="O338" s="81"/>
      <c r="P338" s="200" t="s">
        <v>1583</v>
      </c>
      <c r="Q338" s="81" t="s">
        <v>1584</v>
      </c>
      <c r="R338" s="81"/>
      <c r="S338" s="580"/>
      <c r="T338" s="81"/>
      <c r="U338" s="81"/>
      <c r="V338" s="81"/>
      <c r="W338" s="81"/>
      <c r="X338" s="81" t="s">
        <v>1585</v>
      </c>
      <c r="Y338" s="81" t="s">
        <v>327</v>
      </c>
      <c r="Z338" s="81" t="s">
        <v>324</v>
      </c>
      <c r="AA338" s="81"/>
      <c r="AB338" s="85"/>
      <c r="AC338" s="181"/>
      <c r="AD338" s="85"/>
      <c r="AE338" s="81"/>
      <c r="AF338" s="81"/>
      <c r="AG338" s="81"/>
      <c r="AH338" s="580"/>
      <c r="AI338" s="81" t="s">
        <v>443</v>
      </c>
      <c r="AJ338" s="81"/>
      <c r="AK338" s="81"/>
      <c r="AL338" s="81" t="s">
        <v>1586</v>
      </c>
      <c r="AM338" s="90"/>
      <c r="AN338" s="81"/>
      <c r="AO338" s="90" t="s">
        <v>324</v>
      </c>
      <c r="AP338" s="81"/>
      <c r="AQ338" s="81"/>
      <c r="AR338" s="131" t="s">
        <v>1363</v>
      </c>
      <c r="AS338" s="67"/>
    </row>
    <row r="339">
      <c r="A339" s="240"/>
      <c r="B339" s="69"/>
      <c r="C339" s="560"/>
      <c r="D339" s="71"/>
      <c r="E339" s="72"/>
      <c r="F339" s="72"/>
      <c r="G339" s="72"/>
      <c r="H339" s="72"/>
      <c r="I339" s="132"/>
      <c r="J339" s="564"/>
      <c r="K339" s="562"/>
      <c r="L339" s="76" t="s">
        <v>347</v>
      </c>
      <c r="M339" s="81" t="s">
        <v>404</v>
      </c>
      <c r="N339" s="580" t="s">
        <v>597</v>
      </c>
      <c r="O339" s="580"/>
      <c r="P339" s="580" t="s">
        <v>597</v>
      </c>
      <c r="Q339" s="81" t="s">
        <v>315</v>
      </c>
      <c r="R339" s="181" t="s">
        <v>854</v>
      </c>
      <c r="S339" s="575" t="s">
        <v>910</v>
      </c>
      <c r="T339" s="181" t="s">
        <v>324</v>
      </c>
      <c r="U339" s="181" t="s">
        <v>324</v>
      </c>
      <c r="V339" s="181" t="s">
        <v>324</v>
      </c>
      <c r="W339" s="181" t="s">
        <v>324</v>
      </c>
      <c r="X339" s="181" t="s">
        <v>324</v>
      </c>
      <c r="Y339" s="81" t="s">
        <v>327</v>
      </c>
      <c r="Z339" s="81" t="s">
        <v>324</v>
      </c>
      <c r="AA339" s="81" t="s">
        <v>324</v>
      </c>
      <c r="AB339" s="81"/>
      <c r="AC339" s="181" t="s">
        <v>1005</v>
      </c>
      <c r="AD339" s="20" t="s">
        <v>1059</v>
      </c>
      <c r="AE339" s="81" t="s">
        <v>315</v>
      </c>
      <c r="AF339" s="81" t="s">
        <v>315</v>
      </c>
      <c r="AG339" s="81" t="s">
        <v>315</v>
      </c>
      <c r="AH339" s="575" t="s">
        <v>1170</v>
      </c>
      <c r="AI339" s="133" t="s">
        <v>443</v>
      </c>
      <c r="AJ339" s="133" t="s">
        <v>324</v>
      </c>
      <c r="AK339" s="81" t="s">
        <v>366</v>
      </c>
      <c r="AL339" s="81"/>
      <c r="AM339" s="90" t="s">
        <v>1323</v>
      </c>
      <c r="AN339" s="90"/>
      <c r="AO339" s="81"/>
      <c r="AP339" s="90"/>
      <c r="AQ339" s="81"/>
      <c r="AR339" s="131"/>
      <c r="AS339" s="67"/>
    </row>
    <row r="340">
      <c r="A340" s="240"/>
      <c r="B340" s="69" t="s">
        <v>238</v>
      </c>
      <c r="C340" s="560"/>
      <c r="D340" s="71" t="s">
        <v>626</v>
      </c>
      <c r="E340" s="72">
        <v>43574.0</v>
      </c>
      <c r="F340" s="73" t="s">
        <v>258</v>
      </c>
      <c r="G340" s="572">
        <v>43581.0</v>
      </c>
      <c r="H340" s="73" t="s">
        <v>282</v>
      </c>
      <c r="I340" s="132" t="s">
        <v>1595</v>
      </c>
      <c r="J340" s="564" t="s">
        <v>219</v>
      </c>
      <c r="K340" s="129" t="s">
        <v>812</v>
      </c>
      <c r="L340" s="76" t="s">
        <v>347</v>
      </c>
      <c r="M340" s="81" t="s">
        <v>1559</v>
      </c>
      <c r="N340" s="580" t="s">
        <v>597</v>
      </c>
      <c r="O340" s="81" t="s">
        <v>750</v>
      </c>
      <c r="P340" s="580" t="s">
        <v>597</v>
      </c>
      <c r="Q340" s="81" t="s">
        <v>315</v>
      </c>
      <c r="R340" s="81" t="s">
        <v>854</v>
      </c>
      <c r="S340" s="580" t="s">
        <v>910</v>
      </c>
      <c r="T340" s="81" t="s">
        <v>329</v>
      </c>
      <c r="U340" s="81" t="s">
        <v>324</v>
      </c>
      <c r="V340" s="81" t="s">
        <v>324</v>
      </c>
      <c r="W340" s="81" t="s">
        <v>324</v>
      </c>
      <c r="X340" s="81" t="s">
        <v>324</v>
      </c>
      <c r="Y340" s="81" t="s">
        <v>329</v>
      </c>
      <c r="Z340" s="81" t="s">
        <v>282</v>
      </c>
      <c r="AA340" s="81" t="s">
        <v>324</v>
      </c>
      <c r="AB340" s="85"/>
      <c r="AC340" s="181" t="s">
        <v>324</v>
      </c>
      <c r="AD340" s="85"/>
      <c r="AE340" s="81" t="s">
        <v>315</v>
      </c>
      <c r="AF340" s="81" t="s">
        <v>315</v>
      </c>
      <c r="AG340" s="81" t="s">
        <v>315</v>
      </c>
      <c r="AH340" s="580" t="s">
        <v>1170</v>
      </c>
      <c r="AI340" s="81" t="s">
        <v>1560</v>
      </c>
      <c r="AJ340" s="81" t="s">
        <v>324</v>
      </c>
      <c r="AK340" s="81" t="s">
        <v>1305</v>
      </c>
      <c r="AL340" s="81" t="s">
        <v>369</v>
      </c>
      <c r="AM340" s="90" t="s">
        <v>1323</v>
      </c>
      <c r="AN340" s="81" t="s">
        <v>1561</v>
      </c>
      <c r="AO340" s="90" t="s">
        <v>1562</v>
      </c>
      <c r="AP340" s="81" t="s">
        <v>324</v>
      </c>
      <c r="AQ340" s="81" t="s">
        <v>1563</v>
      </c>
      <c r="AR340" s="131" t="s">
        <v>1363</v>
      </c>
      <c r="AS340" s="67"/>
    </row>
    <row r="341">
      <c r="A341" s="240"/>
      <c r="B341" s="69"/>
      <c r="C341" s="560"/>
      <c r="D341" s="71"/>
      <c r="E341" s="72"/>
      <c r="F341" s="72"/>
      <c r="G341" s="72"/>
      <c r="H341" s="72"/>
      <c r="I341" s="132"/>
      <c r="J341" s="564"/>
      <c r="K341" s="562"/>
      <c r="L341" s="76"/>
      <c r="M341" s="81" t="s">
        <v>1582</v>
      </c>
      <c r="N341" s="580"/>
      <c r="O341" s="81"/>
      <c r="P341" s="200" t="s">
        <v>1583</v>
      </c>
      <c r="Q341" s="81" t="s">
        <v>1584</v>
      </c>
      <c r="R341" s="81"/>
      <c r="S341" s="580"/>
      <c r="T341" s="81"/>
      <c r="U341" s="81"/>
      <c r="V341" s="81"/>
      <c r="W341" s="81"/>
      <c r="X341" s="81" t="s">
        <v>1585</v>
      </c>
      <c r="Y341" s="81" t="s">
        <v>327</v>
      </c>
      <c r="Z341" s="81" t="s">
        <v>324</v>
      </c>
      <c r="AA341" s="81"/>
      <c r="AB341" s="85"/>
      <c r="AC341" s="181"/>
      <c r="AD341" s="85"/>
      <c r="AE341" s="81"/>
      <c r="AF341" s="81"/>
      <c r="AG341" s="81"/>
      <c r="AH341" s="580"/>
      <c r="AI341" s="81" t="s">
        <v>443</v>
      </c>
      <c r="AJ341" s="81"/>
      <c r="AK341" s="81"/>
      <c r="AL341" s="81" t="s">
        <v>1586</v>
      </c>
      <c r="AM341" s="90"/>
      <c r="AN341" s="81"/>
      <c r="AO341" s="90" t="s">
        <v>324</v>
      </c>
      <c r="AP341" s="81"/>
      <c r="AQ341" s="81"/>
      <c r="AR341" s="131" t="s">
        <v>1363</v>
      </c>
      <c r="AS341" s="67"/>
    </row>
    <row r="342">
      <c r="A342" s="240"/>
      <c r="B342" s="69"/>
      <c r="C342" s="560"/>
      <c r="D342" s="71"/>
      <c r="E342" s="72"/>
      <c r="F342" s="72"/>
      <c r="G342" s="72"/>
      <c r="H342" s="72"/>
      <c r="I342" s="132"/>
      <c r="J342" s="564"/>
      <c r="K342" s="562"/>
      <c r="L342" s="76" t="s">
        <v>347</v>
      </c>
      <c r="M342" s="81" t="s">
        <v>404</v>
      </c>
      <c r="N342" s="580" t="s">
        <v>597</v>
      </c>
      <c r="O342" s="580"/>
      <c r="P342" s="580" t="s">
        <v>597</v>
      </c>
      <c r="Q342" s="81" t="s">
        <v>315</v>
      </c>
      <c r="R342" s="181" t="s">
        <v>854</v>
      </c>
      <c r="S342" s="575" t="s">
        <v>910</v>
      </c>
      <c r="T342" s="181" t="s">
        <v>324</v>
      </c>
      <c r="U342" s="181" t="s">
        <v>324</v>
      </c>
      <c r="V342" s="181" t="s">
        <v>324</v>
      </c>
      <c r="W342" s="181" t="s">
        <v>324</v>
      </c>
      <c r="X342" s="181" t="s">
        <v>324</v>
      </c>
      <c r="Y342" s="81" t="s">
        <v>327</v>
      </c>
      <c r="Z342" s="81" t="s">
        <v>324</v>
      </c>
      <c r="AA342" s="81" t="s">
        <v>324</v>
      </c>
      <c r="AB342" s="81"/>
      <c r="AC342" s="181" t="s">
        <v>1005</v>
      </c>
      <c r="AD342" s="20" t="s">
        <v>1060</v>
      </c>
      <c r="AE342" s="81" t="s">
        <v>315</v>
      </c>
      <c r="AF342" s="81" t="s">
        <v>315</v>
      </c>
      <c r="AG342" s="81" t="s">
        <v>315</v>
      </c>
      <c r="AH342" s="575" t="s">
        <v>1170</v>
      </c>
      <c r="AI342" s="133" t="s">
        <v>443</v>
      </c>
      <c r="AJ342" s="133" t="s">
        <v>324</v>
      </c>
      <c r="AK342" s="81" t="s">
        <v>366</v>
      </c>
      <c r="AL342" s="81"/>
      <c r="AM342" s="90" t="s">
        <v>1323</v>
      </c>
      <c r="AN342" s="90"/>
      <c r="AO342" s="81"/>
      <c r="AP342" s="90"/>
      <c r="AQ342" s="81"/>
      <c r="AR342" s="131"/>
      <c r="AS342" s="67"/>
    </row>
    <row r="343">
      <c r="A343" s="240"/>
      <c r="B343" s="69" t="s">
        <v>238</v>
      </c>
      <c r="C343" s="560"/>
      <c r="D343" s="71" t="s">
        <v>479</v>
      </c>
      <c r="E343" s="72">
        <v>43575.0</v>
      </c>
      <c r="F343" s="73" t="s">
        <v>280</v>
      </c>
      <c r="G343" s="572">
        <v>43583.0</v>
      </c>
      <c r="H343" s="73" t="s">
        <v>282</v>
      </c>
      <c r="I343" s="132" t="s">
        <v>1596</v>
      </c>
      <c r="J343" s="564" t="s">
        <v>220</v>
      </c>
      <c r="K343" s="129" t="s">
        <v>1597</v>
      </c>
      <c r="L343" s="76" t="s">
        <v>347</v>
      </c>
      <c r="M343" s="81" t="s">
        <v>1559</v>
      </c>
      <c r="N343" s="580" t="s">
        <v>597</v>
      </c>
      <c r="O343" s="81" t="s">
        <v>750</v>
      </c>
      <c r="P343" s="580" t="s">
        <v>597</v>
      </c>
      <c r="Q343" s="81" t="s">
        <v>315</v>
      </c>
      <c r="R343" s="81" t="s">
        <v>854</v>
      </c>
      <c r="S343" s="580" t="s">
        <v>910</v>
      </c>
      <c r="T343" s="81" t="s">
        <v>329</v>
      </c>
      <c r="U343" s="81" t="s">
        <v>324</v>
      </c>
      <c r="V343" s="81" t="s">
        <v>324</v>
      </c>
      <c r="W343" s="81" t="s">
        <v>324</v>
      </c>
      <c r="X343" s="81" t="s">
        <v>324</v>
      </c>
      <c r="Y343" s="81" t="s">
        <v>329</v>
      </c>
      <c r="Z343" s="81" t="s">
        <v>282</v>
      </c>
      <c r="AA343" s="81" t="s">
        <v>324</v>
      </c>
      <c r="AB343" s="85"/>
      <c r="AC343" s="181" t="s">
        <v>324</v>
      </c>
      <c r="AD343" s="85"/>
      <c r="AE343" s="81" t="s">
        <v>315</v>
      </c>
      <c r="AF343" s="81" t="s">
        <v>315</v>
      </c>
      <c r="AG343" s="81" t="s">
        <v>315</v>
      </c>
      <c r="AH343" s="580" t="s">
        <v>1170</v>
      </c>
      <c r="AI343" s="81" t="s">
        <v>1560</v>
      </c>
      <c r="AJ343" s="81" t="s">
        <v>324</v>
      </c>
      <c r="AK343" s="81" t="s">
        <v>1305</v>
      </c>
      <c r="AL343" s="81" t="s">
        <v>369</v>
      </c>
      <c r="AM343" s="90" t="s">
        <v>1323</v>
      </c>
      <c r="AN343" s="81" t="s">
        <v>1561</v>
      </c>
      <c r="AO343" s="90" t="s">
        <v>1562</v>
      </c>
      <c r="AP343" s="81" t="s">
        <v>324</v>
      </c>
      <c r="AQ343" s="81" t="s">
        <v>1563</v>
      </c>
      <c r="AR343" s="131" t="s">
        <v>1363</v>
      </c>
      <c r="AS343" s="67"/>
    </row>
    <row r="344">
      <c r="A344" s="240"/>
      <c r="B344" s="69"/>
      <c r="C344" s="560"/>
      <c r="D344" s="71"/>
      <c r="E344" s="96"/>
      <c r="F344" s="96"/>
      <c r="G344" s="96"/>
      <c r="H344" s="96"/>
      <c r="I344" s="132"/>
      <c r="J344" s="562"/>
      <c r="K344" s="385"/>
      <c r="L344" s="79"/>
      <c r="M344" s="81" t="s">
        <v>1582</v>
      </c>
      <c r="N344" s="91" t="s">
        <v>1598</v>
      </c>
      <c r="O344" s="81" t="s">
        <v>1599</v>
      </c>
      <c r="P344" s="20" t="s">
        <v>1583</v>
      </c>
      <c r="Q344" s="81"/>
      <c r="R344" s="81" t="s">
        <v>1600</v>
      </c>
      <c r="S344" s="91" t="s">
        <v>1601</v>
      </c>
      <c r="T344" s="81" t="s">
        <v>324</v>
      </c>
      <c r="U344" s="81"/>
      <c r="V344" s="81"/>
      <c r="W344" s="81"/>
      <c r="X344" s="81"/>
      <c r="Y344" s="81" t="s">
        <v>959</v>
      </c>
      <c r="Z344" s="81" t="s">
        <v>324</v>
      </c>
      <c r="AA344" s="81" t="s">
        <v>1602</v>
      </c>
      <c r="AB344" s="85"/>
      <c r="AC344" s="181" t="s">
        <v>1005</v>
      </c>
      <c r="AD344" s="20" t="s">
        <v>1062</v>
      </c>
      <c r="AE344" s="81" t="s">
        <v>369</v>
      </c>
      <c r="AF344" s="81"/>
      <c r="AG344" s="81"/>
      <c r="AH344" s="91" t="s">
        <v>1603</v>
      </c>
      <c r="AI344" s="133" t="s">
        <v>1604</v>
      </c>
      <c r="AJ344" s="81" t="s">
        <v>1605</v>
      </c>
      <c r="AK344" s="81"/>
      <c r="AL344" s="81" t="s">
        <v>315</v>
      </c>
      <c r="AM344" s="90" t="s">
        <v>1606</v>
      </c>
      <c r="AN344" s="81" t="s">
        <v>1607</v>
      </c>
      <c r="AO344" s="90" t="s">
        <v>324</v>
      </c>
      <c r="AP344" s="81"/>
      <c r="AQ344" s="81" t="s">
        <v>1608</v>
      </c>
      <c r="AR344" s="131"/>
      <c r="AS344" s="67"/>
    </row>
    <row r="345">
      <c r="A345" s="240"/>
      <c r="B345" s="69"/>
      <c r="C345" s="560"/>
      <c r="D345" s="71"/>
      <c r="E345" s="96"/>
      <c r="F345" s="96"/>
      <c r="G345" s="96"/>
      <c r="H345" s="96"/>
      <c r="I345" s="132"/>
      <c r="J345" s="562"/>
      <c r="K345" s="562"/>
      <c r="L345" s="76" t="s">
        <v>347</v>
      </c>
      <c r="M345" s="81" t="s">
        <v>404</v>
      </c>
      <c r="N345" s="580" t="s">
        <v>597</v>
      </c>
      <c r="O345" s="580"/>
      <c r="P345" s="580" t="s">
        <v>597</v>
      </c>
      <c r="Q345" s="81" t="s">
        <v>315</v>
      </c>
      <c r="R345" s="181" t="s">
        <v>854</v>
      </c>
      <c r="S345" s="575" t="s">
        <v>910</v>
      </c>
      <c r="T345" s="181" t="s">
        <v>324</v>
      </c>
      <c r="U345" s="181" t="s">
        <v>324</v>
      </c>
      <c r="V345" s="181" t="s">
        <v>324</v>
      </c>
      <c r="W345" s="181" t="s">
        <v>324</v>
      </c>
      <c r="X345" s="181" t="s">
        <v>324</v>
      </c>
      <c r="Y345" s="81" t="s">
        <v>327</v>
      </c>
      <c r="Z345" s="81" t="s">
        <v>324</v>
      </c>
      <c r="AA345" s="81" t="s">
        <v>324</v>
      </c>
      <c r="AB345" s="81"/>
      <c r="AC345" s="181" t="s">
        <v>1005</v>
      </c>
      <c r="AD345" s="20" t="s">
        <v>1062</v>
      </c>
      <c r="AE345" s="81" t="s">
        <v>315</v>
      </c>
      <c r="AF345" s="81" t="s">
        <v>315</v>
      </c>
      <c r="AG345" s="81" t="s">
        <v>315</v>
      </c>
      <c r="AH345" s="575" t="s">
        <v>1170</v>
      </c>
      <c r="AI345" s="133" t="s">
        <v>443</v>
      </c>
      <c r="AJ345" s="133" t="s">
        <v>324</v>
      </c>
      <c r="AK345" s="81" t="s">
        <v>366</v>
      </c>
      <c r="AL345" s="81"/>
      <c r="AM345" s="90" t="s">
        <v>1323</v>
      </c>
      <c r="AN345" s="90"/>
      <c r="AO345" s="81"/>
      <c r="AP345" s="90"/>
      <c r="AQ345" s="81"/>
      <c r="AR345" s="131"/>
      <c r="AS345" s="67"/>
    </row>
    <row r="346">
      <c r="A346" s="383"/>
      <c r="B346" s="69" t="s">
        <v>238</v>
      </c>
      <c r="C346" s="70">
        <v>43444.0</v>
      </c>
      <c r="D346" s="71" t="s">
        <v>479</v>
      </c>
      <c r="E346" s="72">
        <v>43575.0</v>
      </c>
      <c r="F346" s="73" t="s">
        <v>280</v>
      </c>
      <c r="G346" s="572">
        <v>43583.0</v>
      </c>
      <c r="H346" s="73" t="s">
        <v>282</v>
      </c>
      <c r="I346" s="132" t="s">
        <v>1609</v>
      </c>
      <c r="J346" s="384" t="s">
        <v>221</v>
      </c>
      <c r="K346" s="129" t="s">
        <v>789</v>
      </c>
      <c r="L346" s="79" t="s">
        <v>335</v>
      </c>
      <c r="M346" s="81" t="s">
        <v>1559</v>
      </c>
      <c r="N346" s="82" t="s">
        <v>597</v>
      </c>
      <c r="P346" s="20" t="s">
        <v>1583</v>
      </c>
      <c r="Q346" s="81" t="s">
        <v>282</v>
      </c>
      <c r="R346" s="181" t="s">
        <v>864</v>
      </c>
      <c r="S346" s="82" t="s">
        <v>910</v>
      </c>
      <c r="T346" s="81" t="s">
        <v>329</v>
      </c>
      <c r="U346" s="81" t="s">
        <v>369</v>
      </c>
      <c r="V346" s="81" t="s">
        <v>324</v>
      </c>
      <c r="W346" s="81" t="s">
        <v>324</v>
      </c>
      <c r="X346" s="81" t="s">
        <v>329</v>
      </c>
      <c r="Y346" s="81" t="s">
        <v>329</v>
      </c>
      <c r="Z346" s="81" t="s">
        <v>324</v>
      </c>
      <c r="AA346" s="81" t="s">
        <v>282</v>
      </c>
      <c r="AB346" s="85"/>
      <c r="AC346" s="181" t="s">
        <v>1610</v>
      </c>
      <c r="AD346" s="82" t="s">
        <v>597</v>
      </c>
      <c r="AE346" s="81" t="s">
        <v>369</v>
      </c>
      <c r="AF346" s="81" t="s">
        <v>315</v>
      </c>
      <c r="AG346" s="81" t="s">
        <v>315</v>
      </c>
      <c r="AH346" s="82" t="s">
        <v>1170</v>
      </c>
      <c r="AI346" s="81" t="s">
        <v>1611</v>
      </c>
      <c r="AJ346" s="181" t="s">
        <v>1612</v>
      </c>
      <c r="AK346" s="584" t="s">
        <v>1310</v>
      </c>
      <c r="AL346" s="585" t="s">
        <v>369</v>
      </c>
      <c r="AM346" s="85"/>
      <c r="AN346" s="81" t="s">
        <v>523</v>
      </c>
      <c r="AO346" s="81" t="s">
        <v>324</v>
      </c>
      <c r="AP346" s="81" t="s">
        <v>324</v>
      </c>
      <c r="AQ346" s="81" t="s">
        <v>1613</v>
      </c>
      <c r="AR346" s="131" t="s">
        <v>1614</v>
      </c>
      <c r="AS346" s="67"/>
    </row>
    <row r="347">
      <c r="A347" s="383"/>
      <c r="B347" s="69"/>
      <c r="C347" s="70"/>
      <c r="D347" s="71"/>
      <c r="E347" s="96"/>
      <c r="F347" s="96"/>
      <c r="G347" s="96"/>
      <c r="H347" s="96"/>
      <c r="I347" s="132"/>
      <c r="J347" s="384"/>
      <c r="K347" s="387"/>
      <c r="L347" s="79"/>
      <c r="M347" s="81" t="s">
        <v>1582</v>
      </c>
      <c r="N347" s="81" t="s">
        <v>1615</v>
      </c>
      <c r="O347" s="91" t="s">
        <v>1616</v>
      </c>
      <c r="P347" s="85"/>
      <c r="Q347" s="81" t="s">
        <v>315</v>
      </c>
      <c r="R347" s="181"/>
      <c r="S347" s="81"/>
      <c r="T347" s="81" t="s">
        <v>324</v>
      </c>
      <c r="U347" s="81" t="s">
        <v>324</v>
      </c>
      <c r="V347" s="81"/>
      <c r="W347" s="81"/>
      <c r="X347" s="81" t="s">
        <v>327</v>
      </c>
      <c r="Y347" s="81" t="s">
        <v>959</v>
      </c>
      <c r="Z347" s="81"/>
      <c r="AA347" s="81" t="s">
        <v>324</v>
      </c>
      <c r="AB347" s="85"/>
      <c r="AC347" s="181" t="s">
        <v>1005</v>
      </c>
      <c r="AD347" s="20" t="s">
        <v>1064</v>
      </c>
      <c r="AE347" s="81"/>
      <c r="AF347" s="81"/>
      <c r="AG347" s="81"/>
      <c r="AH347" s="91" t="s">
        <v>1617</v>
      </c>
      <c r="AI347" s="133" t="s">
        <v>1604</v>
      </c>
      <c r="AJ347" s="181" t="s">
        <v>1618</v>
      </c>
      <c r="AK347" s="584" t="s">
        <v>366</v>
      </c>
      <c r="AL347" s="585" t="s">
        <v>315</v>
      </c>
      <c r="AM347" s="90" t="s">
        <v>1606</v>
      </c>
      <c r="AN347" s="81" t="s">
        <v>1607</v>
      </c>
      <c r="AO347" s="81"/>
      <c r="AP347" s="81"/>
      <c r="AQ347" s="81" t="s">
        <v>1608</v>
      </c>
      <c r="AR347" s="131"/>
      <c r="AS347" s="67"/>
    </row>
    <row r="348">
      <c r="A348" s="383"/>
      <c r="B348" s="69"/>
      <c r="C348" s="70"/>
      <c r="D348" s="71"/>
      <c r="E348" s="96"/>
      <c r="F348" s="96"/>
      <c r="G348" s="96"/>
      <c r="H348" s="96"/>
      <c r="I348" s="132"/>
      <c r="J348" s="384"/>
      <c r="K348" s="384"/>
      <c r="L348" s="76" t="s">
        <v>347</v>
      </c>
      <c r="M348" s="81" t="s">
        <v>404</v>
      </c>
      <c r="N348" s="580" t="s">
        <v>597</v>
      </c>
      <c r="O348" s="580"/>
      <c r="P348" s="580" t="s">
        <v>597</v>
      </c>
      <c r="Q348" s="81" t="s">
        <v>315</v>
      </c>
      <c r="R348" s="181" t="s">
        <v>854</v>
      </c>
      <c r="S348" s="575" t="s">
        <v>910</v>
      </c>
      <c r="T348" s="181" t="s">
        <v>324</v>
      </c>
      <c r="U348" s="181" t="s">
        <v>324</v>
      </c>
      <c r="V348" s="181" t="s">
        <v>324</v>
      </c>
      <c r="W348" s="181" t="s">
        <v>324</v>
      </c>
      <c r="X348" s="181" t="s">
        <v>324</v>
      </c>
      <c r="Y348" s="81" t="s">
        <v>327</v>
      </c>
      <c r="Z348" s="81" t="s">
        <v>324</v>
      </c>
      <c r="AA348" s="81" t="s">
        <v>324</v>
      </c>
      <c r="AB348" s="81"/>
      <c r="AC348" s="181" t="s">
        <v>1005</v>
      </c>
      <c r="AD348" s="20" t="s">
        <v>1064</v>
      </c>
      <c r="AE348" s="81" t="s">
        <v>315</v>
      </c>
      <c r="AF348" s="81" t="s">
        <v>315</v>
      </c>
      <c r="AG348" s="81" t="s">
        <v>315</v>
      </c>
      <c r="AH348" s="575" t="s">
        <v>1170</v>
      </c>
      <c r="AI348" s="133" t="s">
        <v>443</v>
      </c>
      <c r="AJ348" s="133" t="s">
        <v>324</v>
      </c>
      <c r="AK348" s="81" t="s">
        <v>366</v>
      </c>
      <c r="AL348" s="81"/>
      <c r="AM348" s="90" t="s">
        <v>1323</v>
      </c>
      <c r="AN348" s="90"/>
      <c r="AO348" s="81"/>
      <c r="AP348" s="90"/>
      <c r="AQ348" s="81"/>
      <c r="AR348" s="131"/>
      <c r="AS348" s="67"/>
    </row>
    <row r="349">
      <c r="A349" s="383"/>
      <c r="B349" s="69" t="s">
        <v>238</v>
      </c>
      <c r="C349" s="70">
        <v>43444.0</v>
      </c>
      <c r="D349" s="71" t="s">
        <v>479</v>
      </c>
      <c r="E349" s="72">
        <v>43575.0</v>
      </c>
      <c r="F349" s="73" t="s">
        <v>280</v>
      </c>
      <c r="G349" s="72">
        <v>43581.0</v>
      </c>
      <c r="H349" s="73" t="s">
        <v>282</v>
      </c>
      <c r="I349" s="132" t="s">
        <v>1619</v>
      </c>
      <c r="J349" s="384" t="s">
        <v>222</v>
      </c>
      <c r="K349" s="387"/>
      <c r="L349" s="79" t="s">
        <v>335</v>
      </c>
      <c r="M349" s="81" t="s">
        <v>1559</v>
      </c>
      <c r="N349" s="82" t="s">
        <v>597</v>
      </c>
      <c r="P349" s="85"/>
      <c r="Q349" s="81" t="s">
        <v>282</v>
      </c>
      <c r="R349" s="181" t="s">
        <v>864</v>
      </c>
      <c r="S349" s="82" t="s">
        <v>910</v>
      </c>
      <c r="T349" s="81" t="s">
        <v>329</v>
      </c>
      <c r="U349" s="81" t="s">
        <v>369</v>
      </c>
      <c r="V349" s="81" t="s">
        <v>324</v>
      </c>
      <c r="W349" s="81" t="s">
        <v>324</v>
      </c>
      <c r="X349" s="81" t="s">
        <v>329</v>
      </c>
      <c r="Y349" s="81" t="s">
        <v>329</v>
      </c>
      <c r="Z349" s="81" t="s">
        <v>324</v>
      </c>
      <c r="AA349" s="81" t="s">
        <v>282</v>
      </c>
      <c r="AB349" s="85"/>
      <c r="AC349" s="181" t="s">
        <v>1610</v>
      </c>
      <c r="AD349" s="82" t="s">
        <v>597</v>
      </c>
      <c r="AE349" s="81" t="s">
        <v>369</v>
      </c>
      <c r="AF349" s="81" t="s">
        <v>315</v>
      </c>
      <c r="AG349" s="81" t="s">
        <v>315</v>
      </c>
      <c r="AH349" s="82" t="s">
        <v>1170</v>
      </c>
      <c r="AI349" s="81" t="s">
        <v>1611</v>
      </c>
      <c r="AJ349" s="181" t="s">
        <v>1612</v>
      </c>
      <c r="AK349" s="584" t="s">
        <v>1310</v>
      </c>
      <c r="AL349" s="585" t="s">
        <v>369</v>
      </c>
      <c r="AM349" s="85"/>
      <c r="AN349" s="81" t="s">
        <v>523</v>
      </c>
      <c r="AO349" s="81" t="s">
        <v>324</v>
      </c>
      <c r="AP349" s="81" t="s">
        <v>324</v>
      </c>
      <c r="AQ349" s="81" t="s">
        <v>1620</v>
      </c>
      <c r="AR349" s="131" t="s">
        <v>703</v>
      </c>
      <c r="AS349" s="67"/>
    </row>
    <row r="350">
      <c r="A350" s="383"/>
      <c r="B350" s="69"/>
      <c r="C350" s="70"/>
      <c r="D350" s="71"/>
      <c r="E350" s="96"/>
      <c r="F350" s="96"/>
      <c r="G350" s="96"/>
      <c r="H350" s="96"/>
      <c r="I350" s="132"/>
      <c r="J350" s="384"/>
      <c r="K350" s="387"/>
      <c r="L350" s="79"/>
      <c r="M350" s="81" t="s">
        <v>1621</v>
      </c>
      <c r="N350" s="20" t="s">
        <v>617</v>
      </c>
      <c r="O350" s="81" t="s">
        <v>504</v>
      </c>
      <c r="P350" s="81" t="s">
        <v>324</v>
      </c>
      <c r="Q350" s="81" t="s">
        <v>315</v>
      </c>
      <c r="R350" s="181" t="s">
        <v>324</v>
      </c>
      <c r="S350" s="81" t="s">
        <v>750</v>
      </c>
      <c r="T350" s="81" t="s">
        <v>324</v>
      </c>
      <c r="U350" s="81" t="s">
        <v>324</v>
      </c>
      <c r="V350" s="81"/>
      <c r="W350" s="81"/>
      <c r="X350" s="81" t="s">
        <v>324</v>
      </c>
      <c r="Y350" s="81" t="s">
        <v>959</v>
      </c>
      <c r="Z350" s="81" t="s">
        <v>324</v>
      </c>
      <c r="AA350" s="81" t="s">
        <v>324</v>
      </c>
      <c r="AB350" s="85"/>
      <c r="AC350" s="181" t="s">
        <v>1007</v>
      </c>
      <c r="AD350" s="20" t="s">
        <v>617</v>
      </c>
      <c r="AE350" s="81"/>
      <c r="AF350" s="81"/>
      <c r="AG350" s="81"/>
      <c r="AH350" s="81" t="s">
        <v>750</v>
      </c>
      <c r="AI350" s="81" t="s">
        <v>524</v>
      </c>
      <c r="AJ350" s="181" t="s">
        <v>324</v>
      </c>
      <c r="AK350" s="181" t="s">
        <v>324</v>
      </c>
      <c r="AL350" s="181" t="s">
        <v>324</v>
      </c>
      <c r="AM350" s="181" t="s">
        <v>324</v>
      </c>
      <c r="AN350" s="181" t="s">
        <v>324</v>
      </c>
      <c r="AO350" s="181" t="s">
        <v>324</v>
      </c>
      <c r="AP350" s="81"/>
      <c r="AQ350" s="81" t="s">
        <v>1622</v>
      </c>
      <c r="AR350" s="131"/>
      <c r="AS350" s="67"/>
    </row>
    <row r="351">
      <c r="A351" s="383"/>
      <c r="B351" s="69"/>
      <c r="C351" s="70"/>
      <c r="D351" s="71"/>
      <c r="E351" s="96"/>
      <c r="F351" s="96"/>
      <c r="G351" s="96"/>
      <c r="H351" s="96"/>
      <c r="I351" s="132"/>
      <c r="J351" s="384"/>
      <c r="K351" s="387"/>
      <c r="L351" s="79"/>
      <c r="M351" s="81" t="s">
        <v>315</v>
      </c>
      <c r="N351" s="20" t="s">
        <v>617</v>
      </c>
      <c r="O351" s="81"/>
      <c r="P351" s="81"/>
      <c r="Q351" s="81" t="s">
        <v>315</v>
      </c>
      <c r="R351" s="181"/>
      <c r="S351" s="81"/>
      <c r="T351" s="81" t="s">
        <v>324</v>
      </c>
      <c r="U351" s="81" t="s">
        <v>324</v>
      </c>
      <c r="V351" s="81" t="s">
        <v>324</v>
      </c>
      <c r="W351" s="81" t="s">
        <v>324</v>
      </c>
      <c r="X351" s="81" t="s">
        <v>324</v>
      </c>
      <c r="Y351" s="81" t="s">
        <v>959</v>
      </c>
      <c r="Z351" s="81" t="s">
        <v>324</v>
      </c>
      <c r="AA351" s="81" t="s">
        <v>324</v>
      </c>
      <c r="AB351" s="85"/>
      <c r="AC351" s="181" t="s">
        <v>1007</v>
      </c>
      <c r="AD351" s="20" t="s">
        <v>617</v>
      </c>
      <c r="AE351" s="81" t="s">
        <v>369</v>
      </c>
      <c r="AF351" s="81" t="s">
        <v>315</v>
      </c>
      <c r="AG351" s="81" t="s">
        <v>315</v>
      </c>
      <c r="AH351" s="81"/>
      <c r="AI351" s="81" t="s">
        <v>524</v>
      </c>
      <c r="AJ351" s="181"/>
      <c r="AK351" s="181" t="s">
        <v>324</v>
      </c>
      <c r="AL351" s="181" t="s">
        <v>315</v>
      </c>
      <c r="AM351" s="181"/>
      <c r="AN351" s="181"/>
      <c r="AO351" s="181"/>
      <c r="AP351" s="81"/>
      <c r="AQ351" s="81"/>
      <c r="AR351" s="131"/>
      <c r="AS351" s="67"/>
    </row>
    <row r="352">
      <c r="A352" s="383"/>
      <c r="B352" s="69" t="s">
        <v>238</v>
      </c>
      <c r="C352" s="70">
        <v>43444.0</v>
      </c>
      <c r="D352" s="71" t="s">
        <v>479</v>
      </c>
      <c r="E352" s="72">
        <v>43575.0</v>
      </c>
      <c r="F352" s="73" t="s">
        <v>280</v>
      </c>
      <c r="G352" s="72">
        <v>43581.0</v>
      </c>
      <c r="H352" s="73" t="s">
        <v>282</v>
      </c>
      <c r="I352" s="132" t="s">
        <v>1623</v>
      </c>
      <c r="J352" s="384" t="s">
        <v>223</v>
      </c>
      <c r="K352" s="129" t="s">
        <v>933</v>
      </c>
      <c r="L352" s="79" t="s">
        <v>335</v>
      </c>
      <c r="M352" s="81" t="s">
        <v>1559</v>
      </c>
      <c r="N352" s="82" t="s">
        <v>597</v>
      </c>
      <c r="P352" s="85"/>
      <c r="Q352" s="81" t="s">
        <v>282</v>
      </c>
      <c r="R352" s="181" t="s">
        <v>864</v>
      </c>
      <c r="S352" s="82" t="s">
        <v>910</v>
      </c>
      <c r="T352" s="81" t="s">
        <v>329</v>
      </c>
      <c r="U352" s="81" t="s">
        <v>369</v>
      </c>
      <c r="V352" s="81" t="s">
        <v>324</v>
      </c>
      <c r="W352" s="81" t="s">
        <v>324</v>
      </c>
      <c r="X352" s="81" t="s">
        <v>329</v>
      </c>
      <c r="Y352" s="81" t="s">
        <v>329</v>
      </c>
      <c r="Z352" s="81" t="s">
        <v>324</v>
      </c>
      <c r="AA352" s="81" t="s">
        <v>282</v>
      </c>
      <c r="AB352" s="85"/>
      <c r="AC352" s="181" t="s">
        <v>1610</v>
      </c>
      <c r="AD352" s="82" t="s">
        <v>597</v>
      </c>
      <c r="AE352" s="81" t="s">
        <v>369</v>
      </c>
      <c r="AF352" s="81" t="s">
        <v>315</v>
      </c>
      <c r="AG352" s="81" t="s">
        <v>315</v>
      </c>
      <c r="AH352" s="82" t="s">
        <v>1170</v>
      </c>
      <c r="AI352" s="81" t="s">
        <v>1611</v>
      </c>
      <c r="AJ352" s="181" t="s">
        <v>1612</v>
      </c>
      <c r="AK352" s="584" t="s">
        <v>1310</v>
      </c>
      <c r="AL352" s="585" t="s">
        <v>369</v>
      </c>
      <c r="AM352" s="85"/>
      <c r="AN352" s="81" t="s">
        <v>523</v>
      </c>
      <c r="AO352" s="81" t="s">
        <v>324</v>
      </c>
      <c r="AP352" s="81" t="s">
        <v>324</v>
      </c>
      <c r="AQ352" s="81" t="s">
        <v>1624</v>
      </c>
      <c r="AR352" s="131" t="s">
        <v>1069</v>
      </c>
      <c r="AS352" s="67"/>
    </row>
    <row r="353">
      <c r="A353" s="383"/>
      <c r="B353" s="69"/>
      <c r="C353" s="70"/>
      <c r="D353" s="71"/>
      <c r="E353" s="96"/>
      <c r="F353" s="96"/>
      <c r="G353" s="96"/>
      <c r="H353" s="96"/>
      <c r="I353" s="132"/>
      <c r="J353" s="384"/>
      <c r="K353" s="387"/>
      <c r="L353" s="79"/>
      <c r="M353" s="81" t="s">
        <v>1621</v>
      </c>
      <c r="N353" s="20" t="s">
        <v>618</v>
      </c>
      <c r="O353" s="81" t="s">
        <v>504</v>
      </c>
      <c r="P353" s="81" t="s">
        <v>324</v>
      </c>
      <c r="Q353" s="81" t="s">
        <v>315</v>
      </c>
      <c r="R353" s="181" t="s">
        <v>324</v>
      </c>
      <c r="S353" s="81" t="s">
        <v>750</v>
      </c>
      <c r="T353" s="81" t="s">
        <v>324</v>
      </c>
      <c r="U353" s="81" t="s">
        <v>324</v>
      </c>
      <c r="V353" s="81"/>
      <c r="W353" s="81"/>
      <c r="X353" s="81" t="s">
        <v>324</v>
      </c>
      <c r="Y353" s="81" t="s">
        <v>959</v>
      </c>
      <c r="Z353" s="81"/>
      <c r="AA353" s="81" t="s">
        <v>324</v>
      </c>
      <c r="AB353" s="85"/>
      <c r="AC353" s="181" t="s">
        <v>1007</v>
      </c>
      <c r="AD353" s="20" t="s">
        <v>618</v>
      </c>
      <c r="AE353" s="81"/>
      <c r="AF353" s="81"/>
      <c r="AG353" s="81"/>
      <c r="AH353" s="81" t="s">
        <v>750</v>
      </c>
      <c r="AI353" s="81" t="s">
        <v>524</v>
      </c>
      <c r="AJ353" s="181" t="s">
        <v>324</v>
      </c>
      <c r="AK353" s="584" t="s">
        <v>324</v>
      </c>
      <c r="AL353" s="585" t="s">
        <v>324</v>
      </c>
      <c r="AM353" s="587" t="s">
        <v>324</v>
      </c>
      <c r="AN353" s="81" t="s">
        <v>324</v>
      </c>
      <c r="AO353" s="81" t="s">
        <v>324</v>
      </c>
      <c r="AP353" s="81"/>
      <c r="AQ353" s="81" t="s">
        <v>1622</v>
      </c>
      <c r="AR353" s="131"/>
      <c r="AS353" s="67"/>
    </row>
    <row r="354">
      <c r="A354" s="383"/>
      <c r="B354" s="69"/>
      <c r="C354" s="70"/>
      <c r="D354" s="71"/>
      <c r="E354" s="96"/>
      <c r="F354" s="96"/>
      <c r="G354" s="96"/>
      <c r="H354" s="96"/>
      <c r="I354" s="132"/>
      <c r="J354" s="384"/>
      <c r="K354" s="387"/>
      <c r="L354" s="79"/>
      <c r="M354" s="81" t="s">
        <v>315</v>
      </c>
      <c r="N354" s="20" t="s">
        <v>618</v>
      </c>
      <c r="O354" s="81"/>
      <c r="P354" s="81"/>
      <c r="Q354" s="81" t="s">
        <v>315</v>
      </c>
      <c r="R354" s="181"/>
      <c r="S354" s="81"/>
      <c r="T354" s="81" t="s">
        <v>324</v>
      </c>
      <c r="U354" s="81" t="s">
        <v>324</v>
      </c>
      <c r="V354" s="81" t="s">
        <v>324</v>
      </c>
      <c r="W354" s="81" t="s">
        <v>324</v>
      </c>
      <c r="X354" s="81" t="s">
        <v>324</v>
      </c>
      <c r="Y354" s="81" t="s">
        <v>959</v>
      </c>
      <c r="Z354" s="81" t="s">
        <v>324</v>
      </c>
      <c r="AA354" s="81" t="s">
        <v>324</v>
      </c>
      <c r="AB354" s="85"/>
      <c r="AC354" s="181" t="s">
        <v>1007</v>
      </c>
      <c r="AD354" s="20" t="s">
        <v>618</v>
      </c>
      <c r="AE354" s="81" t="s">
        <v>369</v>
      </c>
      <c r="AF354" s="81" t="s">
        <v>315</v>
      </c>
      <c r="AG354" s="81" t="s">
        <v>315</v>
      </c>
      <c r="AH354" s="81"/>
      <c r="AI354" s="81" t="s">
        <v>524</v>
      </c>
      <c r="AJ354" s="181"/>
      <c r="AK354" s="584" t="s">
        <v>324</v>
      </c>
      <c r="AL354" s="181" t="s">
        <v>315</v>
      </c>
      <c r="AM354" s="587"/>
      <c r="AN354" s="81"/>
      <c r="AO354" s="81"/>
      <c r="AP354" s="81"/>
      <c r="AQ354" s="81"/>
      <c r="AR354" s="131"/>
      <c r="AS354" s="67"/>
    </row>
    <row r="355" ht="15.75" customHeight="1">
      <c r="A355" s="383"/>
      <c r="B355" s="69" t="s">
        <v>238</v>
      </c>
      <c r="C355" s="70">
        <v>43444.0</v>
      </c>
      <c r="D355" s="71" t="s">
        <v>280</v>
      </c>
      <c r="E355" s="72">
        <v>43566.0</v>
      </c>
      <c r="F355" s="73" t="s">
        <v>258</v>
      </c>
      <c r="G355" s="72">
        <v>43583.0</v>
      </c>
      <c r="H355" s="73" t="s">
        <v>282</v>
      </c>
      <c r="I355" s="132" t="s">
        <v>1625</v>
      </c>
      <c r="J355" s="384" t="s">
        <v>224</v>
      </c>
      <c r="K355" s="387"/>
      <c r="L355" s="79" t="s">
        <v>335</v>
      </c>
      <c r="M355" s="81" t="s">
        <v>1559</v>
      </c>
      <c r="N355" s="82" t="s">
        <v>597</v>
      </c>
      <c r="P355" s="85"/>
      <c r="Q355" s="81" t="s">
        <v>282</v>
      </c>
      <c r="R355" s="181" t="s">
        <v>864</v>
      </c>
      <c r="S355" s="82" t="s">
        <v>910</v>
      </c>
      <c r="T355" s="81" t="s">
        <v>329</v>
      </c>
      <c r="U355" s="81" t="s">
        <v>369</v>
      </c>
      <c r="V355" s="81" t="s">
        <v>324</v>
      </c>
      <c r="W355" s="81" t="s">
        <v>324</v>
      </c>
      <c r="X355" s="81" t="s">
        <v>329</v>
      </c>
      <c r="Y355" s="81" t="s">
        <v>329</v>
      </c>
      <c r="Z355" s="81" t="s">
        <v>324</v>
      </c>
      <c r="AA355" s="81" t="s">
        <v>282</v>
      </c>
      <c r="AB355" s="85"/>
      <c r="AC355" s="181" t="s">
        <v>1610</v>
      </c>
      <c r="AD355" s="82" t="s">
        <v>597</v>
      </c>
      <c r="AE355" s="81" t="s">
        <v>369</v>
      </c>
      <c r="AF355" s="81" t="s">
        <v>315</v>
      </c>
      <c r="AG355" s="81" t="s">
        <v>315</v>
      </c>
      <c r="AH355" s="82" t="s">
        <v>1170</v>
      </c>
      <c r="AI355" s="81" t="s">
        <v>1611</v>
      </c>
      <c r="AJ355" s="181" t="s">
        <v>1612</v>
      </c>
      <c r="AK355" s="584" t="s">
        <v>1310</v>
      </c>
      <c r="AL355" s="585" t="s">
        <v>369</v>
      </c>
      <c r="AM355" s="85"/>
      <c r="AN355" s="81" t="s">
        <v>523</v>
      </c>
      <c r="AO355" s="81" t="s">
        <v>324</v>
      </c>
      <c r="AP355" s="81" t="s">
        <v>324</v>
      </c>
      <c r="AQ355" s="81" t="s">
        <v>1624</v>
      </c>
      <c r="AR355" s="131" t="s">
        <v>1069</v>
      </c>
      <c r="AS355" s="25" t="s">
        <v>1626</v>
      </c>
    </row>
    <row r="356" ht="20.25" customHeight="1">
      <c r="A356" s="383"/>
      <c r="B356" s="69"/>
      <c r="C356" s="70"/>
      <c r="D356" s="71"/>
      <c r="E356" s="72"/>
      <c r="F356" s="72"/>
      <c r="G356" s="72"/>
      <c r="H356" s="72"/>
      <c r="I356" s="132"/>
      <c r="J356" s="384"/>
      <c r="K356" s="387"/>
      <c r="L356" s="79"/>
      <c r="M356" s="81" t="s">
        <v>393</v>
      </c>
      <c r="N356" s="81" t="s">
        <v>1627</v>
      </c>
      <c r="O356" s="81"/>
      <c r="P356" s="85"/>
      <c r="Q356" s="81"/>
      <c r="R356" s="181" t="s">
        <v>1628</v>
      </c>
      <c r="S356" s="81"/>
      <c r="T356" s="81" t="s">
        <v>1629</v>
      </c>
      <c r="U356" s="81" t="s">
        <v>1629</v>
      </c>
      <c r="V356" s="81" t="s">
        <v>1629</v>
      </c>
      <c r="W356" s="81" t="s">
        <v>1629</v>
      </c>
      <c r="X356" s="81" t="s">
        <v>1629</v>
      </c>
      <c r="Y356" s="81" t="s">
        <v>1629</v>
      </c>
      <c r="Z356" s="81" t="s">
        <v>1629</v>
      </c>
      <c r="AA356" s="81" t="s">
        <v>1629</v>
      </c>
      <c r="AB356" s="81" t="s">
        <v>1629</v>
      </c>
      <c r="AC356" s="181" t="s">
        <v>1630</v>
      </c>
      <c r="AD356" s="81" t="s">
        <v>1631</v>
      </c>
      <c r="AE356" s="81"/>
      <c r="AF356" s="81"/>
      <c r="AG356" s="81"/>
      <c r="AH356" s="81" t="s">
        <v>1632</v>
      </c>
      <c r="AI356" s="81" t="s">
        <v>1633</v>
      </c>
      <c r="AJ356" s="181" t="s">
        <v>1633</v>
      </c>
      <c r="AK356" s="584" t="s">
        <v>1633</v>
      </c>
      <c r="AL356" s="585" t="s">
        <v>1633</v>
      </c>
      <c r="AM356" s="81" t="s">
        <v>1633</v>
      </c>
      <c r="AN356" s="81" t="s">
        <v>1633</v>
      </c>
      <c r="AO356" s="81" t="s">
        <v>1633</v>
      </c>
      <c r="AP356" s="81" t="s">
        <v>1633</v>
      </c>
      <c r="AQ356" s="81"/>
      <c r="AR356" s="131"/>
      <c r="AS356" s="25"/>
    </row>
    <row r="357">
      <c r="A357" s="383"/>
      <c r="B357" s="69"/>
      <c r="C357" s="70"/>
      <c r="D357" s="71"/>
      <c r="E357" s="96"/>
      <c r="F357" s="96"/>
      <c r="G357" s="96"/>
      <c r="H357" s="96"/>
      <c r="I357" s="132"/>
      <c r="J357" s="384"/>
      <c r="K357" s="387"/>
      <c r="L357" s="79"/>
      <c r="M357" s="81" t="s">
        <v>315</v>
      </c>
      <c r="N357" s="20" t="s">
        <v>617</v>
      </c>
      <c r="O357" s="81"/>
      <c r="P357" s="81"/>
      <c r="Q357" s="81" t="s">
        <v>315</v>
      </c>
      <c r="R357" s="181"/>
      <c r="S357" s="81"/>
      <c r="T357" s="81" t="s">
        <v>324</v>
      </c>
      <c r="U357" s="81" t="s">
        <v>324</v>
      </c>
      <c r="V357" s="81" t="s">
        <v>324</v>
      </c>
      <c r="W357" s="81" t="s">
        <v>324</v>
      </c>
      <c r="X357" s="81" t="s">
        <v>324</v>
      </c>
      <c r="Y357" s="81" t="s">
        <v>959</v>
      </c>
      <c r="Z357" s="81" t="s">
        <v>324</v>
      </c>
      <c r="AA357" s="81" t="s">
        <v>324</v>
      </c>
      <c r="AB357" s="85"/>
      <c r="AC357" s="181" t="s">
        <v>1007</v>
      </c>
      <c r="AD357" s="20" t="s">
        <v>617</v>
      </c>
      <c r="AE357" s="81" t="s">
        <v>369</v>
      </c>
      <c r="AF357" s="81" t="s">
        <v>315</v>
      </c>
      <c r="AG357" s="81" t="s">
        <v>315</v>
      </c>
      <c r="AH357" s="81"/>
      <c r="AI357" s="81" t="s">
        <v>524</v>
      </c>
      <c r="AJ357" s="181"/>
      <c r="AK357" s="181" t="s">
        <v>324</v>
      </c>
      <c r="AL357" s="181" t="s">
        <v>315</v>
      </c>
      <c r="AM357" s="181"/>
      <c r="AN357" s="181"/>
      <c r="AO357" s="181"/>
      <c r="AP357" s="81"/>
      <c r="AQ357" s="81"/>
      <c r="AR357" s="131"/>
      <c r="AS357" s="67"/>
    </row>
    <row r="358">
      <c r="A358" s="383"/>
      <c r="B358" s="69" t="s">
        <v>238</v>
      </c>
      <c r="C358" s="70">
        <v>43444.0</v>
      </c>
      <c r="D358" s="71" t="s">
        <v>280</v>
      </c>
      <c r="E358" s="72">
        <v>43566.0</v>
      </c>
      <c r="F358" s="73" t="s">
        <v>258</v>
      </c>
      <c r="G358" s="72">
        <v>43583.0</v>
      </c>
      <c r="H358" s="73" t="s">
        <v>282</v>
      </c>
      <c r="I358" s="74" t="s">
        <v>1634</v>
      </c>
      <c r="J358" s="384" t="s">
        <v>225</v>
      </c>
      <c r="K358" s="387"/>
      <c r="L358" s="79" t="s">
        <v>335</v>
      </c>
      <c r="M358" s="81" t="s">
        <v>1559</v>
      </c>
      <c r="N358" s="82" t="s">
        <v>597</v>
      </c>
      <c r="P358" s="85"/>
      <c r="Q358" s="81" t="s">
        <v>282</v>
      </c>
      <c r="R358" s="181" t="s">
        <v>864</v>
      </c>
      <c r="S358" s="82" t="s">
        <v>910</v>
      </c>
      <c r="T358" s="81" t="s">
        <v>329</v>
      </c>
      <c r="U358" s="81" t="s">
        <v>369</v>
      </c>
      <c r="V358" s="81" t="s">
        <v>324</v>
      </c>
      <c r="W358" s="81" t="s">
        <v>324</v>
      </c>
      <c r="X358" s="81" t="s">
        <v>329</v>
      </c>
      <c r="Y358" s="81" t="s">
        <v>329</v>
      </c>
      <c r="Z358" s="81" t="s">
        <v>324</v>
      </c>
      <c r="AA358" s="81" t="s">
        <v>282</v>
      </c>
      <c r="AB358" s="85"/>
      <c r="AC358" s="181" t="s">
        <v>1610</v>
      </c>
      <c r="AD358" s="82" t="s">
        <v>597</v>
      </c>
      <c r="AE358" s="81" t="s">
        <v>369</v>
      </c>
      <c r="AF358" s="81" t="s">
        <v>315</v>
      </c>
      <c r="AG358" s="81" t="s">
        <v>315</v>
      </c>
      <c r="AH358" s="82" t="s">
        <v>1170</v>
      </c>
      <c r="AI358" s="81" t="s">
        <v>1611</v>
      </c>
      <c r="AJ358" s="181" t="s">
        <v>1612</v>
      </c>
      <c r="AK358" s="584" t="s">
        <v>1310</v>
      </c>
      <c r="AL358" s="585" t="s">
        <v>369</v>
      </c>
      <c r="AM358" s="85"/>
      <c r="AN358" s="81" t="s">
        <v>523</v>
      </c>
      <c r="AO358" s="81" t="s">
        <v>324</v>
      </c>
      <c r="AP358" s="81" t="s">
        <v>324</v>
      </c>
      <c r="AQ358" s="81" t="s">
        <v>1624</v>
      </c>
      <c r="AR358" s="131" t="s">
        <v>1069</v>
      </c>
      <c r="AS358" s="25"/>
    </row>
    <row r="359">
      <c r="A359" s="242"/>
      <c r="B359" s="229"/>
      <c r="C359" s="230"/>
      <c r="D359" s="231"/>
      <c r="E359" s="588"/>
      <c r="F359" s="588"/>
      <c r="G359" s="588"/>
      <c r="H359" s="588"/>
      <c r="I359" s="233"/>
      <c r="J359" s="234"/>
      <c r="K359" s="234"/>
      <c r="L359" s="234"/>
      <c r="M359" s="222" t="s">
        <v>393</v>
      </c>
      <c r="N359" s="589" t="s">
        <v>1627</v>
      </c>
      <c r="O359" s="590"/>
      <c r="P359" s="566"/>
      <c r="Q359" s="222"/>
      <c r="R359" s="565" t="s">
        <v>1628</v>
      </c>
      <c r="S359" s="222"/>
      <c r="T359" s="222" t="s">
        <v>1629</v>
      </c>
      <c r="U359" s="222" t="s">
        <v>1629</v>
      </c>
      <c r="V359" s="222" t="s">
        <v>1629</v>
      </c>
      <c r="W359" s="222" t="s">
        <v>1629</v>
      </c>
      <c r="X359" s="222" t="s">
        <v>1629</v>
      </c>
      <c r="Y359" s="222" t="s">
        <v>1629</v>
      </c>
      <c r="Z359" s="222" t="s">
        <v>1629</v>
      </c>
      <c r="AA359" s="222" t="s">
        <v>1629</v>
      </c>
      <c r="AB359" s="591" t="s">
        <v>1629</v>
      </c>
      <c r="AC359" s="255" t="s">
        <v>1630</v>
      </c>
      <c r="AD359" s="589" t="s">
        <v>1631</v>
      </c>
      <c r="AE359" s="590"/>
      <c r="AF359" s="590"/>
      <c r="AG359" s="222"/>
      <c r="AH359" s="222" t="s">
        <v>1632</v>
      </c>
      <c r="AI359" s="222" t="s">
        <v>1633</v>
      </c>
      <c r="AJ359" s="592" t="s">
        <v>1633</v>
      </c>
      <c r="AK359" s="593" t="s">
        <v>1633</v>
      </c>
      <c r="AL359" s="594" t="s">
        <v>1633</v>
      </c>
      <c r="AM359" s="591" t="s">
        <v>1633</v>
      </c>
      <c r="AN359" s="222" t="s">
        <v>1633</v>
      </c>
      <c r="AO359" s="222" t="s">
        <v>1633</v>
      </c>
      <c r="AP359" s="589" t="s">
        <v>1633</v>
      </c>
      <c r="AQ359" s="590"/>
      <c r="AR359" s="567"/>
      <c r="AS359" s="595"/>
    </row>
    <row r="360">
      <c r="A360" s="242"/>
      <c r="B360" s="229"/>
      <c r="C360" s="230"/>
      <c r="D360" s="243"/>
      <c r="E360" s="596"/>
      <c r="F360" s="596"/>
      <c r="G360" s="596"/>
      <c r="H360" s="596"/>
      <c r="I360" s="246"/>
      <c r="J360" s="246"/>
      <c r="K360" s="246"/>
      <c r="L360" s="246"/>
      <c r="M360" s="202" t="s">
        <v>315</v>
      </c>
      <c r="N360" s="597" t="s">
        <v>618</v>
      </c>
      <c r="O360" s="202"/>
      <c r="P360" s="598"/>
      <c r="Q360" s="202" t="s">
        <v>315</v>
      </c>
      <c r="R360" s="243"/>
      <c r="S360" s="202"/>
      <c r="T360" s="202" t="s">
        <v>324</v>
      </c>
      <c r="U360" s="202" t="s">
        <v>324</v>
      </c>
      <c r="V360" s="202" t="s">
        <v>324</v>
      </c>
      <c r="W360" s="202" t="s">
        <v>324</v>
      </c>
      <c r="X360" s="202" t="s">
        <v>324</v>
      </c>
      <c r="Y360" s="202" t="s">
        <v>959</v>
      </c>
      <c r="Z360" s="202" t="s">
        <v>324</v>
      </c>
      <c r="AA360" s="202" t="s">
        <v>324</v>
      </c>
      <c r="AB360" s="206"/>
      <c r="AC360" s="243" t="s">
        <v>1007</v>
      </c>
      <c r="AD360" s="599" t="s">
        <v>618</v>
      </c>
      <c r="AE360" s="202" t="s">
        <v>369</v>
      </c>
      <c r="AF360" s="202" t="s">
        <v>315</v>
      </c>
      <c r="AG360" s="202" t="s">
        <v>315</v>
      </c>
      <c r="AH360" s="202"/>
      <c r="AI360" s="202" t="s">
        <v>524</v>
      </c>
      <c r="AJ360" s="600"/>
      <c r="AK360" s="272" t="s">
        <v>324</v>
      </c>
      <c r="AL360" s="601" t="s">
        <v>315</v>
      </c>
      <c r="AM360" s="206"/>
      <c r="AN360" s="202"/>
      <c r="AO360" s="202"/>
      <c r="AP360" s="202"/>
      <c r="AQ360" s="202"/>
      <c r="AR360" s="246"/>
      <c r="AS360" s="243"/>
    </row>
    <row r="361">
      <c r="A361" s="240"/>
      <c r="B361" s="69" t="s">
        <v>238</v>
      </c>
      <c r="C361" s="70">
        <v>43440.0</v>
      </c>
      <c r="D361" s="71" t="s">
        <v>280</v>
      </c>
      <c r="E361" s="72">
        <v>43566.0</v>
      </c>
      <c r="F361" s="73" t="s">
        <v>258</v>
      </c>
      <c r="G361" s="72">
        <v>43583.0</v>
      </c>
      <c r="H361" s="73" t="s">
        <v>282</v>
      </c>
      <c r="I361" s="74" t="s">
        <v>1635</v>
      </c>
      <c r="J361" s="98" t="s">
        <v>226</v>
      </c>
      <c r="K361" s="100"/>
      <c r="L361" s="79" t="s">
        <v>347</v>
      </c>
      <c r="M361" s="81" t="s">
        <v>1559</v>
      </c>
      <c r="N361" s="82" t="s">
        <v>597</v>
      </c>
      <c r="P361" s="85"/>
      <c r="Q361" s="81" t="s">
        <v>282</v>
      </c>
      <c r="R361" s="181" t="s">
        <v>864</v>
      </c>
      <c r="S361" s="82" t="s">
        <v>910</v>
      </c>
      <c r="T361" s="81" t="s">
        <v>329</v>
      </c>
      <c r="U361" s="81" t="s">
        <v>369</v>
      </c>
      <c r="V361" s="81" t="s">
        <v>324</v>
      </c>
      <c r="W361" s="81" t="s">
        <v>324</v>
      </c>
      <c r="X361" s="81" t="s">
        <v>329</v>
      </c>
      <c r="Y361" s="81" t="s">
        <v>329</v>
      </c>
      <c r="Z361" s="81" t="s">
        <v>324</v>
      </c>
      <c r="AA361" s="81" t="s">
        <v>282</v>
      </c>
      <c r="AB361" s="85"/>
      <c r="AC361" s="181" t="s">
        <v>1610</v>
      </c>
      <c r="AD361" s="82" t="s">
        <v>597</v>
      </c>
      <c r="AE361" s="81" t="s">
        <v>369</v>
      </c>
      <c r="AF361" s="81" t="s">
        <v>315</v>
      </c>
      <c r="AG361" s="81" t="s">
        <v>315</v>
      </c>
      <c r="AH361" s="82" t="s">
        <v>1170</v>
      </c>
      <c r="AI361" s="81" t="s">
        <v>1611</v>
      </c>
      <c r="AJ361" s="181" t="s">
        <v>1612</v>
      </c>
      <c r="AK361" s="584" t="s">
        <v>1310</v>
      </c>
      <c r="AL361" s="585" t="s">
        <v>369</v>
      </c>
      <c r="AM361" s="85"/>
      <c r="AN361" s="81" t="s">
        <v>523</v>
      </c>
      <c r="AO361" s="81" t="s">
        <v>324</v>
      </c>
      <c r="AP361" s="81" t="s">
        <v>324</v>
      </c>
      <c r="AQ361" s="81" t="s">
        <v>1636</v>
      </c>
      <c r="AR361" s="131" t="s">
        <v>1614</v>
      </c>
      <c r="AS361" s="25"/>
    </row>
    <row r="362">
      <c r="A362" s="242"/>
      <c r="B362" s="229"/>
      <c r="C362" s="230"/>
      <c r="D362" s="231"/>
      <c r="E362" s="588"/>
      <c r="F362" s="588"/>
      <c r="G362" s="588"/>
      <c r="H362" s="588"/>
      <c r="I362" s="233"/>
      <c r="J362" s="234"/>
      <c r="K362" s="234"/>
      <c r="L362" s="234"/>
      <c r="M362" s="222" t="s">
        <v>393</v>
      </c>
      <c r="N362" s="602" t="s">
        <v>1637</v>
      </c>
      <c r="O362" s="590"/>
      <c r="P362" s="566"/>
      <c r="Q362" s="222"/>
      <c r="R362" s="565" t="s">
        <v>1628</v>
      </c>
      <c r="S362" s="222"/>
      <c r="T362" s="222" t="s">
        <v>1629</v>
      </c>
      <c r="U362" s="222" t="s">
        <v>1629</v>
      </c>
      <c r="V362" s="222" t="s">
        <v>1629</v>
      </c>
      <c r="W362" s="222" t="s">
        <v>1629</v>
      </c>
      <c r="X362" s="222" t="s">
        <v>1629</v>
      </c>
      <c r="Y362" s="222" t="s">
        <v>1629</v>
      </c>
      <c r="Z362" s="222" t="s">
        <v>1629</v>
      </c>
      <c r="AA362" s="222" t="s">
        <v>1629</v>
      </c>
      <c r="AB362" s="591" t="s">
        <v>1629</v>
      </c>
      <c r="AC362" s="255" t="s">
        <v>1630</v>
      </c>
      <c r="AD362" s="602" t="s">
        <v>1638</v>
      </c>
      <c r="AE362" s="590"/>
      <c r="AF362" s="590"/>
      <c r="AG362" s="222"/>
      <c r="AH362" s="222" t="s">
        <v>1632</v>
      </c>
      <c r="AI362" s="222" t="s">
        <v>1633</v>
      </c>
      <c r="AJ362" s="592" t="s">
        <v>1633</v>
      </c>
      <c r="AK362" s="593" t="s">
        <v>1633</v>
      </c>
      <c r="AL362" s="594" t="s">
        <v>1633</v>
      </c>
      <c r="AM362" s="591" t="s">
        <v>1633</v>
      </c>
      <c r="AN362" s="222" t="s">
        <v>1633</v>
      </c>
      <c r="AO362" s="222" t="s">
        <v>1633</v>
      </c>
      <c r="AP362" s="589" t="s">
        <v>1633</v>
      </c>
      <c r="AQ362" s="590"/>
      <c r="AR362" s="567"/>
      <c r="AS362" s="595"/>
    </row>
    <row r="363">
      <c r="A363" s="242"/>
      <c r="B363" s="229"/>
      <c r="C363" s="230"/>
      <c r="D363" s="243"/>
      <c r="E363" s="596"/>
      <c r="F363" s="596"/>
      <c r="G363" s="596"/>
      <c r="H363" s="596"/>
      <c r="I363" s="246"/>
      <c r="J363" s="246"/>
      <c r="K363" s="246"/>
      <c r="L363" s="246"/>
      <c r="M363" s="202" t="s">
        <v>315</v>
      </c>
      <c r="N363" s="597" t="s">
        <v>618</v>
      </c>
      <c r="O363" s="202"/>
      <c r="P363" s="598"/>
      <c r="Q363" s="202" t="s">
        <v>315</v>
      </c>
      <c r="R363" s="243"/>
      <c r="S363" s="202"/>
      <c r="T363" s="202" t="s">
        <v>324</v>
      </c>
      <c r="U363" s="202" t="s">
        <v>324</v>
      </c>
      <c r="V363" s="202" t="s">
        <v>324</v>
      </c>
      <c r="W363" s="202" t="s">
        <v>324</v>
      </c>
      <c r="X363" s="202" t="s">
        <v>324</v>
      </c>
      <c r="Y363" s="202" t="s">
        <v>959</v>
      </c>
      <c r="Z363" s="202" t="s">
        <v>324</v>
      </c>
      <c r="AA363" s="202" t="s">
        <v>324</v>
      </c>
      <c r="AB363" s="206"/>
      <c r="AC363" s="243" t="s">
        <v>1007</v>
      </c>
      <c r="AD363" s="599" t="s">
        <v>618</v>
      </c>
      <c r="AE363" s="202" t="s">
        <v>369</v>
      </c>
      <c r="AF363" s="202" t="s">
        <v>315</v>
      </c>
      <c r="AG363" s="202" t="s">
        <v>315</v>
      </c>
      <c r="AH363" s="202"/>
      <c r="AI363" s="202" t="s">
        <v>524</v>
      </c>
      <c r="AJ363" s="600"/>
      <c r="AK363" s="272" t="s">
        <v>324</v>
      </c>
      <c r="AL363" s="601" t="s">
        <v>315</v>
      </c>
      <c r="AM363" s="206"/>
      <c r="AN363" s="202"/>
      <c r="AO363" s="202"/>
      <c r="AP363" s="202"/>
      <c r="AQ363" s="202"/>
      <c r="AR363" s="246"/>
      <c r="AS363" s="243"/>
    </row>
    <row r="364">
      <c r="A364" s="240"/>
      <c r="B364" s="69" t="s">
        <v>238</v>
      </c>
      <c r="C364" s="70">
        <v>43440.0</v>
      </c>
      <c r="D364" s="71" t="s">
        <v>280</v>
      </c>
      <c r="E364" s="72">
        <v>43566.0</v>
      </c>
      <c r="F364" s="73" t="s">
        <v>258</v>
      </c>
      <c r="G364" s="72">
        <v>43583.0</v>
      </c>
      <c r="H364" s="73" t="s">
        <v>282</v>
      </c>
      <c r="I364" s="132" t="s">
        <v>1639</v>
      </c>
      <c r="J364" s="98" t="s">
        <v>227</v>
      </c>
      <c r="K364" s="129" t="s">
        <v>933</v>
      </c>
      <c r="L364" s="79" t="s">
        <v>347</v>
      </c>
      <c r="M364" s="81" t="s">
        <v>1559</v>
      </c>
      <c r="N364" s="82" t="s">
        <v>597</v>
      </c>
      <c r="P364" s="85"/>
      <c r="Q364" s="81" t="s">
        <v>282</v>
      </c>
      <c r="R364" s="181" t="s">
        <v>864</v>
      </c>
      <c r="S364" s="82" t="s">
        <v>910</v>
      </c>
      <c r="T364" s="81" t="s">
        <v>329</v>
      </c>
      <c r="U364" s="81" t="s">
        <v>369</v>
      </c>
      <c r="V364" s="81" t="s">
        <v>324</v>
      </c>
      <c r="W364" s="81" t="s">
        <v>324</v>
      </c>
      <c r="X364" s="81" t="s">
        <v>329</v>
      </c>
      <c r="Y364" s="81" t="s">
        <v>329</v>
      </c>
      <c r="Z364" s="81" t="s">
        <v>324</v>
      </c>
      <c r="AA364" s="81" t="s">
        <v>282</v>
      </c>
      <c r="AB364" s="85"/>
      <c r="AC364" s="181" t="s">
        <v>1610</v>
      </c>
      <c r="AD364" s="82" t="s">
        <v>597</v>
      </c>
      <c r="AE364" s="81" t="s">
        <v>369</v>
      </c>
      <c r="AF364" s="81" t="s">
        <v>315</v>
      </c>
      <c r="AG364" s="81" t="s">
        <v>315</v>
      </c>
      <c r="AH364" s="82" t="s">
        <v>1170</v>
      </c>
      <c r="AI364" s="81" t="s">
        <v>1611</v>
      </c>
      <c r="AJ364" s="181" t="s">
        <v>1612</v>
      </c>
      <c r="AK364" s="584" t="s">
        <v>1310</v>
      </c>
      <c r="AL364" s="585" t="s">
        <v>369</v>
      </c>
      <c r="AM364" s="85"/>
      <c r="AN364" s="81" t="s">
        <v>523</v>
      </c>
      <c r="AO364" s="81" t="s">
        <v>324</v>
      </c>
      <c r="AP364" s="81" t="s">
        <v>324</v>
      </c>
      <c r="AQ364" s="81" t="s">
        <v>1640</v>
      </c>
      <c r="AR364" s="131" t="s">
        <v>1441</v>
      </c>
      <c r="AS364" s="25"/>
    </row>
    <row r="365">
      <c r="A365" s="242"/>
      <c r="B365" s="229"/>
      <c r="C365" s="230"/>
      <c r="D365" s="231"/>
      <c r="E365" s="588"/>
      <c r="F365" s="588"/>
      <c r="G365" s="588"/>
      <c r="H365" s="588"/>
      <c r="I365" s="233"/>
      <c r="J365" s="234"/>
      <c r="K365" s="234"/>
      <c r="L365" s="234"/>
      <c r="M365" s="222" t="s">
        <v>393</v>
      </c>
      <c r="N365" s="602" t="s">
        <v>1641</v>
      </c>
      <c r="O365" s="590"/>
      <c r="P365" s="566"/>
      <c r="Q365" s="222"/>
      <c r="R365" s="565" t="s">
        <v>1628</v>
      </c>
      <c r="S365" s="222"/>
      <c r="T365" s="222" t="s">
        <v>1629</v>
      </c>
      <c r="U365" s="222" t="s">
        <v>1629</v>
      </c>
      <c r="V365" s="222" t="s">
        <v>1629</v>
      </c>
      <c r="W365" s="222" t="s">
        <v>1629</v>
      </c>
      <c r="X365" s="222" t="s">
        <v>1629</v>
      </c>
      <c r="Y365" s="222" t="s">
        <v>1629</v>
      </c>
      <c r="Z365" s="222" t="s">
        <v>1629</v>
      </c>
      <c r="AA365" s="222" t="s">
        <v>1629</v>
      </c>
      <c r="AB365" s="591" t="s">
        <v>1629</v>
      </c>
      <c r="AC365" s="255" t="s">
        <v>1630</v>
      </c>
      <c r="AD365" s="602" t="s">
        <v>1642</v>
      </c>
      <c r="AE365" s="590"/>
      <c r="AF365" s="590"/>
      <c r="AG365" s="222"/>
      <c r="AH365" s="222" t="s">
        <v>1632</v>
      </c>
      <c r="AI365" s="222" t="s">
        <v>1633</v>
      </c>
      <c r="AJ365" s="592" t="s">
        <v>1633</v>
      </c>
      <c r="AK365" s="593" t="s">
        <v>1633</v>
      </c>
      <c r="AL365" s="594" t="s">
        <v>1633</v>
      </c>
      <c r="AM365" s="591" t="s">
        <v>1633</v>
      </c>
      <c r="AN365" s="222" t="s">
        <v>1633</v>
      </c>
      <c r="AO365" s="222" t="s">
        <v>1633</v>
      </c>
      <c r="AP365" s="589" t="s">
        <v>1633</v>
      </c>
      <c r="AQ365" s="590"/>
      <c r="AR365" s="567"/>
      <c r="AS365" s="595"/>
    </row>
    <row r="366">
      <c r="A366" s="242"/>
      <c r="B366" s="229"/>
      <c r="C366" s="230"/>
      <c r="D366" s="243"/>
      <c r="E366" s="596"/>
      <c r="F366" s="596"/>
      <c r="G366" s="596"/>
      <c r="H366" s="596"/>
      <c r="I366" s="246"/>
      <c r="J366" s="246"/>
      <c r="K366" s="246"/>
      <c r="L366" s="246"/>
      <c r="M366" s="202" t="s">
        <v>315</v>
      </c>
      <c r="N366" s="597" t="s">
        <v>618</v>
      </c>
      <c r="O366" s="202"/>
      <c r="P366" s="598"/>
      <c r="Q366" s="202" t="s">
        <v>315</v>
      </c>
      <c r="R366" s="243"/>
      <c r="S366" s="202"/>
      <c r="T366" s="202" t="s">
        <v>324</v>
      </c>
      <c r="U366" s="202" t="s">
        <v>324</v>
      </c>
      <c r="V366" s="202" t="s">
        <v>324</v>
      </c>
      <c r="W366" s="202" t="s">
        <v>324</v>
      </c>
      <c r="X366" s="202" t="s">
        <v>324</v>
      </c>
      <c r="Y366" s="202" t="s">
        <v>959</v>
      </c>
      <c r="Z366" s="202" t="s">
        <v>324</v>
      </c>
      <c r="AA366" s="202" t="s">
        <v>324</v>
      </c>
      <c r="AB366" s="206"/>
      <c r="AC366" s="243" t="s">
        <v>1007</v>
      </c>
      <c r="AD366" s="599" t="s">
        <v>618</v>
      </c>
      <c r="AE366" s="202" t="s">
        <v>369</v>
      </c>
      <c r="AF366" s="202" t="s">
        <v>315</v>
      </c>
      <c r="AG366" s="202" t="s">
        <v>315</v>
      </c>
      <c r="AH366" s="202"/>
      <c r="AI366" s="202" t="s">
        <v>524</v>
      </c>
      <c r="AJ366" s="600"/>
      <c r="AK366" s="272" t="s">
        <v>324</v>
      </c>
      <c r="AL366" s="601" t="s">
        <v>315</v>
      </c>
      <c r="AM366" s="206"/>
      <c r="AN366" s="202"/>
      <c r="AO366" s="202"/>
      <c r="AP366" s="202"/>
      <c r="AQ366" s="202"/>
      <c r="AR366" s="246"/>
      <c r="AS366" s="243"/>
    </row>
    <row r="367">
      <c r="A367" s="383"/>
      <c r="B367" s="69" t="s">
        <v>238</v>
      </c>
      <c r="C367" s="70">
        <v>43440.0</v>
      </c>
      <c r="D367" s="71" t="s">
        <v>280</v>
      </c>
      <c r="E367" s="72">
        <v>43572.0</v>
      </c>
      <c r="F367" s="73" t="s">
        <v>258</v>
      </c>
      <c r="G367" s="72">
        <v>43583.0</v>
      </c>
      <c r="H367" s="73" t="s">
        <v>282</v>
      </c>
      <c r="I367" s="85"/>
      <c r="J367" s="98" t="s">
        <v>228</v>
      </c>
      <c r="K367" s="129" t="s">
        <v>1280</v>
      </c>
      <c r="L367" s="603"/>
      <c r="M367" s="85"/>
      <c r="N367" s="85"/>
      <c r="O367" s="85"/>
      <c r="P367" s="85"/>
      <c r="Q367" s="85"/>
      <c r="R367" s="85"/>
      <c r="S367" s="85"/>
      <c r="T367" s="85"/>
      <c r="U367" s="85"/>
      <c r="V367" s="85"/>
      <c r="W367" s="85"/>
      <c r="X367" s="85"/>
      <c r="Y367" s="85"/>
      <c r="Z367" s="85"/>
      <c r="AA367" s="85"/>
      <c r="AB367" s="85"/>
      <c r="AC367" s="576"/>
      <c r="AD367" s="85"/>
      <c r="AE367" s="85"/>
      <c r="AF367" s="85"/>
      <c r="AG367" s="85"/>
      <c r="AH367" s="85"/>
      <c r="AI367" s="85"/>
      <c r="AJ367" s="576"/>
      <c r="AK367" s="604"/>
      <c r="AL367" s="85"/>
      <c r="AM367" s="85"/>
      <c r="AN367" s="85"/>
      <c r="AO367" s="85"/>
      <c r="AP367" s="85"/>
      <c r="AQ367" s="85"/>
      <c r="AR367" s="605"/>
      <c r="AS367" s="67"/>
    </row>
    <row r="368">
      <c r="A368" s="383"/>
      <c r="B368" s="69"/>
      <c r="C368" s="70"/>
      <c r="D368" s="71"/>
      <c r="E368" s="96"/>
      <c r="F368" s="96"/>
      <c r="G368" s="96"/>
      <c r="H368" s="96"/>
      <c r="I368" s="85"/>
      <c r="J368" s="98"/>
      <c r="K368" s="100"/>
      <c r="L368" s="603"/>
      <c r="M368" s="81" t="s">
        <v>393</v>
      </c>
      <c r="N368" s="20" t="s">
        <v>622</v>
      </c>
      <c r="O368" s="85"/>
      <c r="P368" s="85"/>
      <c r="Q368" s="85"/>
      <c r="R368" s="85"/>
      <c r="S368" s="85"/>
      <c r="T368" s="81" t="s">
        <v>875</v>
      </c>
      <c r="U368" s="81" t="s">
        <v>875</v>
      </c>
      <c r="V368" s="81" t="s">
        <v>875</v>
      </c>
      <c r="W368" s="81" t="s">
        <v>324</v>
      </c>
      <c r="X368" s="81" t="s">
        <v>282</v>
      </c>
      <c r="Y368" s="81" t="s">
        <v>282</v>
      </c>
      <c r="Z368" s="81" t="s">
        <v>324</v>
      </c>
      <c r="AA368" s="81" t="s">
        <v>324</v>
      </c>
      <c r="AB368" s="81" t="s">
        <v>975</v>
      </c>
      <c r="AC368" s="576"/>
      <c r="AD368" s="85"/>
      <c r="AE368" s="81" t="s">
        <v>315</v>
      </c>
      <c r="AF368" s="81" t="s">
        <v>315</v>
      </c>
      <c r="AG368" s="81" t="s">
        <v>315</v>
      </c>
      <c r="AH368" s="20" t="s">
        <v>622</v>
      </c>
      <c r="AI368" s="81" t="s">
        <v>1241</v>
      </c>
      <c r="AJ368" s="181" t="s">
        <v>1274</v>
      </c>
      <c r="AK368" s="81" t="s">
        <v>1306</v>
      </c>
      <c r="AL368" s="81" t="s">
        <v>315</v>
      </c>
      <c r="AM368" s="85"/>
      <c r="AN368" s="85"/>
      <c r="AO368" s="85"/>
      <c r="AP368" s="81" t="s">
        <v>1344</v>
      </c>
      <c r="AQ368" s="85"/>
      <c r="AR368" s="605"/>
      <c r="AS368" s="67"/>
    </row>
    <row r="369">
      <c r="A369" s="383"/>
      <c r="B369" s="69"/>
      <c r="C369" s="70"/>
      <c r="D369" s="71"/>
      <c r="E369" s="96"/>
      <c r="F369" s="96"/>
      <c r="G369" s="96"/>
      <c r="H369" s="96"/>
      <c r="I369" s="85"/>
      <c r="J369" s="98"/>
      <c r="K369" s="100"/>
      <c r="L369" s="603"/>
      <c r="M369" s="81" t="s">
        <v>393</v>
      </c>
      <c r="N369" s="20" t="s">
        <v>622</v>
      </c>
      <c r="O369" s="85"/>
      <c r="P369" s="85"/>
      <c r="Q369" s="114" t="s">
        <v>315</v>
      </c>
      <c r="R369" s="85"/>
      <c r="S369" s="85"/>
      <c r="T369" s="81" t="s">
        <v>875</v>
      </c>
      <c r="U369" s="81" t="s">
        <v>875</v>
      </c>
      <c r="V369" s="81" t="s">
        <v>875</v>
      </c>
      <c r="W369" s="81" t="s">
        <v>324</v>
      </c>
      <c r="X369" s="81" t="s">
        <v>282</v>
      </c>
      <c r="Y369" s="81" t="s">
        <v>282</v>
      </c>
      <c r="Z369" s="81" t="s">
        <v>324</v>
      </c>
      <c r="AA369" s="81" t="s">
        <v>324</v>
      </c>
      <c r="AB369" s="81" t="s">
        <v>975</v>
      </c>
      <c r="AC369" s="576"/>
      <c r="AD369" s="85"/>
      <c r="AE369" s="81" t="s">
        <v>315</v>
      </c>
      <c r="AF369" s="81" t="s">
        <v>315</v>
      </c>
      <c r="AG369" s="81" t="s">
        <v>315</v>
      </c>
      <c r="AH369" s="20" t="s">
        <v>622</v>
      </c>
      <c r="AI369" s="81" t="s">
        <v>1241</v>
      </c>
      <c r="AJ369" s="181" t="s">
        <v>1274</v>
      </c>
      <c r="AK369" s="81" t="s">
        <v>1306</v>
      </c>
      <c r="AL369" s="81" t="s">
        <v>315</v>
      </c>
      <c r="AM369" s="85"/>
      <c r="AN369" s="85"/>
      <c r="AO369" s="85"/>
      <c r="AP369" s="81" t="s">
        <v>1344</v>
      </c>
      <c r="AQ369" s="85"/>
      <c r="AR369" s="605"/>
      <c r="AS369" s="67"/>
    </row>
    <row r="370">
      <c r="A370" s="383"/>
      <c r="B370" s="69" t="s">
        <v>238</v>
      </c>
      <c r="C370" s="70">
        <v>43440.0</v>
      </c>
      <c r="D370" s="71" t="s">
        <v>280</v>
      </c>
      <c r="E370" s="72">
        <v>43572.0</v>
      </c>
      <c r="F370" s="73" t="s">
        <v>258</v>
      </c>
      <c r="G370" s="72">
        <v>43583.0</v>
      </c>
      <c r="H370" s="73" t="s">
        <v>282</v>
      </c>
      <c r="I370" s="132" t="s">
        <v>1643</v>
      </c>
      <c r="J370" s="98" t="s">
        <v>229</v>
      </c>
      <c r="K370" s="100"/>
      <c r="L370" s="79" t="s">
        <v>305</v>
      </c>
      <c r="M370" s="81" t="s">
        <v>291</v>
      </c>
      <c r="N370" s="82" t="s">
        <v>623</v>
      </c>
      <c r="P370" s="82" t="s">
        <v>780</v>
      </c>
      <c r="Q370" s="81" t="s">
        <v>315</v>
      </c>
      <c r="R370" s="81" t="s">
        <v>748</v>
      </c>
      <c r="S370" s="82" t="s">
        <v>749</v>
      </c>
      <c r="T370" s="81" t="s">
        <v>282</v>
      </c>
      <c r="U370" s="81" t="s">
        <v>282</v>
      </c>
      <c r="V370" s="81" t="s">
        <v>282</v>
      </c>
      <c r="W370" s="81" t="s">
        <v>282</v>
      </c>
      <c r="X370" s="81" t="s">
        <v>282</v>
      </c>
      <c r="Y370" s="81" t="s">
        <v>282</v>
      </c>
      <c r="Z370" s="81" t="s">
        <v>282</v>
      </c>
      <c r="AA370" s="81" t="s">
        <v>282</v>
      </c>
      <c r="AB370" s="85"/>
      <c r="AC370" s="181" t="s">
        <v>798</v>
      </c>
      <c r="AD370" s="82" t="s">
        <v>559</v>
      </c>
      <c r="AE370" s="81" t="s">
        <v>315</v>
      </c>
      <c r="AF370" s="81" t="s">
        <v>315</v>
      </c>
      <c r="AG370" s="81" t="s">
        <v>315</v>
      </c>
      <c r="AH370" s="82" t="s">
        <v>752</v>
      </c>
      <c r="AI370" s="181" t="s">
        <v>1161</v>
      </c>
      <c r="AJ370" s="81" t="s">
        <v>324</v>
      </c>
      <c r="AK370" s="81" t="s">
        <v>324</v>
      </c>
      <c r="AL370" s="81" t="s">
        <v>315</v>
      </c>
      <c r="AM370" s="81" t="s">
        <v>324</v>
      </c>
      <c r="AN370" s="81" t="s">
        <v>754</v>
      </c>
      <c r="AO370" s="81" t="s">
        <v>324</v>
      </c>
      <c r="AP370" s="81" t="s">
        <v>324</v>
      </c>
      <c r="AQ370" s="81" t="s">
        <v>1644</v>
      </c>
      <c r="AR370" s="131" t="s">
        <v>1645</v>
      </c>
      <c r="AS370" s="67"/>
    </row>
    <row r="371">
      <c r="A371" s="383"/>
      <c r="B371" s="69"/>
      <c r="C371" s="70"/>
      <c r="D371" s="71"/>
      <c r="E371" s="96"/>
      <c r="F371" s="96"/>
      <c r="G371" s="96"/>
      <c r="H371" s="96"/>
      <c r="I371" s="132"/>
      <c r="J371" s="98"/>
      <c r="K371" s="100"/>
      <c r="L371" s="79"/>
      <c r="M371" s="81"/>
      <c r="N371" s="81"/>
      <c r="O371" s="81"/>
      <c r="P371" s="81"/>
      <c r="Q371" s="81"/>
      <c r="R371" s="81"/>
      <c r="S371" s="81"/>
      <c r="T371" s="81"/>
      <c r="U371" s="81"/>
      <c r="V371" s="81"/>
      <c r="W371" s="81"/>
      <c r="X371" s="81"/>
      <c r="Y371" s="81"/>
      <c r="Z371" s="81"/>
      <c r="AA371" s="81"/>
      <c r="AB371" s="85"/>
      <c r="AC371" s="181"/>
      <c r="AD371" s="81"/>
      <c r="AE371" s="81"/>
      <c r="AF371" s="81"/>
      <c r="AG371" s="81"/>
      <c r="AH371" s="200" t="s">
        <v>761</v>
      </c>
      <c r="AI371" s="181" t="s">
        <v>315</v>
      </c>
      <c r="AJ371" s="81" t="s">
        <v>1275</v>
      </c>
      <c r="AK371" s="81" t="s">
        <v>315</v>
      </c>
      <c r="AL371" s="81" t="s">
        <v>324</v>
      </c>
      <c r="AM371" s="81"/>
      <c r="AN371" s="81" t="s">
        <v>324</v>
      </c>
      <c r="AO371" s="81"/>
      <c r="AP371" s="81"/>
      <c r="AQ371" s="81"/>
      <c r="AR371" s="131"/>
      <c r="AS371" s="67"/>
    </row>
    <row r="372">
      <c r="A372" s="383"/>
      <c r="B372" s="69"/>
      <c r="C372" s="70"/>
      <c r="D372" s="71"/>
      <c r="E372" s="96"/>
      <c r="F372" s="96"/>
      <c r="G372" s="96"/>
      <c r="H372" s="96"/>
      <c r="I372" s="132"/>
      <c r="J372" s="98"/>
      <c r="K372" s="100"/>
      <c r="L372" s="79" t="s">
        <v>305</v>
      </c>
      <c r="M372" s="81" t="s">
        <v>291</v>
      </c>
      <c r="N372" s="82" t="s">
        <v>623</v>
      </c>
      <c r="O372" s="81"/>
      <c r="P372" s="82" t="s">
        <v>780</v>
      </c>
      <c r="Q372" s="81" t="s">
        <v>315</v>
      </c>
      <c r="R372" s="81" t="s">
        <v>748</v>
      </c>
      <c r="S372" s="82" t="s">
        <v>749</v>
      </c>
      <c r="T372" s="81" t="s">
        <v>282</v>
      </c>
      <c r="U372" s="81" t="s">
        <v>282</v>
      </c>
      <c r="V372" s="81" t="s">
        <v>282</v>
      </c>
      <c r="W372" s="81" t="s">
        <v>282</v>
      </c>
      <c r="X372" s="81" t="s">
        <v>282</v>
      </c>
      <c r="Y372" s="81" t="s">
        <v>282</v>
      </c>
      <c r="Z372" s="81" t="s">
        <v>282</v>
      </c>
      <c r="AA372" s="81" t="s">
        <v>282</v>
      </c>
      <c r="AB372" s="85"/>
      <c r="AC372" s="181" t="s">
        <v>798</v>
      </c>
      <c r="AD372" s="82" t="s">
        <v>559</v>
      </c>
      <c r="AE372" s="81" t="s">
        <v>315</v>
      </c>
      <c r="AF372" s="81" t="s">
        <v>315</v>
      </c>
      <c r="AG372" s="81" t="s">
        <v>315</v>
      </c>
      <c r="AH372" s="200" t="s">
        <v>761</v>
      </c>
      <c r="AI372" s="181" t="s">
        <v>315</v>
      </c>
      <c r="AJ372" s="81" t="s">
        <v>1275</v>
      </c>
      <c r="AK372" s="81" t="s">
        <v>315</v>
      </c>
      <c r="AL372" s="81" t="s">
        <v>315</v>
      </c>
      <c r="AM372" s="81"/>
      <c r="AN372" s="81"/>
      <c r="AO372" s="81"/>
      <c r="AP372" s="81"/>
      <c r="AQ372" s="81"/>
      <c r="AR372" s="131"/>
      <c r="AS372" s="67"/>
    </row>
    <row r="373">
      <c r="A373" s="94"/>
      <c r="B373" s="287" t="s">
        <v>1646</v>
      </c>
      <c r="C373" s="606">
        <v>43114.0</v>
      </c>
      <c r="D373" s="71" t="s">
        <v>280</v>
      </c>
      <c r="E373" s="72">
        <v>43572.0</v>
      </c>
      <c r="F373" s="73" t="s">
        <v>258</v>
      </c>
      <c r="G373" s="72">
        <v>43583.0</v>
      </c>
      <c r="H373" s="73" t="s">
        <v>282</v>
      </c>
      <c r="I373" s="74" t="s">
        <v>1647</v>
      </c>
      <c r="J373" s="289" t="s">
        <v>230</v>
      </c>
      <c r="K373" s="303" t="s">
        <v>1578</v>
      </c>
      <c r="L373" s="290" t="s">
        <v>348</v>
      </c>
      <c r="M373" s="291" t="s">
        <v>291</v>
      </c>
      <c r="N373" s="292" t="s">
        <v>470</v>
      </c>
      <c r="O373" s="337"/>
      <c r="P373" s="607"/>
      <c r="Q373" s="295" t="s">
        <v>315</v>
      </c>
      <c r="R373" s="608" t="s">
        <v>855</v>
      </c>
      <c r="S373" s="292" t="s">
        <v>919</v>
      </c>
      <c r="T373" s="297" t="s">
        <v>324</v>
      </c>
      <c r="U373" s="297" t="s">
        <v>324</v>
      </c>
      <c r="V373" s="297" t="s">
        <v>324</v>
      </c>
      <c r="W373" s="297" t="s">
        <v>324</v>
      </c>
      <c r="X373" s="297" t="s">
        <v>324</v>
      </c>
      <c r="Y373" s="297" t="s">
        <v>282</v>
      </c>
      <c r="Z373" s="297" t="s">
        <v>324</v>
      </c>
      <c r="AA373" s="297" t="s">
        <v>324</v>
      </c>
      <c r="AB373" s="609"/>
      <c r="AC373" s="610" t="s">
        <v>1008</v>
      </c>
      <c r="AD373" s="328" t="s">
        <v>470</v>
      </c>
      <c r="AE373" s="297" t="s">
        <v>369</v>
      </c>
      <c r="AF373" s="297" t="s">
        <v>315</v>
      </c>
      <c r="AG373" s="297" t="s">
        <v>315</v>
      </c>
      <c r="AH373" s="292" t="s">
        <v>919</v>
      </c>
      <c r="AI373" s="297" t="s">
        <v>443</v>
      </c>
      <c r="AJ373" s="308" t="s">
        <v>1276</v>
      </c>
      <c r="AK373" s="307" t="s">
        <v>324</v>
      </c>
      <c r="AL373" s="299" t="s">
        <v>315</v>
      </c>
      <c r="AM373" s="611" t="s">
        <v>1324</v>
      </c>
      <c r="AN373" s="301" t="s">
        <v>324</v>
      </c>
      <c r="AO373" s="337"/>
      <c r="AP373" s="337"/>
      <c r="AQ373" s="297"/>
      <c r="AR373" s="302">
        <v>15.0</v>
      </c>
      <c r="AS373" s="67"/>
    </row>
    <row r="374">
      <c r="A374" s="94"/>
      <c r="B374" s="69"/>
      <c r="C374" s="70"/>
      <c r="D374" s="71"/>
      <c r="E374" s="96"/>
      <c r="F374" s="96"/>
      <c r="G374" s="96"/>
      <c r="H374" s="96"/>
      <c r="I374" s="74"/>
      <c r="J374" s="289"/>
      <c r="K374" s="303"/>
      <c r="L374" s="304"/>
      <c r="M374" s="305"/>
      <c r="N374" s="292"/>
      <c r="O374" s="337"/>
      <c r="P374" s="607"/>
      <c r="Q374" s="295"/>
      <c r="R374" s="608"/>
      <c r="S374" s="292"/>
      <c r="T374" s="297"/>
      <c r="U374" s="297"/>
      <c r="V374" s="297"/>
      <c r="W374" s="297"/>
      <c r="X374" s="297"/>
      <c r="Y374" s="297"/>
      <c r="Z374" s="297"/>
      <c r="AA374" s="297"/>
      <c r="AB374" s="609"/>
      <c r="AC374" s="610"/>
      <c r="AD374" s="328"/>
      <c r="AE374" s="297"/>
      <c r="AF374" s="297"/>
      <c r="AG374" s="297"/>
      <c r="AH374" s="292"/>
      <c r="AI374" s="297"/>
      <c r="AJ374" s="308"/>
      <c r="AK374" s="307"/>
      <c r="AL374" s="299"/>
      <c r="AM374" s="612"/>
      <c r="AN374" s="301"/>
      <c r="AO374" s="337"/>
      <c r="AP374" s="337"/>
      <c r="AQ374" s="297" t="s">
        <v>1648</v>
      </c>
      <c r="AR374" s="309"/>
      <c r="AS374" s="67"/>
    </row>
    <row r="375">
      <c r="A375" s="94"/>
      <c r="B375" s="69"/>
      <c r="C375" s="70"/>
      <c r="D375" s="71"/>
      <c r="E375" s="96"/>
      <c r="F375" s="96"/>
      <c r="G375" s="96"/>
      <c r="H375" s="96"/>
      <c r="I375" s="74"/>
      <c r="J375" s="289"/>
      <c r="K375" s="303"/>
      <c r="L375" s="290" t="s">
        <v>348</v>
      </c>
      <c r="M375" s="291" t="s">
        <v>291</v>
      </c>
      <c r="N375" s="292" t="s">
        <v>470</v>
      </c>
      <c r="O375" s="337"/>
      <c r="P375" s="607"/>
      <c r="Q375" s="295" t="s">
        <v>315</v>
      </c>
      <c r="R375" s="608" t="s">
        <v>855</v>
      </c>
      <c r="S375" s="292" t="s">
        <v>919</v>
      </c>
      <c r="T375" s="297" t="s">
        <v>324</v>
      </c>
      <c r="U375" s="297" t="s">
        <v>324</v>
      </c>
      <c r="V375" s="297" t="s">
        <v>324</v>
      </c>
      <c r="W375" s="297" t="s">
        <v>324</v>
      </c>
      <c r="X375" s="297" t="s">
        <v>324</v>
      </c>
      <c r="Y375" s="297" t="s">
        <v>282</v>
      </c>
      <c r="Z375" s="297" t="s">
        <v>324</v>
      </c>
      <c r="AA375" s="297" t="s">
        <v>324</v>
      </c>
      <c r="AB375" s="609"/>
      <c r="AC375" s="610" t="s">
        <v>1008</v>
      </c>
      <c r="AD375" s="328" t="s">
        <v>470</v>
      </c>
      <c r="AE375" s="297" t="s">
        <v>369</v>
      </c>
      <c r="AF375" s="297" t="s">
        <v>315</v>
      </c>
      <c r="AG375" s="297" t="s">
        <v>315</v>
      </c>
      <c r="AH375" s="292" t="s">
        <v>919</v>
      </c>
      <c r="AI375" s="297" t="s">
        <v>443</v>
      </c>
      <c r="AJ375" s="308" t="s">
        <v>1276</v>
      </c>
      <c r="AK375" s="307" t="s">
        <v>324</v>
      </c>
      <c r="AL375" s="299" t="s">
        <v>315</v>
      </c>
      <c r="AM375" s="611" t="s">
        <v>1324</v>
      </c>
      <c r="AN375" s="301" t="s">
        <v>324</v>
      </c>
      <c r="AO375" s="337"/>
      <c r="AP375" s="337"/>
      <c r="AQ375" s="297"/>
      <c r="AR375" s="309"/>
      <c r="AS375" s="67"/>
    </row>
    <row r="376">
      <c r="A376" s="68"/>
      <c r="B376" s="613" t="s">
        <v>1646</v>
      </c>
      <c r="C376" s="70">
        <v>43114.0</v>
      </c>
      <c r="D376" s="71" t="s">
        <v>258</v>
      </c>
      <c r="E376" s="72">
        <v>43576.0</v>
      </c>
      <c r="F376" s="73" t="s">
        <v>280</v>
      </c>
      <c r="G376" s="72">
        <v>43581.0</v>
      </c>
      <c r="H376" s="73" t="s">
        <v>282</v>
      </c>
      <c r="I376" s="128" t="s">
        <v>1649</v>
      </c>
      <c r="J376" s="343" t="s">
        <v>231</v>
      </c>
      <c r="K376" s="304" t="s">
        <v>286</v>
      </c>
      <c r="L376" s="304" t="s">
        <v>322</v>
      </c>
      <c r="M376" s="305" t="s">
        <v>393</v>
      </c>
      <c r="N376" s="293" t="s">
        <v>624</v>
      </c>
      <c r="O376" s="337"/>
      <c r="P376" s="607"/>
      <c r="Q376" s="295" t="s">
        <v>315</v>
      </c>
      <c r="R376" s="608" t="s">
        <v>1650</v>
      </c>
      <c r="S376" s="293" t="s">
        <v>1651</v>
      </c>
      <c r="T376" s="297" t="s">
        <v>324</v>
      </c>
      <c r="U376" s="297" t="s">
        <v>324</v>
      </c>
      <c r="V376" s="297" t="s">
        <v>324</v>
      </c>
      <c r="W376" s="297" t="s">
        <v>324</v>
      </c>
      <c r="X376" s="297" t="s">
        <v>324</v>
      </c>
      <c r="Y376" s="297" t="s">
        <v>282</v>
      </c>
      <c r="Z376" s="297" t="s">
        <v>324</v>
      </c>
      <c r="AA376" s="297" t="s">
        <v>324</v>
      </c>
      <c r="AB376" s="609"/>
      <c r="AC376" s="614"/>
      <c r="AD376" s="615"/>
      <c r="AE376" s="297" t="s">
        <v>315</v>
      </c>
      <c r="AF376" s="297" t="s">
        <v>315</v>
      </c>
      <c r="AG376" s="297" t="s">
        <v>315</v>
      </c>
      <c r="AH376" s="337"/>
      <c r="AI376" s="297" t="s">
        <v>524</v>
      </c>
      <c r="AJ376" s="609"/>
      <c r="AK376" s="307" t="s">
        <v>324</v>
      </c>
      <c r="AL376" s="299" t="s">
        <v>315</v>
      </c>
      <c r="AM376" s="616"/>
      <c r="AN376" s="616"/>
      <c r="AO376" s="337"/>
      <c r="AP376" s="337"/>
      <c r="AQ376" s="337"/>
      <c r="AR376" s="309">
        <v>10.0</v>
      </c>
      <c r="AS376" s="67"/>
    </row>
    <row r="377">
      <c r="A377" s="94"/>
      <c r="B377" s="613"/>
      <c r="C377" s="70"/>
      <c r="D377" s="71"/>
      <c r="E377" s="96"/>
      <c r="F377" s="96"/>
      <c r="G377" s="96"/>
      <c r="H377" s="96"/>
      <c r="I377" s="617"/>
      <c r="J377" s="98"/>
      <c r="K377" s="100"/>
      <c r="L377" s="304"/>
      <c r="M377" s="305"/>
      <c r="N377" s="292"/>
      <c r="O377" s="337"/>
      <c r="P377" s="607"/>
      <c r="Q377" s="295"/>
      <c r="R377" s="608"/>
      <c r="S377" s="292"/>
      <c r="T377" s="297"/>
      <c r="U377" s="297"/>
      <c r="V377" s="297"/>
      <c r="W377" s="297"/>
      <c r="X377" s="297"/>
      <c r="Y377" s="297"/>
      <c r="Z377" s="297"/>
      <c r="AA377" s="297"/>
      <c r="AB377" s="609"/>
      <c r="AC377" s="614"/>
      <c r="AD377" s="615"/>
      <c r="AE377" s="297"/>
      <c r="AF377" s="297"/>
      <c r="AG377" s="297"/>
      <c r="AH377" s="337"/>
      <c r="AI377" s="297" t="s">
        <v>1652</v>
      </c>
      <c r="AJ377" s="618"/>
      <c r="AK377" s="307"/>
      <c r="AL377" s="299"/>
      <c r="AM377" s="619"/>
      <c r="AN377" s="619"/>
      <c r="AO377" s="337"/>
      <c r="AP377" s="337"/>
      <c r="AQ377" s="297" t="s">
        <v>1653</v>
      </c>
      <c r="AR377" s="309"/>
      <c r="AS377" s="67"/>
    </row>
    <row r="378">
      <c r="A378" s="94"/>
      <c r="B378" s="613"/>
      <c r="C378" s="70"/>
      <c r="D378" s="71"/>
      <c r="E378" s="96"/>
      <c r="F378" s="96"/>
      <c r="G378" s="96"/>
      <c r="H378" s="73" t="s">
        <v>1654</v>
      </c>
      <c r="I378" s="617"/>
      <c r="J378" s="98"/>
      <c r="K378" s="100"/>
      <c r="L378" s="304" t="s">
        <v>322</v>
      </c>
      <c r="M378" s="305" t="s">
        <v>393</v>
      </c>
      <c r="N378" s="292" t="s">
        <v>624</v>
      </c>
      <c r="O378" s="337"/>
      <c r="P378" s="607"/>
      <c r="Q378" s="295" t="s">
        <v>315</v>
      </c>
      <c r="R378" s="608"/>
      <c r="S378" s="292"/>
      <c r="T378" s="297" t="s">
        <v>324</v>
      </c>
      <c r="U378" s="297" t="s">
        <v>324</v>
      </c>
      <c r="V378" s="297" t="s">
        <v>324</v>
      </c>
      <c r="W378" s="297" t="s">
        <v>324</v>
      </c>
      <c r="X378" s="297" t="s">
        <v>324</v>
      </c>
      <c r="Y378" s="297" t="s">
        <v>282</v>
      </c>
      <c r="Z378" s="297" t="s">
        <v>324</v>
      </c>
      <c r="AA378" s="297" t="s">
        <v>324</v>
      </c>
      <c r="AB378" s="609"/>
      <c r="AC378" s="614"/>
      <c r="AD378" s="615"/>
      <c r="AE378" s="297" t="s">
        <v>315</v>
      </c>
      <c r="AF378" s="297" t="s">
        <v>315</v>
      </c>
      <c r="AG378" s="297" t="s">
        <v>315</v>
      </c>
      <c r="AH378" s="337"/>
      <c r="AI378" s="297" t="s">
        <v>1242</v>
      </c>
      <c r="AJ378" s="618"/>
      <c r="AK378" s="307" t="s">
        <v>324</v>
      </c>
      <c r="AL378" s="299" t="s">
        <v>315</v>
      </c>
      <c r="AM378" s="619"/>
      <c r="AN378" s="619"/>
      <c r="AO378" s="337"/>
      <c r="AP378" s="337"/>
      <c r="AQ378" s="297"/>
      <c r="AR378" s="309"/>
      <c r="AS378" s="67"/>
    </row>
    <row r="379">
      <c r="A379" s="94"/>
      <c r="B379" s="613" t="s">
        <v>1646</v>
      </c>
      <c r="C379" s="70">
        <v>43114.0</v>
      </c>
      <c r="D379" s="71" t="s">
        <v>258</v>
      </c>
      <c r="E379" s="72">
        <v>43576.0</v>
      </c>
      <c r="F379" s="73" t="s">
        <v>280</v>
      </c>
      <c r="G379" s="72">
        <v>43581.0</v>
      </c>
      <c r="H379" s="73" t="s">
        <v>282</v>
      </c>
      <c r="I379" s="617" t="s">
        <v>1655</v>
      </c>
      <c r="J379" s="620" t="s">
        <v>232</v>
      </c>
      <c r="K379" s="129" t="s">
        <v>1656</v>
      </c>
      <c r="L379" s="621" t="s">
        <v>344</v>
      </c>
      <c r="M379" s="305" t="s">
        <v>1657</v>
      </c>
      <c r="N379" s="292" t="s">
        <v>1658</v>
      </c>
      <c r="O379" s="337"/>
      <c r="P379" s="294" t="s">
        <v>683</v>
      </c>
      <c r="Q379" s="295" t="s">
        <v>369</v>
      </c>
      <c r="R379" s="622"/>
      <c r="S379" s="337"/>
      <c r="T379" s="297" t="s">
        <v>324</v>
      </c>
      <c r="U379" s="297" t="s">
        <v>324</v>
      </c>
      <c r="V379" s="297" t="s">
        <v>324</v>
      </c>
      <c r="W379" s="297" t="s">
        <v>324</v>
      </c>
      <c r="X379" s="297" t="s">
        <v>324</v>
      </c>
      <c r="Y379" s="297" t="s">
        <v>282</v>
      </c>
      <c r="Z379" s="297" t="s">
        <v>324</v>
      </c>
      <c r="AA379" s="297" t="s">
        <v>324</v>
      </c>
      <c r="AB379" s="609"/>
      <c r="AC379" s="610" t="s">
        <v>1009</v>
      </c>
      <c r="AD379" s="328" t="s">
        <v>1070</v>
      </c>
      <c r="AE379" s="297" t="s">
        <v>369</v>
      </c>
      <c r="AF379" s="297" t="s">
        <v>315</v>
      </c>
      <c r="AG379" s="297" t="s">
        <v>369</v>
      </c>
      <c r="AH379" s="337"/>
      <c r="AI379" s="297" t="s">
        <v>524</v>
      </c>
      <c r="AJ379" s="609"/>
      <c r="AK379" s="307" t="s">
        <v>324</v>
      </c>
      <c r="AL379" s="299" t="s">
        <v>315</v>
      </c>
      <c r="AM379" s="619"/>
      <c r="AN379" s="619"/>
      <c r="AO379" s="337"/>
      <c r="AP379" s="337"/>
      <c r="AQ379" s="337"/>
      <c r="AR379" s="309">
        <v>5.0</v>
      </c>
      <c r="AS379" s="67"/>
    </row>
    <row r="380">
      <c r="A380" s="94"/>
      <c r="B380" s="613"/>
      <c r="C380" s="70"/>
      <c r="D380" s="71"/>
      <c r="E380" s="96"/>
      <c r="F380" s="96"/>
      <c r="G380" s="96"/>
      <c r="H380" s="96"/>
      <c r="I380" s="617"/>
      <c r="J380" s="623"/>
      <c r="K380" s="100"/>
      <c r="L380" s="621"/>
      <c r="M380" s="305" t="s">
        <v>406</v>
      </c>
      <c r="N380" s="20" t="s">
        <v>625</v>
      </c>
      <c r="O380" s="337"/>
      <c r="P380" s="294"/>
      <c r="Q380" s="295"/>
      <c r="R380" s="622"/>
      <c r="S380" s="337"/>
      <c r="T380" s="297"/>
      <c r="U380" s="297"/>
      <c r="V380" s="297"/>
      <c r="W380" s="297"/>
      <c r="X380" s="297"/>
      <c r="Y380" s="297"/>
      <c r="Z380" s="297"/>
      <c r="AA380" s="297"/>
      <c r="AB380" s="609"/>
      <c r="AC380" s="610"/>
      <c r="AD380" s="328"/>
      <c r="AE380" s="297"/>
      <c r="AF380" s="297"/>
      <c r="AG380" s="297"/>
      <c r="AH380" s="20" t="s">
        <v>1180</v>
      </c>
      <c r="AI380" s="133" t="s">
        <v>443</v>
      </c>
      <c r="AJ380" s="308" t="s">
        <v>1277</v>
      </c>
      <c r="AK380" s="307" t="s">
        <v>366</v>
      </c>
      <c r="AL380" s="299" t="s">
        <v>369</v>
      </c>
      <c r="AM380" s="619"/>
      <c r="AN380" s="619"/>
      <c r="AO380" s="337"/>
      <c r="AP380" s="337"/>
      <c r="AQ380" s="297" t="s">
        <v>1659</v>
      </c>
      <c r="AR380" s="309"/>
      <c r="AS380" s="67"/>
    </row>
    <row r="381">
      <c r="A381" s="94"/>
      <c r="B381" s="613"/>
      <c r="C381" s="70"/>
      <c r="D381" s="71"/>
      <c r="E381" s="96"/>
      <c r="F381" s="96"/>
      <c r="G381" s="96"/>
      <c r="H381" s="96"/>
      <c r="I381" s="617"/>
      <c r="J381" s="623"/>
      <c r="K381" s="100"/>
      <c r="L381" s="621" t="s">
        <v>344</v>
      </c>
      <c r="M381" s="305" t="s">
        <v>406</v>
      </c>
      <c r="N381" s="20" t="s">
        <v>625</v>
      </c>
      <c r="O381" s="337"/>
      <c r="P381" s="294" t="s">
        <v>683</v>
      </c>
      <c r="Q381" s="295" t="s">
        <v>369</v>
      </c>
      <c r="R381" s="622"/>
      <c r="S381" s="337"/>
      <c r="T381" s="297" t="s">
        <v>324</v>
      </c>
      <c r="U381" s="297" t="s">
        <v>324</v>
      </c>
      <c r="V381" s="297" t="s">
        <v>324</v>
      </c>
      <c r="W381" s="297" t="s">
        <v>324</v>
      </c>
      <c r="X381" s="297" t="s">
        <v>324</v>
      </c>
      <c r="Y381" s="297" t="s">
        <v>282</v>
      </c>
      <c r="Z381" s="297" t="s">
        <v>324</v>
      </c>
      <c r="AA381" s="297" t="s">
        <v>324</v>
      </c>
      <c r="AB381" s="609"/>
      <c r="AC381" s="610" t="s">
        <v>1009</v>
      </c>
      <c r="AD381" s="328" t="s">
        <v>1070</v>
      </c>
      <c r="AE381" s="297" t="s">
        <v>369</v>
      </c>
      <c r="AF381" s="297" t="s">
        <v>315</v>
      </c>
      <c r="AG381" s="297" t="s">
        <v>369</v>
      </c>
      <c r="AH381" s="20" t="s">
        <v>1180</v>
      </c>
      <c r="AI381" s="133" t="s">
        <v>443</v>
      </c>
      <c r="AJ381" s="308" t="s">
        <v>1277</v>
      </c>
      <c r="AK381" s="307" t="s">
        <v>366</v>
      </c>
      <c r="AL381" s="299" t="s">
        <v>369</v>
      </c>
      <c r="AM381" s="619"/>
      <c r="AN381" s="619"/>
      <c r="AO381" s="337"/>
      <c r="AP381" s="337"/>
      <c r="AQ381" s="297"/>
      <c r="AR381" s="309"/>
      <c r="AS381" s="67"/>
    </row>
    <row r="382">
      <c r="A382" s="94"/>
      <c r="B382" s="613" t="s">
        <v>1646</v>
      </c>
      <c r="C382" s="70">
        <v>43114.0</v>
      </c>
      <c r="D382" s="71" t="s">
        <v>258</v>
      </c>
      <c r="E382" s="72">
        <v>43576.0</v>
      </c>
      <c r="F382" s="73" t="s">
        <v>280</v>
      </c>
      <c r="G382" s="72">
        <v>43581.0</v>
      </c>
      <c r="H382" s="72"/>
      <c r="I382" s="128" t="s">
        <v>1660</v>
      </c>
      <c r="J382" s="623" t="s">
        <v>233</v>
      </c>
      <c r="K382" s="129" t="s">
        <v>933</v>
      </c>
      <c r="L382" s="621" t="s">
        <v>349</v>
      </c>
      <c r="M382" s="305" t="s">
        <v>315</v>
      </c>
      <c r="N382" s="337"/>
      <c r="O382" s="337"/>
      <c r="P382" s="607"/>
      <c r="Q382" s="295" t="s">
        <v>315</v>
      </c>
      <c r="R382" s="622"/>
      <c r="S382" s="337"/>
      <c r="T382" s="297" t="s">
        <v>324</v>
      </c>
      <c r="U382" s="297" t="s">
        <v>324</v>
      </c>
      <c r="V382" s="297" t="s">
        <v>324</v>
      </c>
      <c r="W382" s="297" t="s">
        <v>324</v>
      </c>
      <c r="X382" s="297" t="s">
        <v>324</v>
      </c>
      <c r="Y382" s="297" t="s">
        <v>324</v>
      </c>
      <c r="Z382" s="297" t="s">
        <v>324</v>
      </c>
      <c r="AA382" s="297" t="s">
        <v>324</v>
      </c>
      <c r="AB382" s="609"/>
      <c r="AC382" s="614"/>
      <c r="AD382" s="615"/>
      <c r="AE382" s="297" t="s">
        <v>315</v>
      </c>
      <c r="AF382" s="297" t="s">
        <v>315</v>
      </c>
      <c r="AG382" s="297" t="s">
        <v>315</v>
      </c>
      <c r="AH382" s="292" t="s">
        <v>1182</v>
      </c>
      <c r="AI382" s="297" t="s">
        <v>443</v>
      </c>
      <c r="AJ382" s="624" t="s">
        <v>1278</v>
      </c>
      <c r="AK382" s="625" t="s">
        <v>1661</v>
      </c>
      <c r="AL382" s="299" t="s">
        <v>315</v>
      </c>
      <c r="AM382" s="619"/>
      <c r="AN382" s="619"/>
      <c r="AO382" s="337"/>
      <c r="AP382" s="337"/>
      <c r="AQ382" s="337"/>
      <c r="AR382" s="309">
        <v>10.0</v>
      </c>
      <c r="AS382" s="67"/>
    </row>
    <row r="383">
      <c r="A383" s="94"/>
      <c r="B383" s="613"/>
      <c r="C383" s="70"/>
      <c r="D383" s="71"/>
      <c r="E383" s="96"/>
      <c r="F383" s="96"/>
      <c r="G383" s="96"/>
      <c r="H383" s="96"/>
      <c r="I383" s="128"/>
      <c r="J383" s="623"/>
      <c r="K383" s="100"/>
      <c r="L383" s="621"/>
      <c r="M383" s="305"/>
      <c r="N383" s="337"/>
      <c r="O383" s="337"/>
      <c r="P383" s="607"/>
      <c r="Q383" s="295"/>
      <c r="R383" s="622"/>
      <c r="S383" s="337"/>
      <c r="T383" s="297"/>
      <c r="U383" s="297"/>
      <c r="V383" s="297"/>
      <c r="W383" s="297"/>
      <c r="X383" s="297"/>
      <c r="Y383" s="297"/>
      <c r="Z383" s="297"/>
      <c r="AA383" s="297"/>
      <c r="AB383" s="609"/>
      <c r="AC383" s="614"/>
      <c r="AD383" s="615"/>
      <c r="AE383" s="297"/>
      <c r="AF383" s="297"/>
      <c r="AG383" s="297"/>
      <c r="AH383" s="292"/>
      <c r="AI383" s="297"/>
      <c r="AJ383" s="626"/>
      <c r="AK383" s="307" t="s">
        <v>366</v>
      </c>
      <c r="AL383" s="299"/>
      <c r="AM383" s="619"/>
      <c r="AN383" s="619"/>
      <c r="AO383" s="337"/>
      <c r="AP383" s="337"/>
      <c r="AQ383" s="297" t="s">
        <v>1662</v>
      </c>
      <c r="AR383" s="309"/>
      <c r="AS383" s="67"/>
    </row>
    <row r="384">
      <c r="A384" s="94"/>
      <c r="B384" s="613"/>
      <c r="C384" s="70"/>
      <c r="D384" s="71"/>
      <c r="E384" s="96"/>
      <c r="F384" s="96"/>
      <c r="G384" s="96"/>
      <c r="H384" s="96"/>
      <c r="I384" s="128"/>
      <c r="J384" s="623"/>
      <c r="K384" s="100"/>
      <c r="L384" s="621" t="s">
        <v>349</v>
      </c>
      <c r="M384" s="305" t="s">
        <v>315</v>
      </c>
      <c r="N384" s="337"/>
      <c r="O384" s="337"/>
      <c r="P384" s="607"/>
      <c r="Q384" s="295" t="s">
        <v>315</v>
      </c>
      <c r="R384" s="622"/>
      <c r="S384" s="337"/>
      <c r="T384" s="297" t="s">
        <v>324</v>
      </c>
      <c r="U384" s="297" t="s">
        <v>324</v>
      </c>
      <c r="V384" s="297" t="s">
        <v>324</v>
      </c>
      <c r="W384" s="297" t="s">
        <v>324</v>
      </c>
      <c r="X384" s="297" t="s">
        <v>324</v>
      </c>
      <c r="Y384" s="297" t="s">
        <v>324</v>
      </c>
      <c r="Z384" s="297" t="s">
        <v>324</v>
      </c>
      <c r="AA384" s="297" t="s">
        <v>324</v>
      </c>
      <c r="AB384" s="609"/>
      <c r="AC384" s="614"/>
      <c r="AD384" s="615"/>
      <c r="AE384" s="297" t="s">
        <v>315</v>
      </c>
      <c r="AF384" s="297" t="s">
        <v>315</v>
      </c>
      <c r="AG384" s="297" t="s">
        <v>315</v>
      </c>
      <c r="AH384" s="292" t="s">
        <v>1182</v>
      </c>
      <c r="AI384" s="297" t="s">
        <v>443</v>
      </c>
      <c r="AJ384" s="624" t="s">
        <v>1278</v>
      </c>
      <c r="AK384" s="307" t="s">
        <v>366</v>
      </c>
      <c r="AL384" s="299" t="s">
        <v>315</v>
      </c>
      <c r="AM384" s="619"/>
      <c r="AN384" s="619"/>
      <c r="AO384" s="337"/>
      <c r="AP384" s="337"/>
      <c r="AQ384" s="297"/>
      <c r="AR384" s="309"/>
      <c r="AS384" s="67"/>
    </row>
    <row r="385">
      <c r="A385" s="94"/>
      <c r="B385" s="613" t="s">
        <v>1646</v>
      </c>
      <c r="C385" s="70">
        <v>43114.0</v>
      </c>
      <c r="D385" s="71" t="s">
        <v>258</v>
      </c>
      <c r="E385" s="72">
        <v>43576.0</v>
      </c>
      <c r="F385" s="73" t="s">
        <v>280</v>
      </c>
      <c r="G385" s="72">
        <v>43581.0</v>
      </c>
      <c r="H385" s="72"/>
      <c r="I385" s="617" t="s">
        <v>1663</v>
      </c>
      <c r="J385" s="623" t="s">
        <v>234</v>
      </c>
      <c r="K385" s="100"/>
      <c r="L385" s="621" t="s">
        <v>350</v>
      </c>
      <c r="M385" s="305" t="s">
        <v>315</v>
      </c>
      <c r="N385" s="337"/>
      <c r="O385" s="337"/>
      <c r="P385" s="607"/>
      <c r="Q385" s="295" t="s">
        <v>315</v>
      </c>
      <c r="R385" s="622"/>
      <c r="S385" s="337"/>
      <c r="T385" s="297" t="s">
        <v>324</v>
      </c>
      <c r="U385" s="297" t="s">
        <v>324</v>
      </c>
      <c r="V385" s="297" t="s">
        <v>324</v>
      </c>
      <c r="W385" s="297" t="s">
        <v>324</v>
      </c>
      <c r="X385" s="297" t="s">
        <v>324</v>
      </c>
      <c r="Y385" s="297" t="s">
        <v>324</v>
      </c>
      <c r="Z385" s="297" t="s">
        <v>324</v>
      </c>
      <c r="AA385" s="297" t="s">
        <v>324</v>
      </c>
      <c r="AB385" s="609"/>
      <c r="AC385" s="614"/>
      <c r="AD385" s="615"/>
      <c r="AE385" s="297" t="s">
        <v>315</v>
      </c>
      <c r="AF385" s="297" t="s">
        <v>315</v>
      </c>
      <c r="AG385" s="297" t="s">
        <v>315</v>
      </c>
      <c r="AH385" s="337"/>
      <c r="AI385" s="297" t="s">
        <v>524</v>
      </c>
      <c r="AJ385" s="609"/>
      <c r="AK385" s="307" t="s">
        <v>324</v>
      </c>
      <c r="AL385" s="299" t="s">
        <v>315</v>
      </c>
      <c r="AM385" s="619"/>
      <c r="AN385" s="619"/>
      <c r="AO385" s="337"/>
      <c r="AP385" s="337"/>
      <c r="AQ385" s="297" t="s">
        <v>1664</v>
      </c>
      <c r="AR385" s="309">
        <v>5.0</v>
      </c>
      <c r="AS385" s="67"/>
    </row>
    <row r="386">
      <c r="A386" s="94"/>
      <c r="B386" s="613"/>
      <c r="C386" s="70"/>
      <c r="D386" s="71"/>
      <c r="E386" s="96"/>
      <c r="F386" s="96"/>
      <c r="G386" s="96"/>
      <c r="H386" s="96"/>
      <c r="I386" s="617"/>
      <c r="J386" s="623"/>
      <c r="K386" s="100"/>
      <c r="L386" s="621"/>
      <c r="M386" s="305"/>
      <c r="N386" s="337"/>
      <c r="O386" s="337"/>
      <c r="P386" s="607"/>
      <c r="Q386" s="295"/>
      <c r="R386" s="622"/>
      <c r="S386" s="337"/>
      <c r="T386" s="297"/>
      <c r="U386" s="297"/>
      <c r="V386" s="297"/>
      <c r="W386" s="297"/>
      <c r="X386" s="297"/>
      <c r="Y386" s="297"/>
      <c r="Z386" s="297"/>
      <c r="AA386" s="297"/>
      <c r="AB386" s="609"/>
      <c r="AC386" s="614"/>
      <c r="AD386" s="615"/>
      <c r="AE386" s="297"/>
      <c r="AF386" s="297"/>
      <c r="AG386" s="297"/>
      <c r="AH386" s="337"/>
      <c r="AI386" s="297"/>
      <c r="AJ386" s="609"/>
      <c r="AK386" s="307" t="s">
        <v>713</v>
      </c>
      <c r="AL386" s="299"/>
      <c r="AM386" s="619"/>
      <c r="AN386" s="619"/>
      <c r="AO386" s="337"/>
      <c r="AP386" s="337"/>
      <c r="AQ386" s="297" t="s">
        <v>1665</v>
      </c>
      <c r="AR386" s="309"/>
      <c r="AS386" s="67"/>
    </row>
    <row r="387">
      <c r="A387" s="94"/>
      <c r="B387" s="613"/>
      <c r="C387" s="70"/>
      <c r="D387" s="71"/>
      <c r="E387" s="96"/>
      <c r="F387" s="96"/>
      <c r="G387" s="96"/>
      <c r="H387" s="73"/>
      <c r="I387" s="617"/>
      <c r="J387" s="623"/>
      <c r="K387" s="100"/>
      <c r="L387" s="621" t="s">
        <v>350</v>
      </c>
      <c r="M387" s="305" t="s">
        <v>315</v>
      </c>
      <c r="N387" s="337"/>
      <c r="O387" s="85"/>
      <c r="P387" s="607"/>
      <c r="Q387" s="295" t="s">
        <v>315</v>
      </c>
      <c r="R387" s="622"/>
      <c r="S387" s="337"/>
      <c r="T387" s="297" t="s">
        <v>324</v>
      </c>
      <c r="U387" s="297" t="s">
        <v>324</v>
      </c>
      <c r="V387" s="297" t="s">
        <v>324</v>
      </c>
      <c r="W387" s="297" t="s">
        <v>324</v>
      </c>
      <c r="X387" s="297" t="s">
        <v>324</v>
      </c>
      <c r="Y387" s="297" t="s">
        <v>324</v>
      </c>
      <c r="Z387" s="297" t="s">
        <v>324</v>
      </c>
      <c r="AA387" s="297" t="s">
        <v>324</v>
      </c>
      <c r="AB387" s="609"/>
      <c r="AC387" s="614"/>
      <c r="AD387" s="615"/>
      <c r="AE387" s="297" t="s">
        <v>315</v>
      </c>
      <c r="AF387" s="297" t="s">
        <v>315</v>
      </c>
      <c r="AG387" s="297" t="s">
        <v>315</v>
      </c>
      <c r="AH387" s="337"/>
      <c r="AI387" s="297" t="s">
        <v>524</v>
      </c>
      <c r="AJ387" s="609"/>
      <c r="AK387" s="307" t="s">
        <v>713</v>
      </c>
      <c r="AL387" s="299" t="s">
        <v>315</v>
      </c>
      <c r="AM387" s="619"/>
      <c r="AN387" s="619"/>
      <c r="AO387" s="337"/>
      <c r="AP387" s="337"/>
      <c r="AQ387" s="297"/>
      <c r="AR387" s="309"/>
      <c r="AS387" s="67"/>
    </row>
    <row r="388">
      <c r="A388" s="68"/>
      <c r="B388" s="613" t="s">
        <v>1646</v>
      </c>
      <c r="C388" s="70">
        <v>43114.0</v>
      </c>
      <c r="D388" s="71" t="s">
        <v>258</v>
      </c>
      <c r="E388" s="72">
        <v>43576.0</v>
      </c>
      <c r="F388" s="73" t="s">
        <v>280</v>
      </c>
      <c r="G388" s="72">
        <v>43581.0</v>
      </c>
      <c r="H388" s="73" t="s">
        <v>282</v>
      </c>
      <c r="I388" s="627" t="s">
        <v>1666</v>
      </c>
      <c r="J388" s="628" t="s">
        <v>235</v>
      </c>
      <c r="K388" s="129" t="s">
        <v>789</v>
      </c>
      <c r="L388" s="621" t="s">
        <v>351</v>
      </c>
      <c r="M388" s="305" t="s">
        <v>291</v>
      </c>
      <c r="N388" s="293" t="s">
        <v>630</v>
      </c>
      <c r="O388" s="629"/>
      <c r="P388" s="607"/>
      <c r="Q388" s="295" t="s">
        <v>315</v>
      </c>
      <c r="R388" s="622"/>
      <c r="S388" s="337"/>
      <c r="T388" s="297" t="s">
        <v>324</v>
      </c>
      <c r="U388" s="297" t="s">
        <v>324</v>
      </c>
      <c r="V388" s="297" t="s">
        <v>324</v>
      </c>
      <c r="W388" s="297" t="s">
        <v>324</v>
      </c>
      <c r="X388" s="297" t="s">
        <v>324</v>
      </c>
      <c r="Y388" s="297" t="s">
        <v>324</v>
      </c>
      <c r="Z388" s="297" t="s">
        <v>324</v>
      </c>
      <c r="AA388" s="297" t="s">
        <v>324</v>
      </c>
      <c r="AB388" s="609"/>
      <c r="AC388" s="610" t="s">
        <v>1010</v>
      </c>
      <c r="AD388" s="345" t="s">
        <v>630</v>
      </c>
      <c r="AE388" s="297" t="s">
        <v>369</v>
      </c>
      <c r="AF388" s="297" t="s">
        <v>315</v>
      </c>
      <c r="AG388" s="297" t="s">
        <v>315</v>
      </c>
      <c r="AH388" s="337"/>
      <c r="AI388" s="297" t="s">
        <v>524</v>
      </c>
      <c r="AJ388" s="609"/>
      <c r="AK388" s="307" t="s">
        <v>324</v>
      </c>
      <c r="AL388" s="299" t="s">
        <v>315</v>
      </c>
      <c r="AM388" s="616"/>
      <c r="AN388" s="616"/>
      <c r="AO388" s="337"/>
      <c r="AP388" s="337"/>
      <c r="AQ388" s="337"/>
      <c r="AR388" s="309">
        <v>10.0</v>
      </c>
      <c r="AS388" s="67"/>
    </row>
    <row r="389">
      <c r="A389" s="94"/>
      <c r="B389" s="613"/>
      <c r="C389" s="70"/>
      <c r="D389" s="71"/>
      <c r="E389" s="96"/>
      <c r="F389" s="96"/>
      <c r="G389" s="96"/>
      <c r="H389" s="96"/>
      <c r="I389" s="627"/>
      <c r="J389" s="623"/>
      <c r="K389" s="100"/>
      <c r="L389" s="621"/>
      <c r="M389" s="305"/>
      <c r="N389" s="292"/>
      <c r="O389" s="297" t="s">
        <v>1667</v>
      </c>
      <c r="P389" s="20" t="s">
        <v>803</v>
      </c>
      <c r="Q389" s="295"/>
      <c r="R389" s="622"/>
      <c r="S389" s="337"/>
      <c r="T389" s="297"/>
      <c r="U389" s="297"/>
      <c r="V389" s="297"/>
      <c r="W389" s="297"/>
      <c r="X389" s="297"/>
      <c r="Y389" s="297" t="s">
        <v>282</v>
      </c>
      <c r="Z389" s="297"/>
      <c r="AA389" s="297"/>
      <c r="AB389" s="609"/>
      <c r="AC389" s="610"/>
      <c r="AD389" s="328"/>
      <c r="AE389" s="297"/>
      <c r="AF389" s="297"/>
      <c r="AG389" s="297"/>
      <c r="AH389" s="337"/>
      <c r="AI389" s="297"/>
      <c r="AJ389" s="609"/>
      <c r="AK389" s="307"/>
      <c r="AL389" s="299"/>
      <c r="AM389" s="619"/>
      <c r="AN389" s="619"/>
      <c r="AO389" s="337"/>
      <c r="AP389" s="337"/>
      <c r="AQ389" s="337"/>
      <c r="AR389" s="309"/>
      <c r="AS389" s="67"/>
    </row>
    <row r="390">
      <c r="A390" s="94"/>
      <c r="B390" s="613"/>
      <c r="C390" s="70"/>
      <c r="D390" s="71"/>
      <c r="E390" s="96"/>
      <c r="F390" s="96"/>
      <c r="G390" s="96"/>
      <c r="H390" s="73" t="s">
        <v>1668</v>
      </c>
      <c r="I390" s="627"/>
      <c r="J390" s="623"/>
      <c r="K390" s="100"/>
      <c r="L390" s="621" t="s">
        <v>351</v>
      </c>
      <c r="M390" s="305" t="s">
        <v>291</v>
      </c>
      <c r="N390" s="292" t="s">
        <v>630</v>
      </c>
      <c r="O390" s="297"/>
      <c r="P390" s="20" t="s">
        <v>803</v>
      </c>
      <c r="Q390" s="295" t="s">
        <v>315</v>
      </c>
      <c r="R390" s="622"/>
      <c r="S390" s="337"/>
      <c r="T390" s="297" t="s">
        <v>324</v>
      </c>
      <c r="U390" s="297" t="s">
        <v>324</v>
      </c>
      <c r="V390" s="297" t="s">
        <v>324</v>
      </c>
      <c r="W390" s="297" t="s">
        <v>324</v>
      </c>
      <c r="X390" s="630" t="s">
        <v>324</v>
      </c>
      <c r="Y390" s="630" t="s">
        <v>327</v>
      </c>
      <c r="Z390" s="630" t="s">
        <v>324</v>
      </c>
      <c r="AA390" s="630" t="s">
        <v>324</v>
      </c>
      <c r="AB390" s="631"/>
      <c r="AC390" s="632" t="s">
        <v>1010</v>
      </c>
      <c r="AD390" s="633" t="s">
        <v>630</v>
      </c>
      <c r="AE390" s="630" t="s">
        <v>369</v>
      </c>
      <c r="AF390" s="630" t="s">
        <v>315</v>
      </c>
      <c r="AG390" s="630" t="s">
        <v>315</v>
      </c>
      <c r="AH390" s="634"/>
      <c r="AI390" s="630" t="s">
        <v>524</v>
      </c>
      <c r="AJ390" s="631"/>
      <c r="AK390" s="635" t="s">
        <v>324</v>
      </c>
      <c r="AL390" s="636" t="s">
        <v>315</v>
      </c>
      <c r="AM390" s="619"/>
      <c r="AN390" s="619"/>
      <c r="AO390" s="337"/>
      <c r="AP390" s="337"/>
      <c r="AQ390" s="337"/>
      <c r="AR390" s="309"/>
      <c r="AS390" s="67"/>
    </row>
    <row r="391">
      <c r="A391" s="94"/>
      <c r="B391" s="613" t="s">
        <v>1646</v>
      </c>
      <c r="C391" s="70">
        <v>43114.0</v>
      </c>
      <c r="D391" s="71" t="s">
        <v>258</v>
      </c>
      <c r="E391" s="72">
        <v>43575.0</v>
      </c>
      <c r="F391" s="73" t="s">
        <v>280</v>
      </c>
      <c r="G391" s="72">
        <v>43581.0</v>
      </c>
      <c r="H391" s="73" t="s">
        <v>282</v>
      </c>
      <c r="I391" s="637" t="s">
        <v>1669</v>
      </c>
      <c r="J391" s="638" t="s">
        <v>236</v>
      </c>
      <c r="K391" s="100"/>
      <c r="L391" s="621" t="s">
        <v>353</v>
      </c>
      <c r="M391" s="305" t="s">
        <v>291</v>
      </c>
      <c r="N391" s="292" t="s">
        <v>631</v>
      </c>
      <c r="O391" s="337"/>
      <c r="P391" s="607"/>
      <c r="Q391" s="295" t="s">
        <v>315</v>
      </c>
      <c r="R391" s="608" t="s">
        <v>856</v>
      </c>
      <c r="S391" s="292" t="s">
        <v>921</v>
      </c>
      <c r="T391" s="297" t="s">
        <v>324</v>
      </c>
      <c r="U391" s="297" t="s">
        <v>324</v>
      </c>
      <c r="V391" s="297" t="s">
        <v>324</v>
      </c>
      <c r="W391" s="297" t="s">
        <v>324</v>
      </c>
      <c r="X391" s="297" t="s">
        <v>324</v>
      </c>
      <c r="Y391" s="297" t="s">
        <v>282</v>
      </c>
      <c r="Z391" s="297" t="s">
        <v>324</v>
      </c>
      <c r="AA391" s="297" t="s">
        <v>324</v>
      </c>
      <c r="AB391" s="609"/>
      <c r="AC391" s="610" t="s">
        <v>1011</v>
      </c>
      <c r="AD391" s="328" t="s">
        <v>631</v>
      </c>
      <c r="AE391" s="297" t="s">
        <v>369</v>
      </c>
      <c r="AF391" s="297" t="s">
        <v>315</v>
      </c>
      <c r="AG391" s="297" t="s">
        <v>315</v>
      </c>
      <c r="AH391" s="337"/>
      <c r="AI391" s="297" t="s">
        <v>524</v>
      </c>
      <c r="AJ391" s="609"/>
      <c r="AK391" s="307" t="s">
        <v>324</v>
      </c>
      <c r="AL391" s="299" t="s">
        <v>315</v>
      </c>
      <c r="AM391" s="619"/>
      <c r="AN391" s="619"/>
      <c r="AO391" s="337"/>
      <c r="AP391" s="337"/>
      <c r="AQ391" s="337"/>
      <c r="AR391" s="309">
        <v>5.0</v>
      </c>
      <c r="AS391" s="25" t="s">
        <v>1670</v>
      </c>
    </row>
    <row r="392">
      <c r="A392" s="94"/>
      <c r="B392" s="613"/>
      <c r="C392" s="70"/>
      <c r="D392" s="71"/>
      <c r="E392" s="96"/>
      <c r="F392" s="96"/>
      <c r="G392" s="96"/>
      <c r="H392" s="96"/>
      <c r="I392" s="637"/>
      <c r="J392" s="623"/>
      <c r="K392" s="100"/>
      <c r="L392" s="621"/>
      <c r="M392" s="305" t="s">
        <v>407</v>
      </c>
      <c r="N392" s="292"/>
      <c r="O392" s="337"/>
      <c r="P392" s="607"/>
      <c r="Q392" s="295"/>
      <c r="R392" s="608"/>
      <c r="S392" s="292"/>
      <c r="T392" s="297"/>
      <c r="U392" s="297"/>
      <c r="V392" s="297"/>
      <c r="W392" s="297"/>
      <c r="X392" s="297"/>
      <c r="Y392" s="297"/>
      <c r="Z392" s="297"/>
      <c r="AA392" s="297"/>
      <c r="AB392" s="609"/>
      <c r="AC392" s="610"/>
      <c r="AD392" s="328"/>
      <c r="AE392" s="297"/>
      <c r="AF392" s="297"/>
      <c r="AG392" s="297"/>
      <c r="AH392" s="337"/>
      <c r="AI392" s="297"/>
      <c r="AJ392" s="609"/>
      <c r="AK392" s="307"/>
      <c r="AL392" s="299"/>
      <c r="AM392" s="619"/>
      <c r="AN392" s="619"/>
      <c r="AO392" s="337"/>
      <c r="AP392" s="337"/>
      <c r="AQ392" s="337"/>
      <c r="AR392" s="309"/>
      <c r="AS392" s="67"/>
    </row>
    <row r="393">
      <c r="A393" s="94"/>
      <c r="B393" s="613"/>
      <c r="C393" s="70"/>
      <c r="D393" s="71"/>
      <c r="E393" s="96"/>
      <c r="F393" s="96"/>
      <c r="G393" s="96"/>
      <c r="H393" s="96"/>
      <c r="I393" s="637"/>
      <c r="J393" s="623"/>
      <c r="K393" s="100"/>
      <c r="L393" s="621" t="s">
        <v>353</v>
      </c>
      <c r="M393" s="305" t="s">
        <v>407</v>
      </c>
      <c r="N393" s="292" t="s">
        <v>631</v>
      </c>
      <c r="O393" s="337"/>
      <c r="P393" s="607"/>
      <c r="Q393" s="295" t="s">
        <v>315</v>
      </c>
      <c r="R393" s="608" t="s">
        <v>856</v>
      </c>
      <c r="S393" s="292" t="s">
        <v>921</v>
      </c>
      <c r="T393" s="297" t="s">
        <v>324</v>
      </c>
      <c r="U393" s="297" t="s">
        <v>324</v>
      </c>
      <c r="V393" s="297" t="s">
        <v>324</v>
      </c>
      <c r="W393" s="297" t="s">
        <v>324</v>
      </c>
      <c r="X393" s="297" t="s">
        <v>324</v>
      </c>
      <c r="Y393" s="297" t="s">
        <v>282</v>
      </c>
      <c r="Z393" s="297" t="s">
        <v>324</v>
      </c>
      <c r="AA393" s="297" t="s">
        <v>324</v>
      </c>
      <c r="AB393" s="609"/>
      <c r="AC393" s="610" t="s">
        <v>1011</v>
      </c>
      <c r="AD393" s="328" t="s">
        <v>631</v>
      </c>
      <c r="AE393" s="297" t="s">
        <v>369</v>
      </c>
      <c r="AF393" s="297" t="s">
        <v>315</v>
      </c>
      <c r="AG393" s="297" t="s">
        <v>315</v>
      </c>
      <c r="AH393" s="337"/>
      <c r="AI393" s="297" t="s">
        <v>524</v>
      </c>
      <c r="AJ393" s="609"/>
      <c r="AK393" s="307" t="s">
        <v>324</v>
      </c>
      <c r="AL393" s="299" t="s">
        <v>315</v>
      </c>
      <c r="AM393" s="619"/>
      <c r="AN393" s="619"/>
      <c r="AO393" s="337"/>
      <c r="AP393" s="337"/>
      <c r="AQ393" s="337"/>
      <c r="AR393" s="309"/>
      <c r="AS393" s="67"/>
    </row>
    <row r="394">
      <c r="A394" s="94"/>
      <c r="B394" s="613" t="s">
        <v>1646</v>
      </c>
      <c r="C394" s="70">
        <v>43114.0</v>
      </c>
      <c r="D394" s="71" t="s">
        <v>258</v>
      </c>
      <c r="E394" s="72">
        <v>43575.0</v>
      </c>
      <c r="F394" s="73" t="s">
        <v>280</v>
      </c>
      <c r="G394" s="72">
        <v>43581.0</v>
      </c>
      <c r="H394" s="73" t="s">
        <v>282</v>
      </c>
      <c r="I394" s="639" t="s">
        <v>1671</v>
      </c>
      <c r="J394" s="623" t="s">
        <v>237</v>
      </c>
      <c r="K394" s="129" t="s">
        <v>770</v>
      </c>
      <c r="L394" s="621" t="s">
        <v>347</v>
      </c>
      <c r="M394" s="305" t="s">
        <v>393</v>
      </c>
      <c r="N394" s="292" t="s">
        <v>634</v>
      </c>
      <c r="O394" s="337"/>
      <c r="P394" s="607"/>
      <c r="Q394" s="295" t="s">
        <v>315</v>
      </c>
      <c r="R394" s="622"/>
      <c r="S394" s="337"/>
      <c r="T394" s="297" t="s">
        <v>324</v>
      </c>
      <c r="U394" s="297" t="s">
        <v>324</v>
      </c>
      <c r="V394" s="297" t="s">
        <v>324</v>
      </c>
      <c r="W394" s="297" t="s">
        <v>324</v>
      </c>
      <c r="X394" s="297" t="s">
        <v>324</v>
      </c>
      <c r="Y394" s="297" t="s">
        <v>282</v>
      </c>
      <c r="Z394" s="297" t="s">
        <v>324</v>
      </c>
      <c r="AA394" s="297" t="s">
        <v>324</v>
      </c>
      <c r="AB394" s="609"/>
      <c r="AC394" s="614"/>
      <c r="AD394" s="615"/>
      <c r="AE394" s="297" t="s">
        <v>315</v>
      </c>
      <c r="AF394" s="297" t="s">
        <v>315</v>
      </c>
      <c r="AG394" s="297" t="s">
        <v>315</v>
      </c>
      <c r="AH394" s="337"/>
      <c r="AI394" s="297" t="s">
        <v>524</v>
      </c>
      <c r="AJ394" s="609"/>
      <c r="AK394" s="307" t="s">
        <v>324</v>
      </c>
      <c r="AL394" s="299" t="s">
        <v>315</v>
      </c>
      <c r="AM394" s="619"/>
      <c r="AN394" s="619"/>
      <c r="AO394" s="337"/>
      <c r="AP394" s="337"/>
      <c r="AQ394" s="337"/>
      <c r="AR394" s="309"/>
      <c r="AS394" s="67"/>
    </row>
    <row r="395">
      <c r="A395" s="94"/>
      <c r="B395" s="613"/>
      <c r="C395" s="70"/>
      <c r="D395" s="71"/>
      <c r="E395" s="96"/>
      <c r="F395" s="96"/>
      <c r="G395" s="96"/>
      <c r="H395" s="96"/>
      <c r="I395" s="639"/>
      <c r="J395" s="623"/>
      <c r="K395" s="100"/>
      <c r="L395" s="621"/>
      <c r="M395" s="305"/>
      <c r="N395" s="292"/>
      <c r="O395" s="337"/>
      <c r="P395" s="607"/>
      <c r="Q395" s="295"/>
      <c r="R395" s="622"/>
      <c r="S395" s="337"/>
      <c r="T395" s="297"/>
      <c r="U395" s="297"/>
      <c r="V395" s="297"/>
      <c r="W395" s="297"/>
      <c r="X395" s="297"/>
      <c r="Y395" s="297"/>
      <c r="Z395" s="297"/>
      <c r="AA395" s="297"/>
      <c r="AB395" s="609"/>
      <c r="AC395" s="614"/>
      <c r="AD395" s="615"/>
      <c r="AE395" s="297"/>
      <c r="AF395" s="297"/>
      <c r="AG395" s="297"/>
      <c r="AH395" s="337"/>
      <c r="AI395" s="297"/>
      <c r="AJ395" s="609"/>
      <c r="AK395" s="133" t="s">
        <v>706</v>
      </c>
      <c r="AL395" s="299"/>
      <c r="AM395" s="619"/>
      <c r="AN395" s="619"/>
      <c r="AO395" s="337"/>
      <c r="AP395" s="337"/>
      <c r="AQ395" s="85"/>
      <c r="AR395" s="309"/>
      <c r="AS395" s="25" t="s">
        <v>1672</v>
      </c>
    </row>
    <row r="396">
      <c r="A396" s="94"/>
      <c r="B396" s="613"/>
      <c r="C396" s="70"/>
      <c r="D396" s="71"/>
      <c r="E396" s="96"/>
      <c r="F396" s="96"/>
      <c r="G396" s="96"/>
      <c r="H396" s="73"/>
      <c r="I396" s="639"/>
      <c r="J396" s="623"/>
      <c r="K396" s="100"/>
      <c r="L396" s="621" t="s">
        <v>347</v>
      </c>
      <c r="M396" s="305" t="s">
        <v>393</v>
      </c>
      <c r="N396" s="292" t="s">
        <v>634</v>
      </c>
      <c r="O396" s="337"/>
      <c r="P396" s="607"/>
      <c r="Q396" s="295" t="s">
        <v>315</v>
      </c>
      <c r="R396" s="622"/>
      <c r="S396" s="337"/>
      <c r="T396" s="297" t="s">
        <v>324</v>
      </c>
      <c r="U396" s="297" t="s">
        <v>324</v>
      </c>
      <c r="V396" s="297" t="s">
        <v>324</v>
      </c>
      <c r="W396" s="297" t="s">
        <v>324</v>
      </c>
      <c r="X396" s="297" t="s">
        <v>324</v>
      </c>
      <c r="Y396" s="297" t="s">
        <v>282</v>
      </c>
      <c r="Z396" s="297" t="s">
        <v>324</v>
      </c>
      <c r="AA396" s="297" t="s">
        <v>324</v>
      </c>
      <c r="AB396" s="609"/>
      <c r="AC396" s="614"/>
      <c r="AD396" s="615"/>
      <c r="AE396" s="297" t="s">
        <v>315</v>
      </c>
      <c r="AF396" s="297" t="s">
        <v>315</v>
      </c>
      <c r="AG396" s="297" t="s">
        <v>315</v>
      </c>
      <c r="AH396" s="337"/>
      <c r="AI396" s="297" t="s">
        <v>524</v>
      </c>
      <c r="AJ396" s="609"/>
      <c r="AK396" s="133" t="s">
        <v>1307</v>
      </c>
      <c r="AL396" s="299" t="s">
        <v>315</v>
      </c>
      <c r="AM396" s="619"/>
      <c r="AN396" s="619"/>
      <c r="AO396" s="337"/>
      <c r="AP396" s="337"/>
      <c r="AQ396" s="20" t="s">
        <v>634</v>
      </c>
      <c r="AR396" s="309"/>
      <c r="AS396" s="25"/>
    </row>
    <row r="397">
      <c r="A397" s="94"/>
      <c r="B397" s="613" t="s">
        <v>1646</v>
      </c>
      <c r="C397" s="70">
        <v>43114.0</v>
      </c>
      <c r="D397" s="71" t="s">
        <v>258</v>
      </c>
      <c r="E397" s="72">
        <v>43575.0</v>
      </c>
      <c r="F397" s="73" t="s">
        <v>280</v>
      </c>
      <c r="G397" s="72">
        <v>43581.0</v>
      </c>
      <c r="H397" s="73" t="s">
        <v>282</v>
      </c>
      <c r="I397" s="637" t="s">
        <v>1673</v>
      </c>
      <c r="J397" s="623" t="s">
        <v>239</v>
      </c>
      <c r="K397" s="129" t="s">
        <v>789</v>
      </c>
      <c r="L397" s="621" t="s">
        <v>354</v>
      </c>
      <c r="M397" s="305" t="s">
        <v>291</v>
      </c>
      <c r="N397" s="292" t="s">
        <v>1071</v>
      </c>
      <c r="O397" s="337"/>
      <c r="P397" s="607"/>
      <c r="Q397" s="295" t="s">
        <v>315</v>
      </c>
      <c r="R397" s="608" t="s">
        <v>857</v>
      </c>
      <c r="S397" s="292" t="s">
        <v>923</v>
      </c>
      <c r="T397" s="297" t="s">
        <v>324</v>
      </c>
      <c r="U397" s="297" t="s">
        <v>324</v>
      </c>
      <c r="V397" s="297" t="s">
        <v>324</v>
      </c>
      <c r="W397" s="297" t="s">
        <v>324</v>
      </c>
      <c r="X397" s="297" t="s">
        <v>324</v>
      </c>
      <c r="Y397" s="297" t="s">
        <v>282</v>
      </c>
      <c r="Z397" s="297" t="s">
        <v>324</v>
      </c>
      <c r="AA397" s="297" t="s">
        <v>324</v>
      </c>
      <c r="AB397" s="609"/>
      <c r="AC397" s="610" t="s">
        <v>1012</v>
      </c>
      <c r="AD397" s="328" t="s">
        <v>1071</v>
      </c>
      <c r="AE397" s="297" t="s">
        <v>369</v>
      </c>
      <c r="AF397" s="297" t="s">
        <v>315</v>
      </c>
      <c r="AG397" s="297" t="s">
        <v>315</v>
      </c>
      <c r="AH397" s="337"/>
      <c r="AI397" s="297" t="s">
        <v>524</v>
      </c>
      <c r="AJ397" s="609"/>
      <c r="AK397" s="307" t="s">
        <v>1674</v>
      </c>
      <c r="AL397" s="299" t="s">
        <v>315</v>
      </c>
      <c r="AM397" s="619"/>
      <c r="AN397" s="619"/>
      <c r="AO397" s="337"/>
      <c r="AP397" s="337"/>
      <c r="AQ397" s="85"/>
      <c r="AR397" s="640">
        <v>10.0</v>
      </c>
      <c r="AS397" s="25" t="s">
        <v>1675</v>
      </c>
    </row>
    <row r="398">
      <c r="A398" s="94"/>
      <c r="B398" s="613"/>
      <c r="C398" s="70"/>
      <c r="D398" s="71"/>
      <c r="E398" s="96"/>
      <c r="F398" s="96"/>
      <c r="G398" s="96"/>
      <c r="H398" s="96"/>
      <c r="I398" s="637"/>
      <c r="J398" s="623"/>
      <c r="K398" s="100"/>
      <c r="L398" s="621"/>
      <c r="M398" s="305"/>
      <c r="N398" s="20" t="s">
        <v>638</v>
      </c>
      <c r="O398" s="20" t="s">
        <v>1676</v>
      </c>
      <c r="P398" s="607"/>
      <c r="Q398" s="295"/>
      <c r="R398" s="608"/>
      <c r="S398" s="292"/>
      <c r="T398" s="297" t="s">
        <v>282</v>
      </c>
      <c r="U398" s="297" t="s">
        <v>282</v>
      </c>
      <c r="V398" s="297" t="s">
        <v>282</v>
      </c>
      <c r="W398" s="297"/>
      <c r="X398" s="297" t="s">
        <v>282</v>
      </c>
      <c r="Y398" s="297"/>
      <c r="Z398" s="297"/>
      <c r="AA398" s="297"/>
      <c r="AB398" s="609"/>
      <c r="AC398" s="610"/>
      <c r="AD398" s="328"/>
      <c r="AE398" s="297"/>
      <c r="AF398" s="297"/>
      <c r="AG398" s="297"/>
      <c r="AH398" s="337"/>
      <c r="AI398" s="297"/>
      <c r="AJ398" s="609"/>
      <c r="AK398" s="641" t="s">
        <v>1308</v>
      </c>
      <c r="AL398" s="299"/>
      <c r="AM398" s="619"/>
      <c r="AN398" s="619"/>
      <c r="AO398" s="337"/>
      <c r="AP398" s="337"/>
      <c r="AQ398" s="81" t="s">
        <v>1677</v>
      </c>
      <c r="AR398" s="640"/>
      <c r="AS398" s="25"/>
    </row>
    <row r="399">
      <c r="A399" s="94"/>
      <c r="B399" s="613"/>
      <c r="C399" s="70"/>
      <c r="D399" s="71"/>
      <c r="E399" s="96"/>
      <c r="F399" s="96"/>
      <c r="G399" s="96"/>
      <c r="H399" s="96"/>
      <c r="I399" s="637"/>
      <c r="J399" s="623"/>
      <c r="K399" s="100"/>
      <c r="L399" s="621" t="s">
        <v>354</v>
      </c>
      <c r="M399" s="305" t="s">
        <v>291</v>
      </c>
      <c r="N399" s="20" t="s">
        <v>638</v>
      </c>
      <c r="O399" s="91"/>
      <c r="P399" s="607"/>
      <c r="Q399" s="295" t="s">
        <v>315</v>
      </c>
      <c r="R399" s="608" t="s">
        <v>857</v>
      </c>
      <c r="S399" s="292" t="s">
        <v>923</v>
      </c>
      <c r="T399" s="297" t="s">
        <v>282</v>
      </c>
      <c r="U399" s="297" t="s">
        <v>282</v>
      </c>
      <c r="V399" s="297" t="s">
        <v>282</v>
      </c>
      <c r="W399" s="297" t="s">
        <v>324</v>
      </c>
      <c r="X399" s="297" t="s">
        <v>282</v>
      </c>
      <c r="Y399" s="297" t="s">
        <v>282</v>
      </c>
      <c r="Z399" s="297" t="s">
        <v>324</v>
      </c>
      <c r="AA399" s="297" t="s">
        <v>324</v>
      </c>
      <c r="AB399" s="609"/>
      <c r="AC399" s="610" t="s">
        <v>1012</v>
      </c>
      <c r="AD399" s="328" t="s">
        <v>1071</v>
      </c>
      <c r="AE399" s="297" t="s">
        <v>369</v>
      </c>
      <c r="AF399" s="297" t="s">
        <v>315</v>
      </c>
      <c r="AG399" s="297" t="s">
        <v>315</v>
      </c>
      <c r="AH399" s="337"/>
      <c r="AI399" s="297" t="s">
        <v>524</v>
      </c>
      <c r="AJ399" s="609"/>
      <c r="AK399" s="641" t="s">
        <v>1308</v>
      </c>
      <c r="AL399" s="299"/>
      <c r="AM399" s="619"/>
      <c r="AN399" s="619"/>
      <c r="AO399" s="337"/>
      <c r="AP399" s="337"/>
      <c r="AQ399" s="81"/>
      <c r="AR399" s="640"/>
      <c r="AS399" s="25"/>
    </row>
    <row r="400">
      <c r="A400" s="94"/>
      <c r="B400" s="613" t="s">
        <v>1646</v>
      </c>
      <c r="C400" s="70">
        <v>43114.0</v>
      </c>
      <c r="D400" s="71" t="s">
        <v>258</v>
      </c>
      <c r="E400" s="72">
        <v>43575.0</v>
      </c>
      <c r="F400" s="73" t="s">
        <v>280</v>
      </c>
      <c r="G400" s="72">
        <v>43581.0</v>
      </c>
      <c r="H400" s="73" t="s">
        <v>282</v>
      </c>
      <c r="I400" s="637" t="s">
        <v>1678</v>
      </c>
      <c r="J400" s="623" t="s">
        <v>240</v>
      </c>
      <c r="K400" s="129" t="s">
        <v>789</v>
      </c>
      <c r="L400" s="621" t="s">
        <v>354</v>
      </c>
      <c r="M400" s="305" t="s">
        <v>291</v>
      </c>
      <c r="N400" s="292" t="s">
        <v>641</v>
      </c>
      <c r="O400" s="337"/>
      <c r="P400" s="607"/>
      <c r="Q400" s="295" t="s">
        <v>315</v>
      </c>
      <c r="R400" s="608" t="s">
        <v>858</v>
      </c>
      <c r="S400" s="292" t="s">
        <v>925</v>
      </c>
      <c r="T400" s="297" t="s">
        <v>324</v>
      </c>
      <c r="U400" s="297" t="s">
        <v>324</v>
      </c>
      <c r="V400" s="297" t="s">
        <v>324</v>
      </c>
      <c r="W400" s="297" t="s">
        <v>324</v>
      </c>
      <c r="X400" s="297" t="s">
        <v>324</v>
      </c>
      <c r="Y400" s="297" t="s">
        <v>282</v>
      </c>
      <c r="Z400" s="297" t="s">
        <v>324</v>
      </c>
      <c r="AA400" s="297" t="s">
        <v>324</v>
      </c>
      <c r="AB400" s="609"/>
      <c r="AC400" s="610" t="s">
        <v>1012</v>
      </c>
      <c r="AD400" s="328" t="s">
        <v>641</v>
      </c>
      <c r="AE400" s="297" t="s">
        <v>369</v>
      </c>
      <c r="AF400" s="297" t="s">
        <v>315</v>
      </c>
      <c r="AG400" s="297" t="s">
        <v>315</v>
      </c>
      <c r="AH400" s="337"/>
      <c r="AI400" s="297" t="s">
        <v>524</v>
      </c>
      <c r="AJ400" s="609"/>
      <c r="AK400" s="307" t="s">
        <v>1674</v>
      </c>
      <c r="AL400" s="299" t="s">
        <v>315</v>
      </c>
      <c r="AM400" s="619"/>
      <c r="AN400" s="619"/>
      <c r="AO400" s="337"/>
      <c r="AP400" s="337"/>
      <c r="AQ400" s="85"/>
      <c r="AR400" s="640">
        <v>10.0</v>
      </c>
      <c r="AS400" s="25" t="s">
        <v>1675</v>
      </c>
    </row>
    <row r="401">
      <c r="A401" s="94"/>
      <c r="B401" s="613"/>
      <c r="C401" s="70"/>
      <c r="D401" s="71"/>
      <c r="E401" s="96"/>
      <c r="F401" s="96"/>
      <c r="G401" s="96"/>
      <c r="H401" s="96"/>
      <c r="I401" s="637"/>
      <c r="J401" s="623"/>
      <c r="K401" s="100"/>
      <c r="L401" s="621"/>
      <c r="M401" s="305"/>
      <c r="N401" s="292"/>
      <c r="O401" s="91"/>
      <c r="P401" s="91"/>
      <c r="Q401" s="295"/>
      <c r="R401" s="608"/>
      <c r="S401" s="292"/>
      <c r="T401" s="297" t="s">
        <v>282</v>
      </c>
      <c r="U401" s="297" t="s">
        <v>282</v>
      </c>
      <c r="V401" s="297" t="s">
        <v>282</v>
      </c>
      <c r="W401" s="297"/>
      <c r="X401" s="297" t="s">
        <v>282</v>
      </c>
      <c r="Y401" s="297"/>
      <c r="Z401" s="297"/>
      <c r="AA401" s="297"/>
      <c r="AB401" s="609"/>
      <c r="AC401" s="610"/>
      <c r="AD401" s="328"/>
      <c r="AE401" s="297"/>
      <c r="AF401" s="297"/>
      <c r="AG401" s="297"/>
      <c r="AH401" s="337"/>
      <c r="AI401" s="297"/>
      <c r="AJ401" s="609"/>
      <c r="AK401" s="641" t="s">
        <v>1308</v>
      </c>
      <c r="AL401" s="299"/>
      <c r="AM401" s="619"/>
      <c r="AN401" s="619"/>
      <c r="AO401" s="337"/>
      <c r="AP401" s="337"/>
      <c r="AQ401" s="81" t="s">
        <v>1677</v>
      </c>
      <c r="AR401" s="640"/>
      <c r="AS401" s="67"/>
    </row>
    <row r="402">
      <c r="A402" s="94"/>
      <c r="B402" s="613"/>
      <c r="C402" s="70"/>
      <c r="D402" s="71"/>
      <c r="E402" s="96"/>
      <c r="F402" s="96"/>
      <c r="G402" s="96"/>
      <c r="H402" s="73" t="s">
        <v>1679</v>
      </c>
      <c r="I402" s="637"/>
      <c r="J402" s="623"/>
      <c r="K402" s="100"/>
      <c r="L402" s="621" t="s">
        <v>354</v>
      </c>
      <c r="M402" s="305" t="s">
        <v>291</v>
      </c>
      <c r="N402" s="292" t="s">
        <v>641</v>
      </c>
      <c r="O402" s="91"/>
      <c r="P402" s="91"/>
      <c r="Q402" s="295" t="s">
        <v>315</v>
      </c>
      <c r="R402" s="608" t="s">
        <v>858</v>
      </c>
      <c r="S402" s="292" t="s">
        <v>925</v>
      </c>
      <c r="T402" s="297" t="s">
        <v>282</v>
      </c>
      <c r="U402" s="297" t="s">
        <v>282</v>
      </c>
      <c r="V402" s="297" t="s">
        <v>282</v>
      </c>
      <c r="W402" s="297" t="s">
        <v>324</v>
      </c>
      <c r="X402" s="297" t="s">
        <v>282</v>
      </c>
      <c r="Y402" s="297" t="s">
        <v>282</v>
      </c>
      <c r="Z402" s="297" t="s">
        <v>324</v>
      </c>
      <c r="AA402" s="297" t="s">
        <v>324</v>
      </c>
      <c r="AB402" s="609"/>
      <c r="AC402" s="610" t="s">
        <v>1012</v>
      </c>
      <c r="AD402" s="328" t="s">
        <v>641</v>
      </c>
      <c r="AE402" s="297" t="s">
        <v>369</v>
      </c>
      <c r="AF402" s="297" t="s">
        <v>315</v>
      </c>
      <c r="AG402" s="297" t="s">
        <v>315</v>
      </c>
      <c r="AH402" s="337"/>
      <c r="AI402" s="297" t="s">
        <v>524</v>
      </c>
      <c r="AJ402" s="609"/>
      <c r="AK402" s="641" t="s">
        <v>1309</v>
      </c>
      <c r="AL402" s="299"/>
      <c r="AM402" s="619"/>
      <c r="AN402" s="619"/>
      <c r="AO402" s="337"/>
      <c r="AP402" s="337"/>
      <c r="AQ402" s="81"/>
      <c r="AR402" s="640"/>
      <c r="AS402" s="67"/>
    </row>
    <row r="403">
      <c r="A403" s="94"/>
      <c r="B403" s="613" t="s">
        <v>1646</v>
      </c>
      <c r="C403" s="70">
        <v>43114.0</v>
      </c>
      <c r="D403" s="71" t="s">
        <v>626</v>
      </c>
      <c r="E403" s="72">
        <v>43575.0</v>
      </c>
      <c r="F403" s="73" t="s">
        <v>258</v>
      </c>
      <c r="G403" s="72">
        <v>43581.0</v>
      </c>
      <c r="H403" s="73" t="s">
        <v>282</v>
      </c>
      <c r="I403" s="627" t="s">
        <v>1680</v>
      </c>
      <c r="J403" s="623" t="s">
        <v>241</v>
      </c>
      <c r="K403" s="129" t="s">
        <v>789</v>
      </c>
      <c r="L403" s="621" t="s">
        <v>354</v>
      </c>
      <c r="M403" s="305" t="s">
        <v>291</v>
      </c>
      <c r="N403" s="292" t="s">
        <v>645</v>
      </c>
      <c r="O403" s="337"/>
      <c r="P403" s="607"/>
      <c r="Q403" s="295" t="s">
        <v>315</v>
      </c>
      <c r="R403" s="622"/>
      <c r="S403" s="337"/>
      <c r="T403" s="297" t="s">
        <v>324</v>
      </c>
      <c r="U403" s="297" t="s">
        <v>324</v>
      </c>
      <c r="V403" s="297" t="s">
        <v>324</v>
      </c>
      <c r="W403" s="297" t="s">
        <v>324</v>
      </c>
      <c r="X403" s="297" t="s">
        <v>324</v>
      </c>
      <c r="Y403" s="297" t="s">
        <v>282</v>
      </c>
      <c r="Z403" s="297" t="s">
        <v>324</v>
      </c>
      <c r="AA403" s="297" t="s">
        <v>324</v>
      </c>
      <c r="AB403" s="609"/>
      <c r="AC403" s="610" t="s">
        <v>1012</v>
      </c>
      <c r="AD403" s="328" t="s">
        <v>645</v>
      </c>
      <c r="AE403" s="297" t="s">
        <v>369</v>
      </c>
      <c r="AF403" s="297" t="s">
        <v>315</v>
      </c>
      <c r="AG403" s="297" t="s">
        <v>315</v>
      </c>
      <c r="AH403" s="337"/>
      <c r="AI403" s="297" t="s">
        <v>524</v>
      </c>
      <c r="AJ403" s="609"/>
      <c r="AK403" s="307" t="s">
        <v>1674</v>
      </c>
      <c r="AL403" s="299" t="s">
        <v>315</v>
      </c>
      <c r="AM403" s="619"/>
      <c r="AN403" s="619"/>
      <c r="AO403" s="337"/>
      <c r="AP403" s="337"/>
      <c r="AQ403" s="85"/>
      <c r="AR403" s="640">
        <v>10.0</v>
      </c>
      <c r="AS403" s="67"/>
    </row>
    <row r="404">
      <c r="A404" s="94"/>
      <c r="B404" s="613"/>
      <c r="C404" s="70"/>
      <c r="D404" s="71"/>
      <c r="E404" s="72"/>
      <c r="F404" s="72"/>
      <c r="G404" s="72"/>
      <c r="H404" s="72"/>
      <c r="I404" s="627"/>
      <c r="J404" s="623"/>
      <c r="K404" s="100"/>
      <c r="L404" s="621"/>
      <c r="M404" s="305"/>
      <c r="N404" s="292"/>
      <c r="O404" s="20" t="s">
        <v>765</v>
      </c>
      <c r="P404" s="133"/>
      <c r="Q404" s="295"/>
      <c r="R404" s="622"/>
      <c r="S404" s="337"/>
      <c r="T404" s="297" t="s">
        <v>1681</v>
      </c>
      <c r="U404" s="297"/>
      <c r="V404" s="297"/>
      <c r="W404" s="297"/>
      <c r="X404" s="297" t="s">
        <v>1682</v>
      </c>
      <c r="Y404" s="297"/>
      <c r="Z404" s="297"/>
      <c r="AA404" s="297" t="s">
        <v>1683</v>
      </c>
      <c r="AB404" s="609"/>
      <c r="AC404" s="610"/>
      <c r="AD404" s="328"/>
      <c r="AE404" s="297"/>
      <c r="AF404" s="297"/>
      <c r="AG404" s="297"/>
      <c r="AH404" s="337"/>
      <c r="AI404" s="297"/>
      <c r="AJ404" s="609"/>
      <c r="AK404" s="307" t="s">
        <v>1684</v>
      </c>
      <c r="AL404" s="299"/>
      <c r="AM404" s="619"/>
      <c r="AN404" s="619"/>
      <c r="AO404" s="337"/>
      <c r="AP404" s="337"/>
      <c r="AQ404" s="85"/>
      <c r="AR404" s="640" t="s">
        <v>1038</v>
      </c>
      <c r="AS404" s="67"/>
    </row>
    <row r="405">
      <c r="A405" s="166"/>
      <c r="B405" s="642"/>
      <c r="C405" s="168"/>
      <c r="D405" s="169"/>
      <c r="E405" s="197"/>
      <c r="F405" s="197"/>
      <c r="G405" s="197"/>
      <c r="H405" s="197"/>
      <c r="I405" s="643"/>
      <c r="J405" s="644"/>
      <c r="K405" s="173"/>
      <c r="L405" s="645" t="s">
        <v>354</v>
      </c>
      <c r="M405" s="316" t="s">
        <v>291</v>
      </c>
      <c r="N405" s="317" t="s">
        <v>645</v>
      </c>
      <c r="O405" s="174" t="s">
        <v>765</v>
      </c>
      <c r="P405" s="646"/>
      <c r="Q405" s="320" t="s">
        <v>315</v>
      </c>
      <c r="R405" s="647"/>
      <c r="S405" s="371"/>
      <c r="T405" s="318" t="s">
        <v>282</v>
      </c>
      <c r="U405" s="318" t="s">
        <v>282</v>
      </c>
      <c r="V405" s="318" t="s">
        <v>282</v>
      </c>
      <c r="W405" s="318" t="s">
        <v>282</v>
      </c>
      <c r="X405" s="318" t="s">
        <v>282</v>
      </c>
      <c r="Y405" s="318" t="s">
        <v>282</v>
      </c>
      <c r="Z405" s="318" t="s">
        <v>324</v>
      </c>
      <c r="AA405" s="318" t="s">
        <v>324</v>
      </c>
      <c r="AB405" s="648"/>
      <c r="AC405" s="649" t="s">
        <v>1012</v>
      </c>
      <c r="AD405" s="335" t="s">
        <v>645</v>
      </c>
      <c r="AE405" s="318" t="s">
        <v>369</v>
      </c>
      <c r="AF405" s="318" t="s">
        <v>315</v>
      </c>
      <c r="AG405" s="318" t="s">
        <v>315</v>
      </c>
      <c r="AH405" s="371"/>
      <c r="AI405" s="318" t="s">
        <v>524</v>
      </c>
      <c r="AJ405" s="648"/>
      <c r="AK405" s="650" t="s">
        <v>315</v>
      </c>
      <c r="AL405" s="651" t="s">
        <v>315</v>
      </c>
      <c r="AM405" s="652"/>
      <c r="AN405" s="652"/>
      <c r="AO405" s="371"/>
      <c r="AP405" s="371"/>
      <c r="AQ405" s="133" t="s">
        <v>1685</v>
      </c>
      <c r="AR405" s="653">
        <v>10.0</v>
      </c>
      <c r="AS405" s="143"/>
    </row>
    <row r="406" ht="19.5" customHeight="1">
      <c r="A406" s="94"/>
      <c r="B406" s="613" t="s">
        <v>1646</v>
      </c>
      <c r="C406" s="70">
        <v>43114.0</v>
      </c>
      <c r="D406" s="71" t="s">
        <v>626</v>
      </c>
      <c r="E406" s="72">
        <v>43575.0</v>
      </c>
      <c r="F406" s="73" t="s">
        <v>258</v>
      </c>
      <c r="G406" s="72">
        <v>43581.0</v>
      </c>
      <c r="H406" s="73" t="s">
        <v>282</v>
      </c>
      <c r="I406" s="654" t="s">
        <v>1686</v>
      </c>
      <c r="J406" s="623" t="s">
        <v>242</v>
      </c>
      <c r="K406" s="129" t="s">
        <v>789</v>
      </c>
      <c r="L406" s="621" t="s">
        <v>354</v>
      </c>
      <c r="M406" s="305" t="s">
        <v>291</v>
      </c>
      <c r="N406" s="292" t="s">
        <v>647</v>
      </c>
      <c r="O406" s="337"/>
      <c r="P406" s="607"/>
      <c r="Q406" s="295" t="s">
        <v>315</v>
      </c>
      <c r="R406" s="608" t="s">
        <v>859</v>
      </c>
      <c r="S406" s="292" t="s">
        <v>647</v>
      </c>
      <c r="T406" s="297" t="s">
        <v>324</v>
      </c>
      <c r="U406" s="297" t="s">
        <v>324</v>
      </c>
      <c r="V406" s="297" t="s">
        <v>324</v>
      </c>
      <c r="W406" s="297" t="s">
        <v>324</v>
      </c>
      <c r="X406" s="297" t="s">
        <v>324</v>
      </c>
      <c r="Y406" s="297" t="s">
        <v>282</v>
      </c>
      <c r="Z406" s="297" t="s">
        <v>324</v>
      </c>
      <c r="AA406" s="297" t="s">
        <v>324</v>
      </c>
      <c r="AB406" s="609"/>
      <c r="AC406" s="610" t="s">
        <v>1012</v>
      </c>
      <c r="AD406" s="328" t="s">
        <v>647</v>
      </c>
      <c r="AE406" s="297" t="s">
        <v>369</v>
      </c>
      <c r="AF406" s="297" t="s">
        <v>315</v>
      </c>
      <c r="AG406" s="297" t="s">
        <v>315</v>
      </c>
      <c r="AH406" s="337"/>
      <c r="AI406" s="297" t="s">
        <v>524</v>
      </c>
      <c r="AJ406" s="609"/>
      <c r="AK406" s="307" t="s">
        <v>324</v>
      </c>
      <c r="AL406" s="299" t="s">
        <v>315</v>
      </c>
      <c r="AM406" s="619"/>
      <c r="AN406" s="619"/>
      <c r="AO406" s="337"/>
      <c r="AP406" s="337"/>
      <c r="AQ406" s="85"/>
      <c r="AR406" s="640">
        <v>10.0</v>
      </c>
      <c r="AS406" s="67"/>
    </row>
    <row r="407">
      <c r="A407" s="94"/>
      <c r="B407" s="613"/>
      <c r="C407" s="70"/>
      <c r="D407" s="71"/>
      <c r="E407" s="72"/>
      <c r="F407" s="72"/>
      <c r="G407" s="72"/>
      <c r="H407" s="72"/>
      <c r="I407" s="654"/>
      <c r="J407" s="623"/>
      <c r="K407" s="100"/>
      <c r="L407" s="621"/>
      <c r="M407" s="305"/>
      <c r="N407" s="20" t="s">
        <v>1687</v>
      </c>
      <c r="O407" s="20" t="s">
        <v>766</v>
      </c>
      <c r="P407" s="607"/>
      <c r="Q407" s="295"/>
      <c r="R407" s="608"/>
      <c r="S407" s="292"/>
      <c r="T407" s="297" t="s">
        <v>1681</v>
      </c>
      <c r="U407" s="297"/>
      <c r="V407" s="297"/>
      <c r="W407" s="297"/>
      <c r="X407" s="297" t="s">
        <v>1682</v>
      </c>
      <c r="Y407" s="297"/>
      <c r="Z407" s="297"/>
      <c r="AA407" s="297" t="s">
        <v>1682</v>
      </c>
      <c r="AB407" s="609"/>
      <c r="AC407" s="610"/>
      <c r="AD407" s="328"/>
      <c r="AE407" s="297"/>
      <c r="AF407" s="297"/>
      <c r="AG407" s="297"/>
      <c r="AH407" s="337"/>
      <c r="AI407" s="297"/>
      <c r="AJ407" s="609"/>
      <c r="AK407" s="307" t="s">
        <v>1688</v>
      </c>
      <c r="AL407" s="299"/>
      <c r="AM407" s="619"/>
      <c r="AN407" s="619"/>
      <c r="AO407" s="337"/>
      <c r="AP407" s="337"/>
      <c r="AQ407" s="85"/>
      <c r="AR407" s="309" t="s">
        <v>1363</v>
      </c>
      <c r="AS407" s="67"/>
    </row>
    <row r="408" ht="23.25" customHeight="1">
      <c r="A408" s="166"/>
      <c r="B408" s="642"/>
      <c r="C408" s="168"/>
      <c r="D408" s="169"/>
      <c r="E408" s="197"/>
      <c r="F408" s="197"/>
      <c r="G408" s="197"/>
      <c r="H408" s="197"/>
      <c r="I408" s="655"/>
      <c r="J408" s="644"/>
      <c r="K408" s="173"/>
      <c r="L408" s="645" t="s">
        <v>354</v>
      </c>
      <c r="M408" s="316" t="s">
        <v>291</v>
      </c>
      <c r="N408" s="317" t="s">
        <v>647</v>
      </c>
      <c r="O408" s="174" t="s">
        <v>766</v>
      </c>
      <c r="P408" s="646"/>
      <c r="Q408" s="320" t="s">
        <v>315</v>
      </c>
      <c r="R408" s="656" t="s">
        <v>859</v>
      </c>
      <c r="S408" s="317" t="s">
        <v>647</v>
      </c>
      <c r="T408" s="318" t="s">
        <v>282</v>
      </c>
      <c r="U408" s="318" t="s">
        <v>282</v>
      </c>
      <c r="V408" s="318" t="s">
        <v>282</v>
      </c>
      <c r="W408" s="318" t="s">
        <v>282</v>
      </c>
      <c r="X408" s="318" t="s">
        <v>282</v>
      </c>
      <c r="Y408" s="318" t="s">
        <v>282</v>
      </c>
      <c r="Z408" s="318" t="s">
        <v>324</v>
      </c>
      <c r="AA408" s="318" t="s">
        <v>324</v>
      </c>
      <c r="AB408" s="648"/>
      <c r="AC408" s="649" t="s">
        <v>1012</v>
      </c>
      <c r="AD408" s="335" t="s">
        <v>647</v>
      </c>
      <c r="AE408" s="318" t="s">
        <v>369</v>
      </c>
      <c r="AF408" s="318" t="s">
        <v>315</v>
      </c>
      <c r="AG408" s="318" t="s">
        <v>315</v>
      </c>
      <c r="AH408" s="371"/>
      <c r="AI408" s="318" t="s">
        <v>524</v>
      </c>
      <c r="AJ408" s="648"/>
      <c r="AK408" s="135" t="s">
        <v>366</v>
      </c>
      <c r="AL408" s="651" t="s">
        <v>315</v>
      </c>
      <c r="AM408" s="652"/>
      <c r="AN408" s="652"/>
      <c r="AO408" s="371"/>
      <c r="AP408" s="371"/>
      <c r="AQ408" s="135" t="s">
        <v>1689</v>
      </c>
      <c r="AR408" s="653">
        <v>10.0</v>
      </c>
      <c r="AS408" s="143"/>
    </row>
    <row r="409">
      <c r="A409" s="94"/>
      <c r="B409" s="613" t="s">
        <v>1646</v>
      </c>
      <c r="C409" s="70">
        <v>43114.0</v>
      </c>
      <c r="D409" s="71" t="s">
        <v>626</v>
      </c>
      <c r="E409" s="72">
        <v>43575.0</v>
      </c>
      <c r="F409" s="73" t="s">
        <v>258</v>
      </c>
      <c r="G409" s="72">
        <v>43581.0</v>
      </c>
      <c r="H409" s="73" t="s">
        <v>282</v>
      </c>
      <c r="I409" s="654" t="s">
        <v>1690</v>
      </c>
      <c r="J409" s="623" t="s">
        <v>243</v>
      </c>
      <c r="K409" s="129" t="s">
        <v>789</v>
      </c>
      <c r="L409" s="621" t="s">
        <v>305</v>
      </c>
      <c r="M409" s="305" t="s">
        <v>291</v>
      </c>
      <c r="N409" s="292" t="s">
        <v>650</v>
      </c>
      <c r="O409" s="337"/>
      <c r="P409" s="607"/>
      <c r="Q409" s="295" t="s">
        <v>315</v>
      </c>
      <c r="R409" s="608" t="s">
        <v>860</v>
      </c>
      <c r="S409" s="292" t="s">
        <v>650</v>
      </c>
      <c r="T409" s="297" t="s">
        <v>324</v>
      </c>
      <c r="U409" s="297" t="s">
        <v>324</v>
      </c>
      <c r="V409" s="297" t="s">
        <v>324</v>
      </c>
      <c r="W409" s="297" t="s">
        <v>324</v>
      </c>
      <c r="X409" s="297" t="s">
        <v>324</v>
      </c>
      <c r="Y409" s="297" t="s">
        <v>324</v>
      </c>
      <c r="Z409" s="297" t="s">
        <v>324</v>
      </c>
      <c r="AA409" s="297" t="s">
        <v>324</v>
      </c>
      <c r="AB409" s="609"/>
      <c r="AC409" s="614"/>
      <c r="AD409" s="615"/>
      <c r="AE409" s="297" t="s">
        <v>315</v>
      </c>
      <c r="AF409" s="297" t="s">
        <v>315</v>
      </c>
      <c r="AG409" s="297" t="s">
        <v>315</v>
      </c>
      <c r="AH409" s="292" t="s">
        <v>650</v>
      </c>
      <c r="AI409" s="297" t="s">
        <v>443</v>
      </c>
      <c r="AJ409" s="609"/>
      <c r="AK409" s="307" t="s">
        <v>324</v>
      </c>
      <c r="AL409" s="299" t="s">
        <v>369</v>
      </c>
      <c r="AM409" s="619"/>
      <c r="AN409" s="619"/>
      <c r="AO409" s="337"/>
      <c r="AP409" s="337"/>
      <c r="AQ409" s="337"/>
      <c r="AR409" s="309">
        <v>5.0</v>
      </c>
      <c r="AS409" s="67"/>
    </row>
    <row r="410">
      <c r="A410" s="94"/>
      <c r="B410" s="613"/>
      <c r="C410" s="70"/>
      <c r="D410" s="71"/>
      <c r="E410" s="72"/>
      <c r="F410" s="72"/>
      <c r="G410" s="72"/>
      <c r="H410" s="72"/>
      <c r="I410" s="654"/>
      <c r="J410" s="623"/>
      <c r="K410" s="100"/>
      <c r="L410" s="621"/>
      <c r="M410" s="305"/>
      <c r="N410" s="292"/>
      <c r="O410" s="337"/>
      <c r="P410" s="607"/>
      <c r="Q410" s="295"/>
      <c r="R410" s="608"/>
      <c r="S410" s="292"/>
      <c r="T410" s="297"/>
      <c r="U410" s="297"/>
      <c r="V410" s="297"/>
      <c r="W410" s="297"/>
      <c r="X410" s="297"/>
      <c r="Y410" s="297"/>
      <c r="Z410" s="297"/>
      <c r="AA410" s="297"/>
      <c r="AB410" s="609"/>
      <c r="AC410" s="614"/>
      <c r="AD410" s="615"/>
      <c r="AE410" s="297"/>
      <c r="AF410" s="297"/>
      <c r="AG410" s="297"/>
      <c r="AH410" s="292"/>
      <c r="AI410" s="297" t="s">
        <v>1691</v>
      </c>
      <c r="AJ410" s="609"/>
      <c r="AK410" s="307" t="s">
        <v>1692</v>
      </c>
      <c r="AL410" s="299" t="s">
        <v>315</v>
      </c>
      <c r="AM410" s="619"/>
      <c r="AN410" s="619"/>
      <c r="AO410" s="337"/>
      <c r="AP410" s="337"/>
      <c r="AQ410" s="337"/>
      <c r="AR410" s="309" t="s">
        <v>1069</v>
      </c>
      <c r="AS410" s="67"/>
    </row>
    <row r="411">
      <c r="A411" s="166"/>
      <c r="B411" s="642"/>
      <c r="C411" s="168"/>
      <c r="D411" s="169"/>
      <c r="E411" s="197"/>
      <c r="F411" s="197"/>
      <c r="G411" s="197"/>
      <c r="H411" s="197"/>
      <c r="I411" s="655"/>
      <c r="J411" s="644"/>
      <c r="K411" s="173"/>
      <c r="L411" s="645" t="s">
        <v>305</v>
      </c>
      <c r="M411" s="316" t="s">
        <v>291</v>
      </c>
      <c r="N411" s="317" t="s">
        <v>650</v>
      </c>
      <c r="O411" s="371"/>
      <c r="P411" s="646"/>
      <c r="Q411" s="320" t="s">
        <v>315</v>
      </c>
      <c r="R411" s="656" t="s">
        <v>860</v>
      </c>
      <c r="S411" s="317" t="s">
        <v>650</v>
      </c>
      <c r="T411" s="318" t="s">
        <v>324</v>
      </c>
      <c r="U411" s="318" t="s">
        <v>324</v>
      </c>
      <c r="V411" s="318" t="s">
        <v>324</v>
      </c>
      <c r="W411" s="318" t="s">
        <v>324</v>
      </c>
      <c r="X411" s="318" t="s">
        <v>324</v>
      </c>
      <c r="Y411" s="318" t="s">
        <v>324</v>
      </c>
      <c r="Z411" s="318" t="s">
        <v>324</v>
      </c>
      <c r="AA411" s="318" t="s">
        <v>324</v>
      </c>
      <c r="AB411" s="648"/>
      <c r="AC411" s="657"/>
      <c r="AD411" s="658"/>
      <c r="AE411" s="318" t="s">
        <v>315</v>
      </c>
      <c r="AF411" s="318" t="s">
        <v>315</v>
      </c>
      <c r="AG411" s="318" t="s">
        <v>315</v>
      </c>
      <c r="AH411" s="317" t="s">
        <v>650</v>
      </c>
      <c r="AI411" s="318" t="s">
        <v>443</v>
      </c>
      <c r="AJ411" s="648"/>
      <c r="AK411" s="650" t="s">
        <v>324</v>
      </c>
      <c r="AL411" s="651" t="s">
        <v>369</v>
      </c>
      <c r="AM411" s="652"/>
      <c r="AN411" s="652"/>
      <c r="AO411" s="371"/>
      <c r="AP411" s="371"/>
      <c r="AQ411" s="371"/>
      <c r="AR411" s="325">
        <v>5.0</v>
      </c>
      <c r="AS411" s="143"/>
    </row>
    <row r="412">
      <c r="A412" s="94"/>
      <c r="B412" s="613" t="s">
        <v>1646</v>
      </c>
      <c r="C412" s="70">
        <v>43114.0</v>
      </c>
      <c r="D412" s="71" t="s">
        <v>626</v>
      </c>
      <c r="E412" s="72">
        <v>43575.0</v>
      </c>
      <c r="F412" s="73" t="s">
        <v>258</v>
      </c>
      <c r="G412" s="72">
        <v>43581.0</v>
      </c>
      <c r="H412" s="73" t="s">
        <v>282</v>
      </c>
      <c r="I412" s="654" t="s">
        <v>1693</v>
      </c>
      <c r="J412" s="623" t="s">
        <v>244</v>
      </c>
      <c r="K412" s="129" t="s">
        <v>1578</v>
      </c>
      <c r="L412" s="621" t="s">
        <v>355</v>
      </c>
      <c r="M412" s="305" t="s">
        <v>291</v>
      </c>
      <c r="N412" s="292" t="s">
        <v>653</v>
      </c>
      <c r="O412" s="337"/>
      <c r="P412" s="607"/>
      <c r="Q412" s="295" t="s">
        <v>315</v>
      </c>
      <c r="R412" s="608" t="s">
        <v>861</v>
      </c>
      <c r="S412" s="292" t="s">
        <v>653</v>
      </c>
      <c r="T412" s="297" t="s">
        <v>324</v>
      </c>
      <c r="U412" s="297" t="s">
        <v>324</v>
      </c>
      <c r="V412" s="297" t="s">
        <v>324</v>
      </c>
      <c r="W412" s="297" t="s">
        <v>324</v>
      </c>
      <c r="X412" s="297" t="s">
        <v>324</v>
      </c>
      <c r="Y412" s="297" t="s">
        <v>327</v>
      </c>
      <c r="Z412" s="297" t="s">
        <v>324</v>
      </c>
      <c r="AA412" s="297" t="s">
        <v>324</v>
      </c>
      <c r="AB412" s="609"/>
      <c r="AC412" s="610" t="s">
        <v>1013</v>
      </c>
      <c r="AD412" s="328" t="s">
        <v>1077</v>
      </c>
      <c r="AE412" s="297" t="s">
        <v>369</v>
      </c>
      <c r="AF412" s="297" t="s">
        <v>315</v>
      </c>
      <c r="AG412" s="297" t="s">
        <v>315</v>
      </c>
      <c r="AH412" s="292" t="s">
        <v>1183</v>
      </c>
      <c r="AI412" s="297" t="s">
        <v>443</v>
      </c>
      <c r="AJ412" s="308" t="s">
        <v>1281</v>
      </c>
      <c r="AK412" s="307" t="s">
        <v>315</v>
      </c>
      <c r="AL412" s="299" t="s">
        <v>369</v>
      </c>
      <c r="AM412" s="619"/>
      <c r="AN412" s="619"/>
      <c r="AO412" s="337"/>
      <c r="AP412" s="297"/>
      <c r="AQ412" s="337"/>
      <c r="AR412" s="309">
        <v>10.0</v>
      </c>
      <c r="AS412" s="67"/>
    </row>
    <row r="413">
      <c r="A413" s="94"/>
      <c r="B413" s="613"/>
      <c r="C413" s="70"/>
      <c r="D413" s="71"/>
      <c r="E413" s="72"/>
      <c r="F413" s="72"/>
      <c r="G413" s="72"/>
      <c r="H413" s="72"/>
      <c r="I413" s="654"/>
      <c r="J413" s="623"/>
      <c r="K413" s="100"/>
      <c r="L413" s="621"/>
      <c r="M413" s="305"/>
      <c r="N413" s="292"/>
      <c r="O413" s="337"/>
      <c r="P413" s="607"/>
      <c r="Q413" s="295"/>
      <c r="R413" s="608"/>
      <c r="S413" s="292"/>
      <c r="T413" s="297"/>
      <c r="U413" s="297"/>
      <c r="V413" s="297"/>
      <c r="W413" s="297"/>
      <c r="X413" s="297"/>
      <c r="Y413" s="297"/>
      <c r="Z413" s="297"/>
      <c r="AA413" s="297"/>
      <c r="AB413" s="609"/>
      <c r="AC413" s="610"/>
      <c r="AD413" s="328"/>
      <c r="AE413" s="297"/>
      <c r="AF413" s="297"/>
      <c r="AG413" s="297"/>
      <c r="AH413" s="292"/>
      <c r="AI413" s="297" t="s">
        <v>1694</v>
      </c>
      <c r="AJ413" s="308"/>
      <c r="AK413" s="307" t="s">
        <v>1695</v>
      </c>
      <c r="AL413" s="299"/>
      <c r="AM413" s="619"/>
      <c r="AN413" s="619"/>
      <c r="AO413" s="337"/>
      <c r="AP413" s="297" t="s">
        <v>1345</v>
      </c>
      <c r="AQ413" s="337"/>
      <c r="AR413" s="309" t="s">
        <v>1038</v>
      </c>
      <c r="AS413" s="67"/>
    </row>
    <row r="414">
      <c r="A414" s="166"/>
      <c r="B414" s="642"/>
      <c r="C414" s="168"/>
      <c r="D414" s="169"/>
      <c r="E414" s="197"/>
      <c r="F414" s="197"/>
      <c r="G414" s="197"/>
      <c r="H414" s="197"/>
      <c r="I414" s="655"/>
      <c r="J414" s="644"/>
      <c r="K414" s="173"/>
      <c r="L414" s="645" t="s">
        <v>355</v>
      </c>
      <c r="M414" s="316" t="s">
        <v>291</v>
      </c>
      <c r="N414" s="317" t="s">
        <v>653</v>
      </c>
      <c r="O414" s="371"/>
      <c r="P414" s="646"/>
      <c r="Q414" s="320" t="s">
        <v>315</v>
      </c>
      <c r="R414" s="656" t="s">
        <v>861</v>
      </c>
      <c r="S414" s="317" t="s">
        <v>653</v>
      </c>
      <c r="T414" s="318" t="s">
        <v>324</v>
      </c>
      <c r="U414" s="318" t="s">
        <v>324</v>
      </c>
      <c r="V414" s="318" t="s">
        <v>324</v>
      </c>
      <c r="W414" s="318" t="s">
        <v>324</v>
      </c>
      <c r="X414" s="318" t="s">
        <v>324</v>
      </c>
      <c r="Y414" s="318" t="s">
        <v>327</v>
      </c>
      <c r="Z414" s="318" t="s">
        <v>324</v>
      </c>
      <c r="AA414" s="318" t="s">
        <v>324</v>
      </c>
      <c r="AB414" s="648"/>
      <c r="AC414" s="649" t="s">
        <v>1013</v>
      </c>
      <c r="AD414" s="335" t="s">
        <v>1077</v>
      </c>
      <c r="AE414" s="318" t="s">
        <v>369</v>
      </c>
      <c r="AF414" s="318" t="s">
        <v>315</v>
      </c>
      <c r="AG414" s="318" t="s">
        <v>315</v>
      </c>
      <c r="AH414" s="317" t="s">
        <v>1183</v>
      </c>
      <c r="AI414" s="318" t="s">
        <v>443</v>
      </c>
      <c r="AJ414" s="348" t="s">
        <v>1281</v>
      </c>
      <c r="AK414" s="135" t="s">
        <v>466</v>
      </c>
      <c r="AL414" s="651" t="s">
        <v>369</v>
      </c>
      <c r="AM414" s="652"/>
      <c r="AN414" s="652"/>
      <c r="AO414" s="371"/>
      <c r="AP414" s="135" t="s">
        <v>1345</v>
      </c>
      <c r="AQ414" s="318" t="s">
        <v>1696</v>
      </c>
      <c r="AR414" s="325">
        <v>10.0</v>
      </c>
      <c r="AS414" s="143"/>
    </row>
    <row r="415">
      <c r="A415" s="94"/>
      <c r="B415" s="613" t="s">
        <v>1646</v>
      </c>
      <c r="C415" s="70">
        <v>43114.0</v>
      </c>
      <c r="D415" s="71" t="s">
        <v>479</v>
      </c>
      <c r="E415" s="72">
        <v>43575.0</v>
      </c>
      <c r="F415" s="73" t="s">
        <v>280</v>
      </c>
      <c r="G415" s="72">
        <v>43581.0</v>
      </c>
      <c r="H415" s="72"/>
      <c r="I415" s="637" t="s">
        <v>1697</v>
      </c>
      <c r="J415" s="623" t="s">
        <v>245</v>
      </c>
      <c r="K415" s="100" t="s">
        <v>1578</v>
      </c>
      <c r="L415" s="621" t="s">
        <v>356</v>
      </c>
      <c r="M415" s="305" t="s">
        <v>291</v>
      </c>
      <c r="N415" s="292" t="s">
        <v>655</v>
      </c>
      <c r="O415" s="337"/>
      <c r="P415" s="607"/>
      <c r="Q415" s="295" t="s">
        <v>315</v>
      </c>
      <c r="R415" s="622"/>
      <c r="S415" s="337"/>
      <c r="T415" s="297" t="s">
        <v>324</v>
      </c>
      <c r="U415" s="297" t="s">
        <v>324</v>
      </c>
      <c r="V415" s="297" t="s">
        <v>324</v>
      </c>
      <c r="W415" s="297" t="s">
        <v>324</v>
      </c>
      <c r="X415" s="297" t="s">
        <v>324</v>
      </c>
      <c r="Y415" s="297" t="s">
        <v>324</v>
      </c>
      <c r="Z415" s="297" t="s">
        <v>324</v>
      </c>
      <c r="AA415" s="297" t="s">
        <v>324</v>
      </c>
      <c r="AB415" s="609"/>
      <c r="AC415" s="614"/>
      <c r="AD415" s="615"/>
      <c r="AE415" s="297" t="s">
        <v>315</v>
      </c>
      <c r="AF415" s="297" t="s">
        <v>315</v>
      </c>
      <c r="AG415" s="297" t="s">
        <v>315</v>
      </c>
      <c r="AH415" s="337"/>
      <c r="AI415" s="297" t="s">
        <v>443</v>
      </c>
      <c r="AJ415" s="308" t="s">
        <v>1698</v>
      </c>
      <c r="AK415" s="307" t="s">
        <v>324</v>
      </c>
      <c r="AL415" s="299" t="s">
        <v>315</v>
      </c>
      <c r="AM415" s="619"/>
      <c r="AN415" s="619"/>
      <c r="AO415" s="337"/>
      <c r="AP415" s="337"/>
      <c r="AQ415" s="337"/>
      <c r="AR415" s="309">
        <v>5.0</v>
      </c>
      <c r="AS415" s="67"/>
    </row>
    <row r="416">
      <c r="A416" s="94"/>
      <c r="B416" s="613"/>
      <c r="C416" s="70"/>
      <c r="D416" s="71"/>
      <c r="E416" s="96"/>
      <c r="F416" s="96"/>
      <c r="G416" s="96"/>
      <c r="H416" s="96"/>
      <c r="I416" s="637"/>
      <c r="J416" s="623"/>
      <c r="K416" s="100"/>
      <c r="L416" s="621"/>
      <c r="M416" s="305"/>
      <c r="N416" s="292"/>
      <c r="O416" s="297" t="s">
        <v>750</v>
      </c>
      <c r="P416" s="659" t="s">
        <v>750</v>
      </c>
      <c r="Q416" s="295"/>
      <c r="R416" s="608" t="s">
        <v>324</v>
      </c>
      <c r="S416" s="297" t="s">
        <v>324</v>
      </c>
      <c r="T416" s="297"/>
      <c r="U416" s="297"/>
      <c r="V416" s="297"/>
      <c r="W416" s="297"/>
      <c r="X416" s="297" t="s">
        <v>329</v>
      </c>
      <c r="Y416" s="297" t="s">
        <v>329</v>
      </c>
      <c r="Z416" s="297"/>
      <c r="AA416" s="297"/>
      <c r="AB416" s="308" t="s">
        <v>1699</v>
      </c>
      <c r="AC416" s="610" t="s">
        <v>1014</v>
      </c>
      <c r="AD416" s="292" t="s">
        <v>655</v>
      </c>
      <c r="AE416" s="297" t="s">
        <v>369</v>
      </c>
      <c r="AF416" s="297"/>
      <c r="AG416" s="297"/>
      <c r="AH416" s="91" t="s">
        <v>1184</v>
      </c>
      <c r="AI416" s="133" t="s">
        <v>1243</v>
      </c>
      <c r="AJ416" s="308"/>
      <c r="AK416" s="307"/>
      <c r="AL416" s="299"/>
      <c r="AM416" s="301" t="s">
        <v>1326</v>
      </c>
      <c r="AN416" s="301" t="s">
        <v>1338</v>
      </c>
      <c r="AO416" s="297" t="s">
        <v>1341</v>
      </c>
      <c r="AP416" s="337"/>
      <c r="AQ416" s="297" t="s">
        <v>1700</v>
      </c>
      <c r="AR416" s="309"/>
      <c r="AS416" s="67"/>
    </row>
    <row r="417">
      <c r="A417" s="94"/>
      <c r="B417" s="613"/>
      <c r="C417" s="70"/>
      <c r="D417" s="71"/>
      <c r="E417" s="96"/>
      <c r="F417" s="96"/>
      <c r="G417" s="96"/>
      <c r="H417" s="73" t="s">
        <v>1701</v>
      </c>
      <c r="I417" s="637"/>
      <c r="J417" s="623"/>
      <c r="K417" s="100"/>
      <c r="L417" s="621" t="s">
        <v>356</v>
      </c>
      <c r="M417" s="305" t="s">
        <v>408</v>
      </c>
      <c r="N417" s="292" t="s">
        <v>655</v>
      </c>
      <c r="O417" s="297"/>
      <c r="P417" s="660" t="s">
        <v>804</v>
      </c>
      <c r="Q417" s="295" t="s">
        <v>315</v>
      </c>
      <c r="R417" s="608" t="s">
        <v>324</v>
      </c>
      <c r="S417" s="608" t="s">
        <v>324</v>
      </c>
      <c r="T417" s="608" t="s">
        <v>324</v>
      </c>
      <c r="U417" s="608" t="s">
        <v>324</v>
      </c>
      <c r="V417" s="608" t="s">
        <v>324</v>
      </c>
      <c r="W417" s="608" t="s">
        <v>324</v>
      </c>
      <c r="X417" s="297" t="s">
        <v>329</v>
      </c>
      <c r="Y417" s="297" t="s">
        <v>329</v>
      </c>
      <c r="Z417" s="608" t="s">
        <v>324</v>
      </c>
      <c r="AA417" s="608" t="s">
        <v>324</v>
      </c>
      <c r="AB417" s="308" t="s">
        <v>976</v>
      </c>
      <c r="AC417" s="610" t="s">
        <v>1014</v>
      </c>
      <c r="AD417" s="292" t="s">
        <v>655</v>
      </c>
      <c r="AE417" s="297" t="s">
        <v>369</v>
      </c>
      <c r="AF417" s="297" t="s">
        <v>315</v>
      </c>
      <c r="AG417" s="297" t="s">
        <v>315</v>
      </c>
      <c r="AH417" s="91" t="s">
        <v>1184</v>
      </c>
      <c r="AI417" s="133" t="s">
        <v>1243</v>
      </c>
      <c r="AJ417" s="308" t="s">
        <v>1282</v>
      </c>
      <c r="AK417" s="307" t="s">
        <v>324</v>
      </c>
      <c r="AL417" s="299" t="s">
        <v>315</v>
      </c>
      <c r="AM417" s="301" t="s">
        <v>1326</v>
      </c>
      <c r="AN417" s="301" t="s">
        <v>1338</v>
      </c>
      <c r="AO417" s="297" t="s">
        <v>1341</v>
      </c>
      <c r="AP417" s="337"/>
      <c r="AQ417" s="297"/>
      <c r="AR417" s="309"/>
      <c r="AS417" s="67"/>
    </row>
    <row r="418">
      <c r="A418" s="68"/>
      <c r="B418" s="613" t="s">
        <v>1646</v>
      </c>
      <c r="C418" s="70">
        <v>43114.0</v>
      </c>
      <c r="D418" s="71" t="s">
        <v>479</v>
      </c>
      <c r="E418" s="72">
        <v>43575.0</v>
      </c>
      <c r="F418" s="73" t="s">
        <v>280</v>
      </c>
      <c r="G418" s="72">
        <v>43581.0</v>
      </c>
      <c r="H418" s="73" t="s">
        <v>282</v>
      </c>
      <c r="I418" s="627" t="s">
        <v>1702</v>
      </c>
      <c r="J418" s="628" t="s">
        <v>246</v>
      </c>
      <c r="K418" s="77" t="s">
        <v>286</v>
      </c>
      <c r="L418" s="621" t="s">
        <v>322</v>
      </c>
      <c r="M418" s="305" t="s">
        <v>393</v>
      </c>
      <c r="N418" s="293" t="s">
        <v>1703</v>
      </c>
      <c r="O418" s="337"/>
      <c r="P418" s="607"/>
      <c r="Q418" s="295" t="s">
        <v>315</v>
      </c>
      <c r="R418" s="622"/>
      <c r="S418" s="337"/>
      <c r="T418" s="297" t="s">
        <v>324</v>
      </c>
      <c r="U418" s="297" t="s">
        <v>324</v>
      </c>
      <c r="V418" s="297" t="s">
        <v>324</v>
      </c>
      <c r="W418" s="297" t="s">
        <v>324</v>
      </c>
      <c r="X418" s="297" t="s">
        <v>324</v>
      </c>
      <c r="Y418" s="297" t="s">
        <v>324</v>
      </c>
      <c r="Z418" s="297" t="s">
        <v>324</v>
      </c>
      <c r="AA418" s="297" t="s">
        <v>324</v>
      </c>
      <c r="AB418" s="609"/>
      <c r="AC418" s="614"/>
      <c r="AD418" s="615"/>
      <c r="AE418" s="297" t="s">
        <v>315</v>
      </c>
      <c r="AF418" s="297" t="s">
        <v>315</v>
      </c>
      <c r="AG418" s="297" t="s">
        <v>315</v>
      </c>
      <c r="AH418" s="337"/>
      <c r="AI418" s="297" t="s">
        <v>524</v>
      </c>
      <c r="AJ418" s="609"/>
      <c r="AK418" s="307" t="s">
        <v>324</v>
      </c>
      <c r="AL418" s="299" t="s">
        <v>315</v>
      </c>
      <c r="AM418" s="616"/>
      <c r="AN418" s="616"/>
      <c r="AO418" s="337"/>
      <c r="AP418" s="337"/>
      <c r="AQ418" s="337"/>
      <c r="AR418" s="309">
        <v>5.0</v>
      </c>
      <c r="AS418" s="67"/>
    </row>
    <row r="419">
      <c r="A419" s="94"/>
      <c r="B419" s="613"/>
      <c r="C419" s="70"/>
      <c r="D419" s="71"/>
      <c r="E419" s="96"/>
      <c r="F419" s="96"/>
      <c r="G419" s="96"/>
      <c r="H419" s="96"/>
      <c r="I419" s="637"/>
      <c r="J419" s="623"/>
      <c r="K419" s="100"/>
      <c r="L419" s="621"/>
      <c r="M419" s="305"/>
      <c r="N419" s="20" t="s">
        <v>658</v>
      </c>
      <c r="O419" s="305" t="s">
        <v>1704</v>
      </c>
      <c r="P419" s="20" t="s">
        <v>805</v>
      </c>
      <c r="Q419" s="295" t="s">
        <v>369</v>
      </c>
      <c r="R419" s="661" t="s">
        <v>324</v>
      </c>
      <c r="S419" s="305" t="s">
        <v>324</v>
      </c>
      <c r="T419" s="305"/>
      <c r="U419" s="297"/>
      <c r="V419" s="297"/>
      <c r="W419" s="297"/>
      <c r="X419" s="305"/>
      <c r="Y419" s="297"/>
      <c r="Z419" s="297"/>
      <c r="AA419" s="297"/>
      <c r="AB419" s="609"/>
      <c r="AC419" s="610" t="s">
        <v>1015</v>
      </c>
      <c r="AD419" s="20" t="s">
        <v>646</v>
      </c>
      <c r="AE419" s="305" t="s">
        <v>369</v>
      </c>
      <c r="AF419" s="305"/>
      <c r="AG419" s="305"/>
      <c r="AH419" s="305" t="s">
        <v>1705</v>
      </c>
      <c r="AI419" s="305"/>
      <c r="AJ419" s="308" t="s">
        <v>324</v>
      </c>
      <c r="AK419" s="307"/>
      <c r="AL419" s="305"/>
      <c r="AM419" s="662" t="s">
        <v>324</v>
      </c>
      <c r="AN419" s="662" t="s">
        <v>324</v>
      </c>
      <c r="AO419" s="662" t="s">
        <v>324</v>
      </c>
      <c r="AP419" s="662" t="s">
        <v>324</v>
      </c>
      <c r="AQ419" s="297" t="s">
        <v>1706</v>
      </c>
      <c r="AR419" s="309"/>
      <c r="AS419" s="67"/>
    </row>
    <row r="420">
      <c r="A420" s="94"/>
      <c r="B420" s="613"/>
      <c r="C420" s="70"/>
      <c r="D420" s="71"/>
      <c r="E420" s="96"/>
      <c r="F420" s="96"/>
      <c r="G420" s="96"/>
      <c r="H420" s="73" t="s">
        <v>1707</v>
      </c>
      <c r="I420" s="637"/>
      <c r="J420" s="623"/>
      <c r="K420" s="100"/>
      <c r="L420" s="621" t="s">
        <v>322</v>
      </c>
      <c r="M420" s="305" t="s">
        <v>393</v>
      </c>
      <c r="N420" s="20" t="s">
        <v>658</v>
      </c>
      <c r="O420" s="305"/>
      <c r="P420" s="20" t="s">
        <v>805</v>
      </c>
      <c r="Q420" s="295" t="s">
        <v>369</v>
      </c>
      <c r="R420" s="661"/>
      <c r="S420" s="305"/>
      <c r="T420" s="305" t="s">
        <v>324</v>
      </c>
      <c r="U420" s="305" t="s">
        <v>324</v>
      </c>
      <c r="V420" s="305" t="s">
        <v>324</v>
      </c>
      <c r="W420" s="305" t="s">
        <v>324</v>
      </c>
      <c r="X420" s="305" t="s">
        <v>324</v>
      </c>
      <c r="Y420" s="305" t="s">
        <v>324</v>
      </c>
      <c r="Z420" s="305" t="s">
        <v>324</v>
      </c>
      <c r="AA420" s="305" t="s">
        <v>324</v>
      </c>
      <c r="AB420" s="609"/>
      <c r="AC420" s="610" t="s">
        <v>1015</v>
      </c>
      <c r="AD420" s="20" t="s">
        <v>646</v>
      </c>
      <c r="AE420" s="305" t="s">
        <v>369</v>
      </c>
      <c r="AF420" s="305" t="s">
        <v>315</v>
      </c>
      <c r="AG420" s="305" t="s">
        <v>315</v>
      </c>
      <c r="AH420" s="91" t="s">
        <v>1185</v>
      </c>
      <c r="AI420" s="133" t="s">
        <v>609</v>
      </c>
      <c r="AJ420" s="308"/>
      <c r="AK420" s="307" t="s">
        <v>324</v>
      </c>
      <c r="AL420" s="305" t="s">
        <v>315</v>
      </c>
      <c r="AM420" s="662"/>
      <c r="AN420" s="662"/>
      <c r="AO420" s="662"/>
      <c r="AP420" s="662"/>
      <c r="AQ420" s="297"/>
      <c r="AR420" s="309"/>
      <c r="AS420" s="67"/>
    </row>
    <row r="421">
      <c r="A421" s="94"/>
      <c r="B421" s="613" t="s">
        <v>1646</v>
      </c>
      <c r="C421" s="70">
        <v>43114.0</v>
      </c>
      <c r="D421" s="71" t="s">
        <v>479</v>
      </c>
      <c r="E421" s="72">
        <v>43576.0</v>
      </c>
      <c r="F421" s="73" t="s">
        <v>280</v>
      </c>
      <c r="G421" s="72">
        <v>43581.0</v>
      </c>
      <c r="H421" s="73" t="s">
        <v>282</v>
      </c>
      <c r="I421" s="627" t="s">
        <v>1708</v>
      </c>
      <c r="J421" s="623" t="s">
        <v>247</v>
      </c>
      <c r="K421" s="129" t="s">
        <v>770</v>
      </c>
      <c r="L421" s="621" t="s">
        <v>349</v>
      </c>
      <c r="M421" s="305" t="s">
        <v>291</v>
      </c>
      <c r="N421" s="663" t="s">
        <v>662</v>
      </c>
      <c r="O421" s="664"/>
      <c r="P421" s="607"/>
      <c r="Q421" s="295" t="s">
        <v>315</v>
      </c>
      <c r="R421" s="665"/>
      <c r="S421" s="664"/>
      <c r="T421" s="305" t="s">
        <v>324</v>
      </c>
      <c r="U421" s="297" t="s">
        <v>324</v>
      </c>
      <c r="V421" s="297" t="s">
        <v>324</v>
      </c>
      <c r="W421" s="297" t="s">
        <v>324</v>
      </c>
      <c r="X421" s="305" t="s">
        <v>324</v>
      </c>
      <c r="Y421" s="297" t="s">
        <v>324</v>
      </c>
      <c r="Z421" s="297" t="s">
        <v>324</v>
      </c>
      <c r="AA421" s="297" t="s">
        <v>324</v>
      </c>
      <c r="AB421" s="609"/>
      <c r="AC421" s="614"/>
      <c r="AD421" s="664"/>
      <c r="AE421" s="305" t="s">
        <v>315</v>
      </c>
      <c r="AF421" s="305" t="s">
        <v>315</v>
      </c>
      <c r="AG421" s="305" t="s">
        <v>315</v>
      </c>
      <c r="AH421" s="663" t="s">
        <v>1186</v>
      </c>
      <c r="AI421" s="305" t="s">
        <v>443</v>
      </c>
      <c r="AJ421" s="308" t="s">
        <v>1283</v>
      </c>
      <c r="AK421" s="307" t="s">
        <v>324</v>
      </c>
      <c r="AL421" s="305" t="s">
        <v>315</v>
      </c>
      <c r="AM421" s="666"/>
      <c r="AN421" s="666"/>
      <c r="AO421" s="664"/>
      <c r="AP421" s="664"/>
      <c r="AQ421" s="337"/>
      <c r="AR421" s="309">
        <v>5.0</v>
      </c>
      <c r="AS421" s="67"/>
    </row>
    <row r="422">
      <c r="A422" s="94"/>
      <c r="B422" s="69"/>
      <c r="C422" s="70"/>
      <c r="D422" s="71"/>
      <c r="E422" s="96"/>
      <c r="F422" s="96"/>
      <c r="G422" s="96"/>
      <c r="H422" s="96"/>
      <c r="I422" s="627"/>
      <c r="J422" s="98"/>
      <c r="K422" s="100"/>
      <c r="L422" s="79"/>
      <c r="M422" s="81" t="s">
        <v>393</v>
      </c>
      <c r="N422" s="102"/>
      <c r="O422" s="81" t="s">
        <v>504</v>
      </c>
      <c r="P422" s="81" t="s">
        <v>504</v>
      </c>
      <c r="Q422" s="138"/>
      <c r="R422" s="81" t="s">
        <v>324</v>
      </c>
      <c r="S422" s="81" t="s">
        <v>504</v>
      </c>
      <c r="T422" s="81"/>
      <c r="U422" s="81"/>
      <c r="V422" s="81"/>
      <c r="W422" s="81"/>
      <c r="X422" s="81"/>
      <c r="Y422" s="81"/>
      <c r="Z422" s="81"/>
      <c r="AA422" s="81"/>
      <c r="AB422" s="85"/>
      <c r="AC422" s="610" t="s">
        <v>324</v>
      </c>
      <c r="AD422" s="81" t="s">
        <v>504</v>
      </c>
      <c r="AE422" s="81"/>
      <c r="AF422" s="81"/>
      <c r="AG422" s="81"/>
      <c r="AH422" s="667"/>
      <c r="AI422" s="81"/>
      <c r="AJ422" s="81"/>
      <c r="AK422" s="138"/>
      <c r="AL422" s="81"/>
      <c r="AM422" s="112" t="s">
        <v>324</v>
      </c>
      <c r="AN422" s="112" t="s">
        <v>324</v>
      </c>
      <c r="AO422" s="112" t="s">
        <v>324</v>
      </c>
      <c r="AP422" s="112" t="s">
        <v>324</v>
      </c>
      <c r="AQ422" s="85"/>
      <c r="AR422" s="131"/>
      <c r="AS422" s="67"/>
    </row>
    <row r="423">
      <c r="A423" s="94"/>
      <c r="B423" s="69"/>
      <c r="C423" s="70"/>
      <c r="D423" s="71"/>
      <c r="E423" s="96"/>
      <c r="F423" s="96"/>
      <c r="G423" s="96"/>
      <c r="H423" s="96"/>
      <c r="I423" s="627"/>
      <c r="J423" s="98"/>
      <c r="K423" s="100"/>
      <c r="L423" s="621" t="s">
        <v>349</v>
      </c>
      <c r="M423" s="81" t="s">
        <v>393</v>
      </c>
      <c r="N423" s="663" t="s">
        <v>662</v>
      </c>
      <c r="O423" s="81"/>
      <c r="P423" s="81"/>
      <c r="Q423" s="138" t="s">
        <v>315</v>
      </c>
      <c r="R423" s="81"/>
      <c r="S423" s="81"/>
      <c r="T423" s="305" t="s">
        <v>324</v>
      </c>
      <c r="U423" s="305" t="s">
        <v>324</v>
      </c>
      <c r="V423" s="305" t="s">
        <v>324</v>
      </c>
      <c r="W423" s="305" t="s">
        <v>324</v>
      </c>
      <c r="X423" s="305" t="s">
        <v>324</v>
      </c>
      <c r="Y423" s="305" t="s">
        <v>324</v>
      </c>
      <c r="Z423" s="305" t="s">
        <v>324</v>
      </c>
      <c r="AA423" s="305" t="s">
        <v>324</v>
      </c>
      <c r="AB423" s="85"/>
      <c r="AC423" s="610"/>
      <c r="AD423" s="81"/>
      <c r="AE423" s="305" t="s">
        <v>315</v>
      </c>
      <c r="AF423" s="305" t="s">
        <v>315</v>
      </c>
      <c r="AG423" s="305" t="s">
        <v>315</v>
      </c>
      <c r="AH423" s="663" t="s">
        <v>1186</v>
      </c>
      <c r="AI423" s="305" t="s">
        <v>443</v>
      </c>
      <c r="AJ423" s="308" t="s">
        <v>1283</v>
      </c>
      <c r="AK423" s="307" t="s">
        <v>324</v>
      </c>
      <c r="AL423" s="305" t="s">
        <v>315</v>
      </c>
      <c r="AM423" s="112"/>
      <c r="AN423" s="112"/>
      <c r="AO423" s="112"/>
      <c r="AP423" s="112"/>
      <c r="AQ423" s="85"/>
      <c r="AR423" s="131"/>
      <c r="AS423" s="67"/>
    </row>
    <row r="424">
      <c r="A424" s="383"/>
      <c r="B424" s="69" t="s">
        <v>238</v>
      </c>
      <c r="C424" s="70">
        <v>43444.0</v>
      </c>
      <c r="D424" s="71" t="s">
        <v>479</v>
      </c>
      <c r="E424" s="72">
        <v>43576.0</v>
      </c>
      <c r="F424" s="73" t="s">
        <v>280</v>
      </c>
      <c r="G424" s="72">
        <v>43581.0</v>
      </c>
      <c r="H424" s="73" t="s">
        <v>282</v>
      </c>
      <c r="I424" s="132" t="s">
        <v>1709</v>
      </c>
      <c r="J424" s="384" t="s">
        <v>248</v>
      </c>
      <c r="K424" s="129" t="s">
        <v>286</v>
      </c>
      <c r="L424" s="79" t="s">
        <v>317</v>
      </c>
      <c r="M424" s="81" t="s">
        <v>393</v>
      </c>
      <c r="N424" s="82" t="s">
        <v>1710</v>
      </c>
      <c r="Q424" s="81" t="s">
        <v>282</v>
      </c>
      <c r="R424" s="181" t="s">
        <v>324</v>
      </c>
      <c r="S424" s="85"/>
      <c r="T424" s="81" t="s">
        <v>324</v>
      </c>
      <c r="U424" s="81" t="s">
        <v>324</v>
      </c>
      <c r="V424" s="81" t="s">
        <v>324</v>
      </c>
      <c r="W424" s="81" t="s">
        <v>324</v>
      </c>
      <c r="X424" s="81" t="s">
        <v>324</v>
      </c>
      <c r="Y424" s="81" t="s">
        <v>324</v>
      </c>
      <c r="Z424" s="81" t="s">
        <v>324</v>
      </c>
      <c r="AA424" s="81" t="s">
        <v>324</v>
      </c>
      <c r="AB424" s="85"/>
      <c r="AC424" s="668"/>
      <c r="AD424" s="85"/>
      <c r="AE424" s="81" t="s">
        <v>315</v>
      </c>
      <c r="AF424" s="81" t="s">
        <v>315</v>
      </c>
      <c r="AG424" s="81" t="s">
        <v>315</v>
      </c>
      <c r="AH424" s="85"/>
      <c r="AI424" s="81" t="s">
        <v>324</v>
      </c>
      <c r="AJ424" s="81" t="s">
        <v>324</v>
      </c>
      <c r="AK424" s="81" t="s">
        <v>324</v>
      </c>
      <c r="AL424" s="81" t="s">
        <v>324</v>
      </c>
      <c r="AM424" s="81" t="s">
        <v>324</v>
      </c>
      <c r="AN424" s="81" t="s">
        <v>754</v>
      </c>
      <c r="AO424" s="81" t="s">
        <v>324</v>
      </c>
      <c r="AP424" s="81" t="s">
        <v>324</v>
      </c>
      <c r="AQ424" s="81" t="s">
        <v>1711</v>
      </c>
      <c r="AR424" s="131" t="s">
        <v>703</v>
      </c>
      <c r="AS424" s="67"/>
    </row>
    <row r="425">
      <c r="A425" s="383"/>
      <c r="B425" s="69"/>
      <c r="C425" s="70"/>
      <c r="D425" s="71"/>
      <c r="E425" s="96"/>
      <c r="F425" s="96"/>
      <c r="G425" s="96"/>
      <c r="H425" s="96"/>
      <c r="I425" s="132"/>
      <c r="J425" s="384"/>
      <c r="K425" s="387"/>
      <c r="L425" s="79"/>
      <c r="M425" s="81"/>
      <c r="N425" s="20" t="s">
        <v>663</v>
      </c>
      <c r="O425" s="81" t="s">
        <v>504</v>
      </c>
      <c r="P425" s="81" t="s">
        <v>504</v>
      </c>
      <c r="Q425" s="81" t="s">
        <v>315</v>
      </c>
      <c r="R425" s="181"/>
      <c r="S425" s="81" t="s">
        <v>504</v>
      </c>
      <c r="T425" s="81"/>
      <c r="U425" s="81"/>
      <c r="V425" s="81"/>
      <c r="W425" s="81"/>
      <c r="X425" s="81"/>
      <c r="Y425" s="81"/>
      <c r="Z425" s="81"/>
      <c r="AA425" s="81"/>
      <c r="AB425" s="85"/>
      <c r="AC425" s="556" t="s">
        <v>324</v>
      </c>
      <c r="AD425" s="81" t="s">
        <v>504</v>
      </c>
      <c r="AE425" s="81"/>
      <c r="AF425" s="81"/>
      <c r="AG425" s="81"/>
      <c r="AH425" s="81" t="s">
        <v>504</v>
      </c>
      <c r="AI425" s="81"/>
      <c r="AJ425" s="81"/>
      <c r="AK425" s="81"/>
      <c r="AL425" s="81"/>
      <c r="AM425" s="81"/>
      <c r="AN425" s="81" t="s">
        <v>324</v>
      </c>
      <c r="AO425" s="81"/>
      <c r="AP425" s="81"/>
      <c r="AQ425" s="81" t="s">
        <v>1712</v>
      </c>
      <c r="AR425" s="131"/>
      <c r="AS425" s="67"/>
    </row>
    <row r="426">
      <c r="A426" s="383"/>
      <c r="B426" s="69"/>
      <c r="C426" s="70"/>
      <c r="D426" s="71"/>
      <c r="E426" s="96"/>
      <c r="F426" s="96"/>
      <c r="G426" s="96"/>
      <c r="H426" s="96"/>
      <c r="I426" s="132"/>
      <c r="J426" s="384"/>
      <c r="K426" s="387"/>
      <c r="L426" s="79" t="s">
        <v>317</v>
      </c>
      <c r="M426" s="81" t="s">
        <v>393</v>
      </c>
      <c r="N426" s="20" t="s">
        <v>663</v>
      </c>
      <c r="O426" s="81"/>
      <c r="P426" s="81"/>
      <c r="Q426" s="81" t="s">
        <v>315</v>
      </c>
      <c r="R426" s="181"/>
      <c r="S426" s="81"/>
      <c r="T426" s="81" t="s">
        <v>324</v>
      </c>
      <c r="U426" s="81" t="s">
        <v>324</v>
      </c>
      <c r="V426" s="81" t="s">
        <v>324</v>
      </c>
      <c r="W426" s="81" t="s">
        <v>324</v>
      </c>
      <c r="X426" s="81" t="s">
        <v>324</v>
      </c>
      <c r="Y426" s="81" t="s">
        <v>324</v>
      </c>
      <c r="Z426" s="81" t="s">
        <v>324</v>
      </c>
      <c r="AA426" s="81" t="s">
        <v>324</v>
      </c>
      <c r="AB426" s="85"/>
      <c r="AC426" s="556"/>
      <c r="AD426" s="81"/>
      <c r="AE426" s="81" t="s">
        <v>315</v>
      </c>
      <c r="AF426" s="81" t="s">
        <v>315</v>
      </c>
      <c r="AG426" s="81" t="s">
        <v>315</v>
      </c>
      <c r="AH426" s="81"/>
      <c r="AI426" s="81" t="s">
        <v>524</v>
      </c>
      <c r="AJ426" s="81"/>
      <c r="AK426" s="81" t="s">
        <v>324</v>
      </c>
      <c r="AL426" s="81" t="s">
        <v>315</v>
      </c>
      <c r="AM426" s="81"/>
      <c r="AN426" s="81"/>
      <c r="AO426" s="81"/>
      <c r="AP426" s="81"/>
      <c r="AQ426" s="81"/>
      <c r="AR426" s="131"/>
      <c r="AS426" s="67"/>
    </row>
    <row r="427">
      <c r="A427" s="240"/>
      <c r="B427" s="69" t="s">
        <v>238</v>
      </c>
      <c r="C427" s="70">
        <v>43444.0</v>
      </c>
      <c r="D427" s="71" t="s">
        <v>280</v>
      </c>
      <c r="E427" s="72">
        <v>43566.0</v>
      </c>
      <c r="F427" s="73" t="s">
        <v>258</v>
      </c>
      <c r="G427" s="72">
        <v>43581.0</v>
      </c>
      <c r="H427" s="73" t="s">
        <v>282</v>
      </c>
      <c r="I427" s="128" t="s">
        <v>1713</v>
      </c>
      <c r="J427" s="76" t="s">
        <v>249</v>
      </c>
      <c r="K427" s="129" t="s">
        <v>1280</v>
      </c>
      <c r="L427" s="79" t="s">
        <v>305</v>
      </c>
      <c r="M427" s="81" t="s">
        <v>291</v>
      </c>
      <c r="N427" s="82" t="s">
        <v>664</v>
      </c>
      <c r="P427" s="82" t="s">
        <v>780</v>
      </c>
      <c r="Q427" s="81" t="s">
        <v>315</v>
      </c>
      <c r="R427" s="81" t="s">
        <v>748</v>
      </c>
      <c r="S427" s="82" t="s">
        <v>749</v>
      </c>
      <c r="T427" s="81" t="s">
        <v>324</v>
      </c>
      <c r="U427" s="81" t="s">
        <v>324</v>
      </c>
      <c r="V427" s="81" t="s">
        <v>324</v>
      </c>
      <c r="W427" s="81" t="s">
        <v>324</v>
      </c>
      <c r="X427" s="81" t="s">
        <v>324</v>
      </c>
      <c r="Y427" s="81" t="s">
        <v>324</v>
      </c>
      <c r="Z427" s="81" t="s">
        <v>324</v>
      </c>
      <c r="AA427" s="81" t="s">
        <v>324</v>
      </c>
      <c r="AB427" s="81" t="s">
        <v>971</v>
      </c>
      <c r="AC427" s="81" t="s">
        <v>324</v>
      </c>
      <c r="AD427" s="85"/>
      <c r="AE427" s="81" t="s">
        <v>315</v>
      </c>
      <c r="AF427" s="81" t="s">
        <v>315</v>
      </c>
      <c r="AG427" s="81" t="s">
        <v>315</v>
      </c>
      <c r="AH427" s="85"/>
      <c r="AI427" s="81" t="s">
        <v>524</v>
      </c>
      <c r="AJ427" s="81" t="s">
        <v>324</v>
      </c>
      <c r="AK427" s="81" t="s">
        <v>324</v>
      </c>
      <c r="AL427" s="81" t="s">
        <v>315</v>
      </c>
      <c r="AM427" s="81" t="s">
        <v>324</v>
      </c>
      <c r="AN427" s="81" t="s">
        <v>754</v>
      </c>
      <c r="AO427" s="81" t="s">
        <v>324</v>
      </c>
      <c r="AP427" s="81" t="s">
        <v>324</v>
      </c>
      <c r="AQ427" s="81" t="s">
        <v>1714</v>
      </c>
      <c r="AR427" s="131" t="s">
        <v>703</v>
      </c>
      <c r="AS427" s="25"/>
    </row>
    <row r="428">
      <c r="A428" s="383"/>
      <c r="B428" s="69"/>
      <c r="C428" s="70"/>
      <c r="D428" s="71"/>
      <c r="E428" s="72"/>
      <c r="F428" s="72"/>
      <c r="G428" s="72"/>
      <c r="H428" s="72"/>
      <c r="I428" s="132"/>
      <c r="J428" s="384"/>
      <c r="K428" s="387"/>
      <c r="L428" s="79"/>
      <c r="M428" s="81"/>
      <c r="N428" s="81"/>
      <c r="O428" s="81"/>
      <c r="P428" s="81"/>
      <c r="Q428" s="81"/>
      <c r="R428" s="81"/>
      <c r="S428" s="81"/>
      <c r="T428" s="81"/>
      <c r="U428" s="81"/>
      <c r="V428" s="81"/>
      <c r="W428" s="81"/>
      <c r="X428" s="81"/>
      <c r="Y428" s="81"/>
      <c r="Z428" s="81"/>
      <c r="AA428" s="81"/>
      <c r="AB428" s="81"/>
      <c r="AC428" s="181" t="s">
        <v>1715</v>
      </c>
      <c r="AD428" s="81" t="s">
        <v>1716</v>
      </c>
      <c r="AE428" s="81"/>
      <c r="AF428" s="81"/>
      <c r="AG428" s="81"/>
      <c r="AH428" s="81" t="s">
        <v>1717</v>
      </c>
      <c r="AI428" s="181" t="s">
        <v>1241</v>
      </c>
      <c r="AJ428" s="81"/>
      <c r="AK428" s="81"/>
      <c r="AL428" s="81"/>
      <c r="AM428" s="81"/>
      <c r="AN428" s="81"/>
      <c r="AO428" s="81"/>
      <c r="AP428" s="81"/>
      <c r="AQ428" s="81"/>
      <c r="AR428" s="131"/>
      <c r="AS428" s="25"/>
    </row>
    <row r="429">
      <c r="A429" s="388"/>
      <c r="B429" s="167"/>
      <c r="C429" s="168"/>
      <c r="D429" s="169"/>
      <c r="E429" s="197"/>
      <c r="F429" s="197"/>
      <c r="G429" s="197"/>
      <c r="H429" s="197"/>
      <c r="I429" s="171"/>
      <c r="J429" s="389"/>
      <c r="K429" s="390"/>
      <c r="L429" s="127" t="s">
        <v>305</v>
      </c>
      <c r="M429" s="114" t="s">
        <v>291</v>
      </c>
      <c r="N429" s="122" t="s">
        <v>664</v>
      </c>
      <c r="O429" s="114"/>
      <c r="P429" s="122" t="s">
        <v>780</v>
      </c>
      <c r="Q429" s="114" t="s">
        <v>315</v>
      </c>
      <c r="R429" s="114" t="s">
        <v>748</v>
      </c>
      <c r="S429" s="122" t="s">
        <v>749</v>
      </c>
      <c r="T429" s="114" t="s">
        <v>324</v>
      </c>
      <c r="U429" s="114" t="s">
        <v>324</v>
      </c>
      <c r="V429" s="114" t="s">
        <v>324</v>
      </c>
      <c r="W429" s="114" t="s">
        <v>324</v>
      </c>
      <c r="X429" s="114" t="s">
        <v>324</v>
      </c>
      <c r="Y429" s="114" t="s">
        <v>324</v>
      </c>
      <c r="Z429" s="114" t="s">
        <v>324</v>
      </c>
      <c r="AA429" s="114" t="s">
        <v>324</v>
      </c>
      <c r="AB429" s="114" t="s">
        <v>971</v>
      </c>
      <c r="AC429" s="135" t="s">
        <v>798</v>
      </c>
      <c r="AD429" s="188" t="s">
        <v>559</v>
      </c>
      <c r="AE429" s="114" t="s">
        <v>315</v>
      </c>
      <c r="AF429" s="114" t="s">
        <v>315</v>
      </c>
      <c r="AG429" s="114" t="s">
        <v>315</v>
      </c>
      <c r="AH429" s="135" t="s">
        <v>1187</v>
      </c>
      <c r="AI429" s="135" t="s">
        <v>609</v>
      </c>
      <c r="AJ429" s="114"/>
      <c r="AK429" s="114" t="s">
        <v>324</v>
      </c>
      <c r="AL429" s="114" t="s">
        <v>315</v>
      </c>
      <c r="AM429" s="114"/>
      <c r="AN429" s="114"/>
      <c r="AO429" s="114"/>
      <c r="AP429" s="114"/>
      <c r="AQ429" s="114" t="s">
        <v>1714</v>
      </c>
      <c r="AR429" s="142" t="s">
        <v>703</v>
      </c>
      <c r="AS429" s="176"/>
    </row>
    <row r="430">
      <c r="A430" s="240"/>
      <c r="B430" s="69" t="s">
        <v>238</v>
      </c>
      <c r="C430" s="70">
        <v>43444.0</v>
      </c>
      <c r="D430" s="71" t="s">
        <v>280</v>
      </c>
      <c r="E430" s="72">
        <v>43566.0</v>
      </c>
      <c r="F430" s="73" t="s">
        <v>258</v>
      </c>
      <c r="G430" s="72">
        <v>43581.0</v>
      </c>
      <c r="H430" s="73" t="s">
        <v>282</v>
      </c>
      <c r="I430" s="74" t="s">
        <v>1719</v>
      </c>
      <c r="J430" s="76" t="s">
        <v>250</v>
      </c>
      <c r="K430" s="129" t="s">
        <v>286</v>
      </c>
      <c r="L430" s="79" t="s">
        <v>305</v>
      </c>
      <c r="M430" s="81" t="s">
        <v>393</v>
      </c>
      <c r="N430" s="82" t="s">
        <v>665</v>
      </c>
      <c r="P430" s="82" t="s">
        <v>780</v>
      </c>
      <c r="Q430" s="81" t="s">
        <v>315</v>
      </c>
      <c r="R430" s="81" t="s">
        <v>748</v>
      </c>
      <c r="S430" s="82" t="s">
        <v>749</v>
      </c>
      <c r="T430" s="81" t="s">
        <v>282</v>
      </c>
      <c r="U430" s="81" t="s">
        <v>282</v>
      </c>
      <c r="V430" s="81" t="s">
        <v>282</v>
      </c>
      <c r="W430" s="81" t="s">
        <v>282</v>
      </c>
      <c r="X430" s="81" t="s">
        <v>282</v>
      </c>
      <c r="Y430" s="81" t="s">
        <v>282</v>
      </c>
      <c r="Z430" s="81" t="s">
        <v>282</v>
      </c>
      <c r="AA430" s="81" t="s">
        <v>282</v>
      </c>
      <c r="AB430" s="81" t="s">
        <v>971</v>
      </c>
      <c r="AC430" s="81" t="s">
        <v>798</v>
      </c>
      <c r="AD430" s="82" t="s">
        <v>559</v>
      </c>
      <c r="AE430" s="81" t="s">
        <v>315</v>
      </c>
      <c r="AF430" s="81" t="s">
        <v>315</v>
      </c>
      <c r="AG430" s="81" t="s">
        <v>315</v>
      </c>
      <c r="AH430" s="82" t="s">
        <v>752</v>
      </c>
      <c r="AI430" s="81" t="s">
        <v>1161</v>
      </c>
      <c r="AJ430" s="81" t="s">
        <v>324</v>
      </c>
      <c r="AK430" s="81" t="s">
        <v>324</v>
      </c>
      <c r="AL430" s="81" t="s">
        <v>315</v>
      </c>
      <c r="AM430" s="81" t="s">
        <v>324</v>
      </c>
      <c r="AN430" s="81" t="s">
        <v>754</v>
      </c>
      <c r="AO430" s="81" t="s">
        <v>324</v>
      </c>
      <c r="AP430" s="81" t="s">
        <v>324</v>
      </c>
      <c r="AQ430" s="81" t="s">
        <v>1721</v>
      </c>
      <c r="AR430" s="131" t="s">
        <v>1069</v>
      </c>
      <c r="AS430" s="25"/>
    </row>
    <row r="431">
      <c r="A431" s="383"/>
      <c r="B431" s="69"/>
      <c r="C431" s="70"/>
      <c r="D431" s="71"/>
      <c r="E431" s="72"/>
      <c r="F431" s="72"/>
      <c r="G431" s="72"/>
      <c r="H431" s="72"/>
      <c r="I431" s="669"/>
      <c r="J431" s="384"/>
      <c r="K431" s="387"/>
      <c r="L431" s="79"/>
      <c r="M431" s="81"/>
      <c r="N431" s="81"/>
      <c r="O431" s="81"/>
      <c r="P431" s="81"/>
      <c r="Q431" s="81"/>
      <c r="R431" s="81"/>
      <c r="S431" s="81"/>
      <c r="T431" s="81"/>
      <c r="U431" s="81"/>
      <c r="V431" s="81"/>
      <c r="W431" s="81"/>
      <c r="X431" s="81"/>
      <c r="Y431" s="81"/>
      <c r="Z431" s="81"/>
      <c r="AA431" s="81"/>
      <c r="AB431" s="81"/>
      <c r="AC431" s="181"/>
      <c r="AD431" s="81"/>
      <c r="AE431" s="81"/>
      <c r="AF431" s="81"/>
      <c r="AG431" s="81"/>
      <c r="AH431" s="81" t="s">
        <v>1717</v>
      </c>
      <c r="AI431" s="181" t="s">
        <v>1241</v>
      </c>
      <c r="AJ431" s="81"/>
      <c r="AK431" s="81"/>
      <c r="AL431" s="81"/>
      <c r="AM431" s="81"/>
      <c r="AN431" s="81"/>
      <c r="AO431" s="81"/>
      <c r="AP431" s="81"/>
      <c r="AQ431" s="81"/>
      <c r="AR431" s="131"/>
      <c r="AS431" s="25"/>
    </row>
    <row r="432">
      <c r="A432" s="388"/>
      <c r="B432" s="167"/>
      <c r="C432" s="168"/>
      <c r="D432" s="169"/>
      <c r="E432" s="197"/>
      <c r="F432" s="197"/>
      <c r="G432" s="197"/>
      <c r="H432" s="197"/>
      <c r="I432" s="670"/>
      <c r="J432" s="389"/>
      <c r="K432" s="390"/>
      <c r="L432" s="127" t="s">
        <v>305</v>
      </c>
      <c r="M432" s="114" t="s">
        <v>393</v>
      </c>
      <c r="N432" s="122" t="s">
        <v>665</v>
      </c>
      <c r="O432" s="114"/>
      <c r="P432" s="122" t="s">
        <v>780</v>
      </c>
      <c r="Q432" s="114" t="s">
        <v>315</v>
      </c>
      <c r="R432" s="114" t="s">
        <v>748</v>
      </c>
      <c r="S432" s="122" t="s">
        <v>749</v>
      </c>
      <c r="T432" s="114" t="s">
        <v>324</v>
      </c>
      <c r="U432" s="114" t="s">
        <v>324</v>
      </c>
      <c r="V432" s="114" t="s">
        <v>324</v>
      </c>
      <c r="W432" s="114" t="s">
        <v>324</v>
      </c>
      <c r="X432" s="114" t="s">
        <v>324</v>
      </c>
      <c r="Y432" s="114" t="s">
        <v>324</v>
      </c>
      <c r="Z432" s="114" t="s">
        <v>324</v>
      </c>
      <c r="AA432" s="114" t="s">
        <v>324</v>
      </c>
      <c r="AB432" s="114" t="s">
        <v>971</v>
      </c>
      <c r="AC432" s="182" t="s">
        <v>798</v>
      </c>
      <c r="AD432" s="122" t="s">
        <v>559</v>
      </c>
      <c r="AE432" s="114" t="s">
        <v>315</v>
      </c>
      <c r="AF432" s="114" t="s">
        <v>315</v>
      </c>
      <c r="AG432" s="114" t="s">
        <v>315</v>
      </c>
      <c r="AH432" s="114" t="s">
        <v>1187</v>
      </c>
      <c r="AI432" s="135" t="s">
        <v>443</v>
      </c>
      <c r="AJ432" s="114"/>
      <c r="AK432" s="114" t="s">
        <v>324</v>
      </c>
      <c r="AL432" s="114" t="s">
        <v>315</v>
      </c>
      <c r="AM432" s="114"/>
      <c r="AN432" s="114"/>
      <c r="AO432" s="114"/>
      <c r="AP432" s="114"/>
      <c r="AQ432" s="114" t="s">
        <v>1721</v>
      </c>
      <c r="AR432" s="142" t="s">
        <v>1069</v>
      </c>
      <c r="AS432" s="176"/>
    </row>
    <row r="433">
      <c r="A433" s="383"/>
      <c r="B433" s="69" t="s">
        <v>238</v>
      </c>
      <c r="C433" s="70">
        <v>43444.0</v>
      </c>
      <c r="D433" s="71" t="s">
        <v>280</v>
      </c>
      <c r="E433" s="72">
        <v>43566.0</v>
      </c>
      <c r="F433" s="73" t="s">
        <v>258</v>
      </c>
      <c r="G433" s="72">
        <v>43581.0</v>
      </c>
      <c r="H433" s="73" t="s">
        <v>282</v>
      </c>
      <c r="I433" s="132" t="s">
        <v>1722</v>
      </c>
      <c r="J433" s="384" t="s">
        <v>251</v>
      </c>
      <c r="K433" s="129" t="s">
        <v>519</v>
      </c>
      <c r="L433" s="79" t="s">
        <v>357</v>
      </c>
      <c r="M433" s="81" t="s">
        <v>315</v>
      </c>
      <c r="N433" s="85"/>
      <c r="O433" s="85"/>
      <c r="P433" s="85"/>
      <c r="Q433" s="81" t="s">
        <v>315</v>
      </c>
      <c r="R433" s="576"/>
      <c r="S433" s="85"/>
      <c r="T433" s="81" t="s">
        <v>324</v>
      </c>
      <c r="U433" s="81" t="s">
        <v>324</v>
      </c>
      <c r="V433" s="81" t="s">
        <v>324</v>
      </c>
      <c r="W433" s="81" t="s">
        <v>324</v>
      </c>
      <c r="X433" s="81" t="s">
        <v>324</v>
      </c>
      <c r="Y433" s="81" t="s">
        <v>324</v>
      </c>
      <c r="Z433" s="81" t="s">
        <v>324</v>
      </c>
      <c r="AA433" s="81" t="s">
        <v>324</v>
      </c>
      <c r="AB433" s="85"/>
      <c r="AC433" s="181" t="s">
        <v>324</v>
      </c>
      <c r="AD433" s="85"/>
      <c r="AE433" s="81" t="s">
        <v>315</v>
      </c>
      <c r="AF433" s="81" t="s">
        <v>315</v>
      </c>
      <c r="AG433" s="81" t="s">
        <v>315</v>
      </c>
      <c r="AH433" s="82" t="s">
        <v>1723</v>
      </c>
      <c r="AI433" s="81" t="s">
        <v>1724</v>
      </c>
      <c r="AJ433" s="81" t="s">
        <v>324</v>
      </c>
      <c r="AK433" s="81" t="s">
        <v>324</v>
      </c>
      <c r="AL433" s="81" t="s">
        <v>315</v>
      </c>
      <c r="AM433" s="81" t="s">
        <v>324</v>
      </c>
      <c r="AN433" s="81" t="s">
        <v>523</v>
      </c>
      <c r="AO433" s="81" t="s">
        <v>324</v>
      </c>
      <c r="AP433" s="81" t="s">
        <v>324</v>
      </c>
      <c r="AQ433" s="81" t="s">
        <v>1725</v>
      </c>
      <c r="AR433" s="131" t="s">
        <v>703</v>
      </c>
      <c r="AS433" s="25"/>
    </row>
    <row r="434">
      <c r="A434" s="383"/>
      <c r="B434" s="69"/>
      <c r="C434" s="70"/>
      <c r="D434" s="71"/>
      <c r="E434" s="72"/>
      <c r="F434" s="72"/>
      <c r="G434" s="72"/>
      <c r="H434" s="72"/>
      <c r="I434" s="132"/>
      <c r="J434" s="384"/>
      <c r="K434" s="387"/>
      <c r="L434" s="79"/>
      <c r="M434" s="81"/>
      <c r="N434" s="85"/>
      <c r="O434" s="85"/>
      <c r="P434" s="85"/>
      <c r="Q434" s="81"/>
      <c r="R434" s="576"/>
      <c r="S434" s="85"/>
      <c r="T434" s="81"/>
      <c r="U434" s="81"/>
      <c r="V434" s="81"/>
      <c r="W434" s="81"/>
      <c r="X434" s="81"/>
      <c r="Y434" s="81"/>
      <c r="Z434" s="81"/>
      <c r="AA434" s="81"/>
      <c r="AB434" s="85"/>
      <c r="AC434" s="181"/>
      <c r="AD434" s="85"/>
      <c r="AE434" s="81"/>
      <c r="AF434" s="81"/>
      <c r="AG434" s="81"/>
      <c r="AH434" s="81" t="s">
        <v>1726</v>
      </c>
      <c r="AI434" s="133" t="s">
        <v>1727</v>
      </c>
      <c r="AJ434" s="81"/>
      <c r="AK434" s="81"/>
      <c r="AL434" s="81"/>
      <c r="AM434" s="81"/>
      <c r="AN434" s="81"/>
      <c r="AO434" s="81"/>
      <c r="AP434" s="81"/>
      <c r="AQ434" s="81"/>
      <c r="AR434" s="131"/>
      <c r="AS434" s="25"/>
    </row>
    <row r="435">
      <c r="A435" s="388"/>
      <c r="B435" s="167"/>
      <c r="C435" s="168"/>
      <c r="D435" s="169"/>
      <c r="E435" s="197"/>
      <c r="F435" s="197"/>
      <c r="G435" s="197"/>
      <c r="H435" s="197"/>
      <c r="I435" s="171"/>
      <c r="J435" s="389"/>
      <c r="K435" s="390"/>
      <c r="L435" s="127" t="s">
        <v>357</v>
      </c>
      <c r="M435" s="114" t="s">
        <v>315</v>
      </c>
      <c r="N435" s="118"/>
      <c r="O435" s="118"/>
      <c r="P435" s="118"/>
      <c r="Q435" s="114" t="s">
        <v>315</v>
      </c>
      <c r="R435" s="671"/>
      <c r="S435" s="118"/>
      <c r="T435" s="114" t="s">
        <v>324</v>
      </c>
      <c r="U435" s="114" t="s">
        <v>324</v>
      </c>
      <c r="V435" s="114" t="s">
        <v>324</v>
      </c>
      <c r="W435" s="114" t="s">
        <v>324</v>
      </c>
      <c r="X435" s="114" t="s">
        <v>324</v>
      </c>
      <c r="Y435" s="114" t="s">
        <v>324</v>
      </c>
      <c r="Z435" s="114" t="s">
        <v>324</v>
      </c>
      <c r="AA435" s="114" t="s">
        <v>324</v>
      </c>
      <c r="AB435" s="118"/>
      <c r="AC435" s="182" t="s">
        <v>324</v>
      </c>
      <c r="AD435" s="118"/>
      <c r="AE435" s="114" t="s">
        <v>315</v>
      </c>
      <c r="AF435" s="114" t="s">
        <v>315</v>
      </c>
      <c r="AG435" s="114" t="s">
        <v>315</v>
      </c>
      <c r="AH435" s="188" t="s">
        <v>1188</v>
      </c>
      <c r="AI435" s="135" t="s">
        <v>615</v>
      </c>
      <c r="AJ435" s="114"/>
      <c r="AK435" s="114" t="s">
        <v>324</v>
      </c>
      <c r="AL435" s="114" t="s">
        <v>315</v>
      </c>
      <c r="AM435" s="114"/>
      <c r="AN435" s="114"/>
      <c r="AO435" s="114"/>
      <c r="AP435" s="114"/>
      <c r="AQ435" s="114" t="s">
        <v>1725</v>
      </c>
      <c r="AR435" s="142" t="s">
        <v>703</v>
      </c>
      <c r="AS435" s="176"/>
    </row>
    <row r="436">
      <c r="A436" s="383"/>
      <c r="B436" s="69" t="s">
        <v>238</v>
      </c>
      <c r="C436" s="70">
        <v>43440.0</v>
      </c>
      <c r="D436" s="71" t="s">
        <v>280</v>
      </c>
      <c r="E436" s="72">
        <v>43566.0</v>
      </c>
      <c r="F436" s="73" t="s">
        <v>258</v>
      </c>
      <c r="G436" s="72">
        <v>43581.0</v>
      </c>
      <c r="H436" s="73" t="s">
        <v>282</v>
      </c>
      <c r="I436" s="132" t="s">
        <v>1729</v>
      </c>
      <c r="J436" s="98" t="s">
        <v>252</v>
      </c>
      <c r="K436" s="129" t="s">
        <v>789</v>
      </c>
      <c r="L436" s="79" t="s">
        <v>354</v>
      </c>
      <c r="M436" s="81" t="s">
        <v>291</v>
      </c>
      <c r="N436" s="82" t="s">
        <v>1079</v>
      </c>
      <c r="P436" s="85"/>
      <c r="Q436" s="81" t="s">
        <v>282</v>
      </c>
      <c r="R436" s="81" t="s">
        <v>324</v>
      </c>
      <c r="S436" s="85"/>
      <c r="T436" s="81" t="s">
        <v>282</v>
      </c>
      <c r="U436" s="81" t="s">
        <v>324</v>
      </c>
      <c r="V436" s="81" t="s">
        <v>282</v>
      </c>
      <c r="W436" s="81" t="s">
        <v>324</v>
      </c>
      <c r="X436" s="81" t="s">
        <v>282</v>
      </c>
      <c r="Y436" s="81" t="s">
        <v>282</v>
      </c>
      <c r="Z436" s="81" t="s">
        <v>282</v>
      </c>
      <c r="AA436" s="81" t="s">
        <v>329</v>
      </c>
      <c r="AB436" s="85"/>
      <c r="AC436" s="556" t="s">
        <v>1012</v>
      </c>
      <c r="AD436" s="82" t="s">
        <v>1079</v>
      </c>
      <c r="AE436" s="81" t="s">
        <v>369</v>
      </c>
      <c r="AF436" s="81" t="s">
        <v>315</v>
      </c>
      <c r="AG436" s="81" t="s">
        <v>315</v>
      </c>
      <c r="AH436" s="82" t="s">
        <v>1079</v>
      </c>
      <c r="AI436" s="556" t="s">
        <v>1730</v>
      </c>
      <c r="AJ436" s="81" t="s">
        <v>324</v>
      </c>
      <c r="AK436" s="81" t="s">
        <v>324</v>
      </c>
      <c r="AL436" s="81" t="s">
        <v>315</v>
      </c>
      <c r="AM436" s="81" t="s">
        <v>324</v>
      </c>
      <c r="AN436" s="81" t="s">
        <v>523</v>
      </c>
      <c r="AO436" s="81" t="s">
        <v>324</v>
      </c>
      <c r="AP436" s="81" t="s">
        <v>324</v>
      </c>
      <c r="AQ436" s="81" t="s">
        <v>1731</v>
      </c>
      <c r="AR436" s="131" t="s">
        <v>1614</v>
      </c>
      <c r="AS436" s="25"/>
    </row>
    <row r="437">
      <c r="A437" s="383"/>
      <c r="B437" s="69"/>
      <c r="C437" s="70"/>
      <c r="D437" s="71"/>
      <c r="E437" s="72"/>
      <c r="F437" s="72"/>
      <c r="G437" s="72"/>
      <c r="H437" s="72"/>
      <c r="I437" s="132"/>
      <c r="J437" s="98"/>
      <c r="K437" s="100"/>
      <c r="L437" s="79"/>
      <c r="M437" s="81"/>
      <c r="N437" s="81" t="s">
        <v>1732</v>
      </c>
      <c r="O437" s="81"/>
      <c r="P437" s="85"/>
      <c r="Q437" s="81"/>
      <c r="R437" s="81"/>
      <c r="S437" s="85"/>
      <c r="T437" s="81"/>
      <c r="U437" s="81"/>
      <c r="V437" s="81"/>
      <c r="W437" s="81"/>
      <c r="X437" s="81"/>
      <c r="Y437" s="81"/>
      <c r="Z437" s="81"/>
      <c r="AA437" s="81"/>
      <c r="AB437" s="85"/>
      <c r="AC437" s="556"/>
      <c r="AD437" s="82" t="s">
        <v>1733</v>
      </c>
      <c r="AE437" s="81"/>
      <c r="AF437" s="81"/>
      <c r="AG437" s="81"/>
      <c r="AH437" s="81"/>
      <c r="AI437" s="556" t="s">
        <v>1734</v>
      </c>
      <c r="AJ437" s="81"/>
      <c r="AK437" s="81"/>
      <c r="AL437" s="81"/>
      <c r="AM437" s="81"/>
      <c r="AN437" s="81"/>
      <c r="AO437" s="81"/>
      <c r="AP437" s="81"/>
      <c r="AQ437" s="81"/>
      <c r="AR437" s="131"/>
      <c r="AS437" s="25"/>
    </row>
    <row r="438">
      <c r="A438" s="388"/>
      <c r="B438" s="167"/>
      <c r="C438" s="168"/>
      <c r="D438" s="169"/>
      <c r="E438" s="197"/>
      <c r="F438" s="197"/>
      <c r="G438" s="197"/>
      <c r="H438" s="197"/>
      <c r="I438" s="171"/>
      <c r="J438" s="172"/>
      <c r="K438" s="173"/>
      <c r="L438" s="127" t="s">
        <v>354</v>
      </c>
      <c r="M438" s="114" t="s">
        <v>291</v>
      </c>
      <c r="N438" s="135" t="s">
        <v>669</v>
      </c>
      <c r="O438" s="114"/>
      <c r="P438" s="118"/>
      <c r="Q438" s="114" t="s">
        <v>282</v>
      </c>
      <c r="R438" s="114"/>
      <c r="S438" s="118"/>
      <c r="T438" s="114" t="s">
        <v>282</v>
      </c>
      <c r="U438" s="114" t="s">
        <v>282</v>
      </c>
      <c r="V438" s="114" t="s">
        <v>282</v>
      </c>
      <c r="W438" s="114" t="s">
        <v>324</v>
      </c>
      <c r="X438" s="114" t="s">
        <v>282</v>
      </c>
      <c r="Y438" s="114" t="s">
        <v>282</v>
      </c>
      <c r="Z438" s="114" t="s">
        <v>324</v>
      </c>
      <c r="AA438" s="114" t="s">
        <v>324</v>
      </c>
      <c r="AB438" s="118"/>
      <c r="AC438" s="672" t="s">
        <v>1012</v>
      </c>
      <c r="AD438" s="122" t="s">
        <v>1079</v>
      </c>
      <c r="AE438" s="114" t="s">
        <v>369</v>
      </c>
      <c r="AF438" s="114" t="s">
        <v>315</v>
      </c>
      <c r="AG438" s="114" t="s">
        <v>315</v>
      </c>
      <c r="AH438" s="122" t="s">
        <v>1079</v>
      </c>
      <c r="AI438" s="672" t="s">
        <v>621</v>
      </c>
      <c r="AJ438" s="114" t="s">
        <v>324</v>
      </c>
      <c r="AK438" s="114" t="s">
        <v>324</v>
      </c>
      <c r="AL438" s="114" t="s">
        <v>315</v>
      </c>
      <c r="AM438" s="114"/>
      <c r="AN438" s="114"/>
      <c r="AO438" s="114"/>
      <c r="AP438" s="114"/>
      <c r="AQ438" s="114" t="s">
        <v>1731</v>
      </c>
      <c r="AR438" s="142" t="s">
        <v>1614</v>
      </c>
      <c r="AS438" s="176"/>
    </row>
    <row r="439">
      <c r="A439" s="383"/>
      <c r="B439" s="69" t="s">
        <v>238</v>
      </c>
      <c r="C439" s="70">
        <v>43440.0</v>
      </c>
      <c r="D439" s="71" t="s">
        <v>280</v>
      </c>
      <c r="E439" s="72">
        <v>43572.0</v>
      </c>
      <c r="F439" s="73" t="s">
        <v>258</v>
      </c>
      <c r="G439" s="72">
        <v>43581.0</v>
      </c>
      <c r="H439" s="73" t="s">
        <v>282</v>
      </c>
      <c r="I439" s="132" t="s">
        <v>1735</v>
      </c>
      <c r="J439" s="98" t="s">
        <v>253</v>
      </c>
      <c r="K439" s="129" t="s">
        <v>933</v>
      </c>
      <c r="L439" s="79" t="s">
        <v>358</v>
      </c>
      <c r="M439" s="81" t="s">
        <v>1736</v>
      </c>
      <c r="N439" s="82" t="s">
        <v>670</v>
      </c>
      <c r="Q439" s="81" t="s">
        <v>282</v>
      </c>
      <c r="R439" s="110" t="s">
        <v>1737</v>
      </c>
      <c r="S439" s="82" t="s">
        <v>670</v>
      </c>
      <c r="T439" s="81" t="s">
        <v>1738</v>
      </c>
      <c r="U439" s="81" t="s">
        <v>324</v>
      </c>
      <c r="V439" s="81" t="s">
        <v>324</v>
      </c>
      <c r="W439" s="81" t="s">
        <v>324</v>
      </c>
      <c r="X439" s="81" t="s">
        <v>282</v>
      </c>
      <c r="Y439" s="81" t="s">
        <v>282</v>
      </c>
      <c r="Z439" s="81" t="s">
        <v>1739</v>
      </c>
      <c r="AA439" s="81" t="s">
        <v>1740</v>
      </c>
      <c r="AB439" s="81" t="s">
        <v>977</v>
      </c>
      <c r="AC439" s="110" t="s">
        <v>1741</v>
      </c>
      <c r="AD439" s="82" t="s">
        <v>670</v>
      </c>
      <c r="AE439" s="81" t="s">
        <v>315</v>
      </c>
      <c r="AF439" s="81" t="s">
        <v>315</v>
      </c>
      <c r="AG439" s="81" t="s">
        <v>315</v>
      </c>
      <c r="AH439" s="82" t="s">
        <v>1190</v>
      </c>
      <c r="AI439" s="181" t="s">
        <v>443</v>
      </c>
      <c r="AJ439" s="181" t="s">
        <v>1284</v>
      </c>
      <c r="AK439" s="81" t="s">
        <v>324</v>
      </c>
      <c r="AL439" s="81" t="s">
        <v>315</v>
      </c>
      <c r="AM439" s="181" t="s">
        <v>1327</v>
      </c>
      <c r="AN439" s="81" t="s">
        <v>523</v>
      </c>
      <c r="AO439" s="81" t="s">
        <v>324</v>
      </c>
      <c r="AP439" s="81" t="s">
        <v>324</v>
      </c>
      <c r="AQ439" s="81" t="s">
        <v>1742</v>
      </c>
      <c r="AR439" s="131" t="s">
        <v>703</v>
      </c>
      <c r="AS439" s="67"/>
    </row>
    <row r="440">
      <c r="A440" s="383"/>
      <c r="B440" s="69"/>
      <c r="C440" s="70"/>
      <c r="D440" s="71"/>
      <c r="E440" s="96"/>
      <c r="F440" s="96"/>
      <c r="G440" s="96"/>
      <c r="H440" s="96"/>
      <c r="I440" s="132"/>
      <c r="J440" s="98"/>
      <c r="K440" s="100"/>
      <c r="L440" s="79"/>
      <c r="M440" s="81"/>
      <c r="N440" s="81"/>
      <c r="O440" s="81"/>
      <c r="P440" s="81"/>
      <c r="Q440" s="81"/>
      <c r="R440" s="110" t="s">
        <v>863</v>
      </c>
      <c r="S440" s="20" t="s">
        <v>930</v>
      </c>
      <c r="T440" s="81" t="s">
        <v>282</v>
      </c>
      <c r="U440" s="81"/>
      <c r="V440" s="81"/>
      <c r="W440" s="81"/>
      <c r="X440" s="81"/>
      <c r="Y440" s="81"/>
      <c r="Z440" s="81" t="s">
        <v>282</v>
      </c>
      <c r="AA440" s="81"/>
      <c r="AB440" s="81" t="s">
        <v>1743</v>
      </c>
      <c r="AC440" s="110" t="s">
        <v>1016</v>
      </c>
      <c r="AD440" s="20" t="s">
        <v>1081</v>
      </c>
      <c r="AE440" s="81" t="s">
        <v>315</v>
      </c>
      <c r="AF440" s="81" t="s">
        <v>315</v>
      </c>
      <c r="AG440" s="81" t="s">
        <v>315</v>
      </c>
      <c r="AH440" s="81"/>
      <c r="AI440" s="181"/>
      <c r="AJ440" s="181"/>
      <c r="AK440" s="81"/>
      <c r="AL440" s="81"/>
      <c r="AM440" s="181"/>
      <c r="AN440" s="81"/>
      <c r="AO440" s="81"/>
      <c r="AP440" s="81"/>
      <c r="AQ440" s="81"/>
      <c r="AR440" s="131"/>
      <c r="AS440" s="67"/>
    </row>
    <row r="441">
      <c r="A441" s="388"/>
      <c r="B441" s="167"/>
      <c r="C441" s="168"/>
      <c r="D441" s="169"/>
      <c r="E441" s="170"/>
      <c r="F441" s="170"/>
      <c r="G441" s="170"/>
      <c r="H441" s="170"/>
      <c r="I441" s="171"/>
      <c r="J441" s="172"/>
      <c r="K441" s="173"/>
      <c r="L441" s="127" t="s">
        <v>358</v>
      </c>
      <c r="M441" s="114" t="s">
        <v>315</v>
      </c>
      <c r="N441" s="122" t="s">
        <v>670</v>
      </c>
      <c r="O441" s="114"/>
      <c r="P441" s="114"/>
      <c r="Q441" s="114" t="s">
        <v>282</v>
      </c>
      <c r="R441" s="125" t="s">
        <v>863</v>
      </c>
      <c r="S441" s="174" t="s">
        <v>930</v>
      </c>
      <c r="T441" s="114" t="s">
        <v>282</v>
      </c>
      <c r="U441" s="114" t="s">
        <v>324</v>
      </c>
      <c r="V441" s="114" t="s">
        <v>324</v>
      </c>
      <c r="W441" s="114" t="s">
        <v>324</v>
      </c>
      <c r="X441" s="114" t="s">
        <v>282</v>
      </c>
      <c r="Y441" s="114" t="s">
        <v>282</v>
      </c>
      <c r="Z441" s="114" t="s">
        <v>324</v>
      </c>
      <c r="AA441" s="114" t="s">
        <v>369</v>
      </c>
      <c r="AB441" s="114" t="s">
        <v>977</v>
      </c>
      <c r="AC441" s="125" t="s">
        <v>1016</v>
      </c>
      <c r="AD441" s="174" t="s">
        <v>1081</v>
      </c>
      <c r="AE441" s="114" t="s">
        <v>315</v>
      </c>
      <c r="AF441" s="114" t="s">
        <v>315</v>
      </c>
      <c r="AG441" s="114" t="s">
        <v>315</v>
      </c>
      <c r="AH441" s="122" t="s">
        <v>1190</v>
      </c>
      <c r="AI441" s="182" t="s">
        <v>443</v>
      </c>
      <c r="AJ441" s="182" t="s">
        <v>1284</v>
      </c>
      <c r="AK441" s="114" t="s">
        <v>324</v>
      </c>
      <c r="AL441" s="114" t="s">
        <v>315</v>
      </c>
      <c r="AM441" s="182" t="s">
        <v>1327</v>
      </c>
      <c r="AN441" s="114"/>
      <c r="AO441" s="114"/>
      <c r="AP441" s="114"/>
      <c r="AQ441" s="114" t="s">
        <v>1744</v>
      </c>
      <c r="AR441" s="142" t="s">
        <v>703</v>
      </c>
      <c r="AS441" s="143"/>
    </row>
    <row r="442">
      <c r="A442" s="383"/>
      <c r="B442" s="69" t="s">
        <v>238</v>
      </c>
      <c r="C442" s="70">
        <v>43440.0</v>
      </c>
      <c r="D442" s="71" t="s">
        <v>280</v>
      </c>
      <c r="E442" s="72">
        <v>43572.0</v>
      </c>
      <c r="F442" s="73" t="s">
        <v>258</v>
      </c>
      <c r="G442" s="72">
        <v>43581.0</v>
      </c>
      <c r="H442" s="73" t="s">
        <v>282</v>
      </c>
      <c r="I442" s="132" t="s">
        <v>1745</v>
      </c>
      <c r="J442" s="98" t="s">
        <v>254</v>
      </c>
      <c r="K442" s="100"/>
      <c r="L442" s="79" t="s">
        <v>358</v>
      </c>
      <c r="M442" s="81" t="s">
        <v>1736</v>
      </c>
      <c r="N442" s="82" t="s">
        <v>670</v>
      </c>
      <c r="Q442" s="81" t="s">
        <v>282</v>
      </c>
      <c r="R442" s="110" t="s">
        <v>1737</v>
      </c>
      <c r="S442" s="82" t="s">
        <v>670</v>
      </c>
      <c r="T442" s="81" t="s">
        <v>1738</v>
      </c>
      <c r="U442" s="81" t="s">
        <v>324</v>
      </c>
      <c r="V442" s="81" t="s">
        <v>324</v>
      </c>
      <c r="W442" s="81" t="s">
        <v>324</v>
      </c>
      <c r="X442" s="81" t="s">
        <v>282</v>
      </c>
      <c r="Y442" s="81" t="s">
        <v>282</v>
      </c>
      <c r="Z442" s="81" t="s">
        <v>1739</v>
      </c>
      <c r="AA442" s="81" t="s">
        <v>1740</v>
      </c>
      <c r="AB442" s="81" t="s">
        <v>977</v>
      </c>
      <c r="AC442" s="110" t="s">
        <v>1741</v>
      </c>
      <c r="AD442" s="82" t="s">
        <v>670</v>
      </c>
      <c r="AE442" s="81" t="s">
        <v>315</v>
      </c>
      <c r="AF442" s="81" t="s">
        <v>315</v>
      </c>
      <c r="AG442" s="81" t="s">
        <v>315</v>
      </c>
      <c r="AH442" s="82" t="s">
        <v>1746</v>
      </c>
      <c r="AI442" s="181" t="s">
        <v>443</v>
      </c>
      <c r="AJ442" s="181" t="s">
        <v>1284</v>
      </c>
      <c r="AK442" s="81" t="s">
        <v>324</v>
      </c>
      <c r="AL442" s="81" t="s">
        <v>315</v>
      </c>
      <c r="AM442" s="81" t="s">
        <v>1328</v>
      </c>
      <c r="AN442" s="81" t="s">
        <v>523</v>
      </c>
      <c r="AO442" s="81" t="s">
        <v>324</v>
      </c>
      <c r="AP442" s="81" t="s">
        <v>324</v>
      </c>
      <c r="AQ442" s="81" t="s">
        <v>1742</v>
      </c>
      <c r="AR442" s="131" t="s">
        <v>703</v>
      </c>
      <c r="AS442" s="67"/>
    </row>
    <row r="443">
      <c r="A443" s="383"/>
      <c r="B443" s="69"/>
      <c r="C443" s="70"/>
      <c r="D443" s="71"/>
      <c r="E443" s="96"/>
      <c r="F443" s="96"/>
      <c r="G443" s="96"/>
      <c r="H443" s="96"/>
      <c r="I443" s="132"/>
      <c r="J443" s="98"/>
      <c r="K443" s="100"/>
      <c r="L443" s="79"/>
      <c r="M443" s="81"/>
      <c r="N443" s="20" t="s">
        <v>672</v>
      </c>
      <c r="O443" s="81"/>
      <c r="P443" s="20" t="s">
        <v>1082</v>
      </c>
      <c r="Q443" s="81"/>
      <c r="R443" s="110"/>
      <c r="S443" s="81" t="s">
        <v>577</v>
      </c>
      <c r="T443" s="81"/>
      <c r="U443" s="81"/>
      <c r="V443" s="81"/>
      <c r="W443" s="81"/>
      <c r="X443" s="81"/>
      <c r="Y443" s="81"/>
      <c r="Z443" s="81" t="s">
        <v>282</v>
      </c>
      <c r="AA443" s="81" t="s">
        <v>282</v>
      </c>
      <c r="AB443" s="81" t="s">
        <v>1747</v>
      </c>
      <c r="AC443" s="110" t="s">
        <v>1016</v>
      </c>
      <c r="AD443" s="20" t="s">
        <v>1082</v>
      </c>
      <c r="AE443" s="81"/>
      <c r="AF443" s="81"/>
      <c r="AG443" s="81"/>
      <c r="AH443" s="20" t="s">
        <v>672</v>
      </c>
      <c r="AI443" s="181"/>
      <c r="AJ443" s="181"/>
      <c r="AK443" s="81"/>
      <c r="AL443" s="81"/>
      <c r="AM443" s="81"/>
      <c r="AN443" s="81"/>
      <c r="AO443" s="81"/>
      <c r="AP443" s="81"/>
      <c r="AQ443" s="81"/>
      <c r="AR443" s="131"/>
      <c r="AS443" s="67"/>
    </row>
    <row r="444">
      <c r="A444" s="388"/>
      <c r="B444" s="167"/>
      <c r="C444" s="168"/>
      <c r="D444" s="169"/>
      <c r="E444" s="170"/>
      <c r="F444" s="170"/>
      <c r="G444" s="170"/>
      <c r="H444" s="170"/>
      <c r="I444" s="171"/>
      <c r="J444" s="172"/>
      <c r="K444" s="173"/>
      <c r="L444" s="127"/>
      <c r="M444" s="114" t="s">
        <v>315</v>
      </c>
      <c r="N444" s="174" t="s">
        <v>672</v>
      </c>
      <c r="O444" s="114"/>
      <c r="P444" s="134"/>
      <c r="Q444" s="114" t="s">
        <v>282</v>
      </c>
      <c r="R444" s="125"/>
      <c r="S444" s="114"/>
      <c r="T444" s="114" t="s">
        <v>282</v>
      </c>
      <c r="U444" s="114" t="s">
        <v>324</v>
      </c>
      <c r="V444" s="114" t="s">
        <v>324</v>
      </c>
      <c r="W444" s="114" t="s">
        <v>324</v>
      </c>
      <c r="X444" s="114" t="s">
        <v>282</v>
      </c>
      <c r="Y444" s="114" t="s">
        <v>282</v>
      </c>
      <c r="Z444" s="114" t="s">
        <v>324</v>
      </c>
      <c r="AA444" s="114" t="s">
        <v>324</v>
      </c>
      <c r="AB444" s="114"/>
      <c r="AC444" s="125" t="s">
        <v>1016</v>
      </c>
      <c r="AD444" s="174" t="s">
        <v>1082</v>
      </c>
      <c r="AE444" s="114" t="s">
        <v>315</v>
      </c>
      <c r="AF444" s="114" t="s">
        <v>315</v>
      </c>
      <c r="AG444" s="114" t="s">
        <v>315</v>
      </c>
      <c r="AH444" s="174" t="s">
        <v>672</v>
      </c>
      <c r="AI444" s="182" t="s">
        <v>443</v>
      </c>
      <c r="AJ444" s="182" t="s">
        <v>1284</v>
      </c>
      <c r="AK444" s="114" t="s">
        <v>324</v>
      </c>
      <c r="AL444" s="114" t="s">
        <v>315</v>
      </c>
      <c r="AM444" s="114" t="s">
        <v>1328</v>
      </c>
      <c r="AN444" s="114"/>
      <c r="AO444" s="114"/>
      <c r="AP444" s="114"/>
      <c r="AQ444" s="114"/>
      <c r="AR444" s="142" t="s">
        <v>703</v>
      </c>
      <c r="AS444" s="143"/>
    </row>
    <row r="445">
      <c r="A445" s="383"/>
      <c r="B445" s="69" t="s">
        <v>238</v>
      </c>
      <c r="C445" s="70">
        <v>43440.0</v>
      </c>
      <c r="D445" s="71" t="s">
        <v>280</v>
      </c>
      <c r="E445" s="72">
        <v>43572.0</v>
      </c>
      <c r="F445" s="73" t="s">
        <v>258</v>
      </c>
      <c r="G445" s="72">
        <v>43581.0</v>
      </c>
      <c r="H445" s="73" t="s">
        <v>282</v>
      </c>
      <c r="I445" s="132" t="s">
        <v>1748</v>
      </c>
      <c r="J445" s="98" t="s">
        <v>255</v>
      </c>
      <c r="K445" s="129" t="s">
        <v>933</v>
      </c>
      <c r="L445" s="79" t="s">
        <v>347</v>
      </c>
      <c r="M445" s="81" t="s">
        <v>1559</v>
      </c>
      <c r="N445" s="82" t="s">
        <v>597</v>
      </c>
      <c r="P445" s="85"/>
      <c r="Q445" s="81" t="s">
        <v>282</v>
      </c>
      <c r="R445" s="181" t="s">
        <v>864</v>
      </c>
      <c r="S445" s="82" t="s">
        <v>910</v>
      </c>
      <c r="T445" s="81" t="s">
        <v>329</v>
      </c>
      <c r="U445" s="81" t="s">
        <v>369</v>
      </c>
      <c r="V445" s="81" t="s">
        <v>324</v>
      </c>
      <c r="W445" s="81" t="s">
        <v>324</v>
      </c>
      <c r="X445" s="81" t="s">
        <v>329</v>
      </c>
      <c r="Y445" s="81" t="s">
        <v>329</v>
      </c>
      <c r="Z445" s="81" t="s">
        <v>324</v>
      </c>
      <c r="AA445" s="81" t="s">
        <v>282</v>
      </c>
      <c r="AB445" s="85"/>
      <c r="AC445" s="181" t="s">
        <v>1610</v>
      </c>
      <c r="AD445" s="82" t="s">
        <v>597</v>
      </c>
      <c r="AE445" s="81" t="s">
        <v>369</v>
      </c>
      <c r="AF445" s="81" t="s">
        <v>315</v>
      </c>
      <c r="AG445" s="81" t="s">
        <v>315</v>
      </c>
      <c r="AH445" s="82" t="s">
        <v>1170</v>
      </c>
      <c r="AI445" s="81" t="s">
        <v>1611</v>
      </c>
      <c r="AJ445" s="181" t="s">
        <v>1612</v>
      </c>
      <c r="AK445" s="584" t="s">
        <v>1310</v>
      </c>
      <c r="AL445" s="585" t="s">
        <v>369</v>
      </c>
      <c r="AM445" s="85"/>
      <c r="AN445" s="81" t="s">
        <v>523</v>
      </c>
      <c r="AO445" s="81" t="s">
        <v>324</v>
      </c>
      <c r="AP445" s="81" t="s">
        <v>324</v>
      </c>
      <c r="AQ445" s="81" t="s">
        <v>1749</v>
      </c>
      <c r="AR445" s="131" t="s">
        <v>1614</v>
      </c>
      <c r="AS445" s="67"/>
    </row>
    <row r="446">
      <c r="A446" s="383"/>
      <c r="B446" s="69"/>
      <c r="C446" s="70"/>
      <c r="D446" s="71"/>
      <c r="E446" s="96"/>
      <c r="F446" s="96"/>
      <c r="G446" s="96"/>
      <c r="H446" s="96"/>
      <c r="I446" s="132"/>
      <c r="J446" s="98"/>
      <c r="K446" s="100"/>
      <c r="L446" s="79"/>
      <c r="M446" s="81" t="s">
        <v>291</v>
      </c>
      <c r="N446" s="20" t="s">
        <v>674</v>
      </c>
      <c r="O446" s="81"/>
      <c r="P446" s="85"/>
      <c r="Q446" s="81"/>
      <c r="R446" s="181"/>
      <c r="S446" s="81"/>
      <c r="T446" s="81" t="s">
        <v>282</v>
      </c>
      <c r="U446" s="81" t="s">
        <v>282</v>
      </c>
      <c r="V446" s="81" t="s">
        <v>282</v>
      </c>
      <c r="W446" s="81" t="s">
        <v>282</v>
      </c>
      <c r="X446" s="81" t="s">
        <v>282</v>
      </c>
      <c r="Y446" s="81" t="s">
        <v>327</v>
      </c>
      <c r="Z446" s="81" t="s">
        <v>282</v>
      </c>
      <c r="AA446" s="81" t="s">
        <v>282</v>
      </c>
      <c r="AB446" s="85"/>
      <c r="AC446" s="181" t="s">
        <v>1017</v>
      </c>
      <c r="AD446" s="82" t="s">
        <v>1083</v>
      </c>
      <c r="AE446" s="81"/>
      <c r="AF446" s="81"/>
      <c r="AG446" s="81"/>
      <c r="AH446" s="20" t="s">
        <v>1192</v>
      </c>
      <c r="AI446" s="81" t="s">
        <v>621</v>
      </c>
      <c r="AJ446" s="181" t="s">
        <v>1285</v>
      </c>
      <c r="AK446" s="584"/>
      <c r="AL446" s="81"/>
      <c r="AM446" s="81" t="s">
        <v>1329</v>
      </c>
      <c r="AN446" s="81"/>
      <c r="AO446" s="81"/>
      <c r="AP446" s="81"/>
      <c r="AQ446" s="81" t="s">
        <v>1750</v>
      </c>
      <c r="AR446" s="131"/>
      <c r="AS446" s="67"/>
    </row>
    <row r="447">
      <c r="A447" s="388"/>
      <c r="B447" s="167"/>
      <c r="C447" s="168"/>
      <c r="D447" s="169"/>
      <c r="E447" s="170"/>
      <c r="F447" s="170"/>
      <c r="G447" s="170"/>
      <c r="H447" s="170"/>
      <c r="I447" s="171"/>
      <c r="J447" s="172"/>
      <c r="K447" s="173"/>
      <c r="L447" s="127" t="s">
        <v>347</v>
      </c>
      <c r="M447" s="114" t="s">
        <v>291</v>
      </c>
      <c r="N447" s="174" t="s">
        <v>674</v>
      </c>
      <c r="O447" s="134"/>
      <c r="P447" s="118"/>
      <c r="Q447" s="114" t="s">
        <v>282</v>
      </c>
      <c r="R447" s="182" t="s">
        <v>864</v>
      </c>
      <c r="S447" s="122" t="s">
        <v>910</v>
      </c>
      <c r="T447" s="114" t="s">
        <v>324</v>
      </c>
      <c r="U447" s="114" t="s">
        <v>324</v>
      </c>
      <c r="V447" s="114" t="s">
        <v>324</v>
      </c>
      <c r="W447" s="114" t="s">
        <v>324</v>
      </c>
      <c r="X447" s="114" t="s">
        <v>324</v>
      </c>
      <c r="Y447" s="114" t="s">
        <v>327</v>
      </c>
      <c r="Z447" s="114" t="s">
        <v>324</v>
      </c>
      <c r="AA447" s="114" t="s">
        <v>324</v>
      </c>
      <c r="AB447" s="118"/>
      <c r="AC447" s="182" t="s">
        <v>1017</v>
      </c>
      <c r="AD447" s="122" t="s">
        <v>1083</v>
      </c>
      <c r="AE447" s="114" t="s">
        <v>369</v>
      </c>
      <c r="AF447" s="114" t="s">
        <v>315</v>
      </c>
      <c r="AG447" s="114" t="s">
        <v>315</v>
      </c>
      <c r="AH447" s="174" t="s">
        <v>1192</v>
      </c>
      <c r="AI447" s="114" t="s">
        <v>621</v>
      </c>
      <c r="AJ447" s="182" t="s">
        <v>1285</v>
      </c>
      <c r="AK447" s="673" t="s">
        <v>1310</v>
      </c>
      <c r="AL447" s="674" t="s">
        <v>369</v>
      </c>
      <c r="AM447" s="114" t="s">
        <v>1329</v>
      </c>
      <c r="AN447" s="114"/>
      <c r="AO447" s="114"/>
      <c r="AP447" s="114"/>
      <c r="AQ447" s="114" t="s">
        <v>1749</v>
      </c>
      <c r="AR447" s="142" t="s">
        <v>1614</v>
      </c>
      <c r="AS447" s="143"/>
    </row>
    <row r="448">
      <c r="A448" s="675" t="s">
        <v>256</v>
      </c>
      <c r="B448" s="69" t="s">
        <v>1751</v>
      </c>
      <c r="C448" s="70">
        <v>43472.0</v>
      </c>
      <c r="D448" s="71" t="s">
        <v>258</v>
      </c>
      <c r="E448" s="72">
        <v>43575.0</v>
      </c>
      <c r="F448" s="73" t="s">
        <v>280</v>
      </c>
      <c r="G448" s="72">
        <v>43581.0</v>
      </c>
      <c r="H448" s="73" t="s">
        <v>282</v>
      </c>
      <c r="I448" s="74" t="s">
        <v>1752</v>
      </c>
      <c r="J448" s="76" t="s">
        <v>256</v>
      </c>
      <c r="K448" s="129" t="s">
        <v>286</v>
      </c>
      <c r="L448" s="79" t="s">
        <v>305</v>
      </c>
      <c r="M448" s="81" t="s">
        <v>393</v>
      </c>
      <c r="N448" s="102" t="s">
        <v>677</v>
      </c>
      <c r="P448" s="83"/>
      <c r="Q448" s="676" t="s">
        <v>315</v>
      </c>
      <c r="R448" s="199" t="s">
        <v>844</v>
      </c>
      <c r="S448" s="82" t="s">
        <v>677</v>
      </c>
      <c r="T448" s="81" t="s">
        <v>324</v>
      </c>
      <c r="U448" s="81" t="s">
        <v>324</v>
      </c>
      <c r="V448" s="81" t="s">
        <v>324</v>
      </c>
      <c r="W448" s="81" t="s">
        <v>324</v>
      </c>
      <c r="X448" s="81" t="s">
        <v>324</v>
      </c>
      <c r="Y448" s="81" t="s">
        <v>324</v>
      </c>
      <c r="Z448" s="81" t="s">
        <v>324</v>
      </c>
      <c r="AA448" s="81" t="s">
        <v>324</v>
      </c>
      <c r="AB448" s="81" t="s">
        <v>324</v>
      </c>
      <c r="AC448" s="635" t="s">
        <v>315</v>
      </c>
      <c r="AD448" s="677"/>
      <c r="AE448" s="678" t="s">
        <v>315</v>
      </c>
      <c r="AF448" s="678" t="s">
        <v>315</v>
      </c>
      <c r="AG448" s="678" t="s">
        <v>315</v>
      </c>
      <c r="AH448" s="81" t="s">
        <v>1199</v>
      </c>
      <c r="AI448" s="81" t="s">
        <v>1244</v>
      </c>
      <c r="AJ448" s="199" t="s">
        <v>1286</v>
      </c>
      <c r="AK448" s="635" t="s">
        <v>315</v>
      </c>
      <c r="AL448" s="678" t="s">
        <v>315</v>
      </c>
      <c r="AM448" s="677"/>
      <c r="AN448" s="677"/>
      <c r="AO448" s="677"/>
      <c r="AP448" s="677"/>
      <c r="AQ448" s="85"/>
      <c r="AR448" s="679">
        <v>0.3659722222222222</v>
      </c>
      <c r="AS448" s="67"/>
    </row>
    <row r="449">
      <c r="A449" s="675"/>
      <c r="B449" s="69"/>
      <c r="C449" s="70"/>
      <c r="D449" s="71"/>
      <c r="E449" s="96"/>
      <c r="F449" s="96"/>
      <c r="G449" s="96"/>
      <c r="H449" s="96"/>
      <c r="I449" s="74"/>
      <c r="J449" s="76"/>
      <c r="K449" s="79"/>
      <c r="L449" s="79"/>
      <c r="M449" s="81"/>
      <c r="N449" s="102"/>
      <c r="O449" s="102"/>
      <c r="P449" s="85"/>
      <c r="Q449" s="678"/>
      <c r="R449" s="199"/>
      <c r="S449" s="81"/>
      <c r="T449" s="81"/>
      <c r="U449" s="81"/>
      <c r="V449" s="81"/>
      <c r="W449" s="81"/>
      <c r="X449" s="81"/>
      <c r="Y449" s="81"/>
      <c r="Z449" s="81"/>
      <c r="AA449" s="81"/>
      <c r="AB449" s="81"/>
      <c r="AC449" s="139"/>
      <c r="AD449" s="680"/>
      <c r="AE449" s="139"/>
      <c r="AF449" s="139"/>
      <c r="AG449" s="139"/>
      <c r="AH449" s="81"/>
      <c r="AI449" s="81"/>
      <c r="AJ449" s="199"/>
      <c r="AK449" s="139"/>
      <c r="AL449" s="139"/>
      <c r="AM449" s="680"/>
      <c r="AN449" s="680"/>
      <c r="AO449" s="680"/>
      <c r="AP449" s="680"/>
      <c r="AQ449" s="85"/>
      <c r="AR449" s="679"/>
      <c r="AS449" s="67"/>
    </row>
    <row r="450">
      <c r="A450" s="675"/>
      <c r="B450" s="69"/>
      <c r="C450" s="70"/>
      <c r="D450" s="71"/>
      <c r="E450" s="96"/>
      <c r="F450" s="96"/>
      <c r="G450" s="96"/>
      <c r="H450" s="96"/>
      <c r="I450" s="74"/>
      <c r="J450" s="76"/>
      <c r="K450" s="79"/>
      <c r="L450" s="79" t="s">
        <v>305</v>
      </c>
      <c r="M450" s="81" t="s">
        <v>393</v>
      </c>
      <c r="N450" s="102" t="s">
        <v>677</v>
      </c>
      <c r="P450" s="85"/>
      <c r="Q450" s="676" t="s">
        <v>315</v>
      </c>
      <c r="R450" s="199" t="s">
        <v>844</v>
      </c>
      <c r="S450" s="82" t="s">
        <v>677</v>
      </c>
      <c r="T450" s="81" t="s">
        <v>324</v>
      </c>
      <c r="U450" s="81" t="s">
        <v>324</v>
      </c>
      <c r="V450" s="81" t="s">
        <v>324</v>
      </c>
      <c r="W450" s="81" t="s">
        <v>324</v>
      </c>
      <c r="X450" s="81" t="s">
        <v>324</v>
      </c>
      <c r="Y450" s="81" t="s">
        <v>324</v>
      </c>
      <c r="Z450" s="81" t="s">
        <v>324</v>
      </c>
      <c r="AA450" s="81" t="s">
        <v>324</v>
      </c>
      <c r="AB450" s="81"/>
      <c r="AC450" s="635"/>
      <c r="AD450" s="680"/>
      <c r="AE450" s="678" t="s">
        <v>315</v>
      </c>
      <c r="AF450" s="678" t="s">
        <v>315</v>
      </c>
      <c r="AG450" s="678" t="s">
        <v>315</v>
      </c>
      <c r="AH450" s="81" t="s">
        <v>1199</v>
      </c>
      <c r="AI450" s="81" t="s">
        <v>1244</v>
      </c>
      <c r="AJ450" s="199" t="s">
        <v>1286</v>
      </c>
      <c r="AK450" s="635" t="s">
        <v>315</v>
      </c>
      <c r="AL450" s="678" t="s">
        <v>315</v>
      </c>
      <c r="AM450" s="680"/>
      <c r="AN450" s="680"/>
      <c r="AO450" s="680"/>
      <c r="AP450" s="680"/>
      <c r="AQ450" s="85"/>
      <c r="AR450" s="679"/>
      <c r="AS450" s="67"/>
    </row>
    <row r="451">
      <c r="A451" s="675" t="s">
        <v>257</v>
      </c>
      <c r="B451" s="69" t="s">
        <v>1751</v>
      </c>
      <c r="C451" s="70">
        <v>43472.0</v>
      </c>
      <c r="D451" s="71" t="s">
        <v>767</v>
      </c>
      <c r="E451" s="72">
        <v>43579.0</v>
      </c>
      <c r="F451" s="73" t="s">
        <v>280</v>
      </c>
      <c r="G451" s="72">
        <v>43583.0</v>
      </c>
      <c r="H451" s="73" t="s">
        <v>282</v>
      </c>
      <c r="I451" s="128" t="s">
        <v>1753</v>
      </c>
      <c r="J451" s="76" t="s">
        <v>257</v>
      </c>
      <c r="K451" s="77" t="s">
        <v>519</v>
      </c>
      <c r="L451" s="221" t="s">
        <v>359</v>
      </c>
      <c r="M451" s="222" t="s">
        <v>315</v>
      </c>
      <c r="N451" s="252"/>
      <c r="O451" s="252"/>
      <c r="P451" s="222" t="s">
        <v>315</v>
      </c>
      <c r="Q451" s="681"/>
      <c r="R451" s="252"/>
      <c r="S451" s="252"/>
      <c r="T451" s="222" t="s">
        <v>324</v>
      </c>
      <c r="U451" s="222" t="s">
        <v>324</v>
      </c>
      <c r="V451" s="222" t="s">
        <v>324</v>
      </c>
      <c r="W451" s="222" t="s">
        <v>324</v>
      </c>
      <c r="X451" s="222" t="s">
        <v>324</v>
      </c>
      <c r="Y451" s="222" t="s">
        <v>324</v>
      </c>
      <c r="Z451" s="222" t="s">
        <v>324</v>
      </c>
      <c r="AA451" s="222" t="s">
        <v>324</v>
      </c>
      <c r="AB451" s="222" t="s">
        <v>324</v>
      </c>
      <c r="AC451" s="222" t="s">
        <v>324</v>
      </c>
      <c r="AD451" s="252"/>
      <c r="AE451" s="222" t="s">
        <v>282</v>
      </c>
      <c r="AF451" s="252"/>
      <c r="AG451" s="252"/>
      <c r="AH451" s="222" t="s">
        <v>1200</v>
      </c>
      <c r="AI451" s="222" t="s">
        <v>524</v>
      </c>
      <c r="AJ451" s="222" t="s">
        <v>1287</v>
      </c>
      <c r="AK451" s="682" t="s">
        <v>369</v>
      </c>
      <c r="AL451" s="222" t="s">
        <v>315</v>
      </c>
      <c r="AM451" s="252"/>
      <c r="AN451" s="252"/>
      <c r="AO451" s="252"/>
      <c r="AP451" s="252"/>
      <c r="AQ451" s="222" t="s">
        <v>1754</v>
      </c>
      <c r="AR451" s="683">
        <v>0.5444444444444444</v>
      </c>
      <c r="AS451" s="253" t="s">
        <v>1755</v>
      </c>
    </row>
    <row r="452">
      <c r="A452" s="675"/>
      <c r="B452" s="69"/>
      <c r="C452" s="70"/>
      <c r="D452" s="71"/>
      <c r="E452" s="96"/>
      <c r="F452" s="96"/>
      <c r="G452" s="96"/>
      <c r="H452" s="96"/>
      <c r="I452" s="132"/>
      <c r="J452" s="76"/>
      <c r="K452" s="76"/>
      <c r="L452" s="221"/>
      <c r="M452" s="222"/>
      <c r="N452" s="256" t="s">
        <v>1755</v>
      </c>
      <c r="O452" s="224"/>
      <c r="P452" s="222"/>
      <c r="Q452" s="224"/>
      <c r="R452" s="224"/>
      <c r="S452" s="224"/>
      <c r="T452" s="222"/>
      <c r="U452" s="222"/>
      <c r="V452" s="222"/>
      <c r="W452" s="222"/>
      <c r="X452" s="222"/>
      <c r="Y452" s="222"/>
      <c r="Z452" s="222"/>
      <c r="AA452" s="222"/>
      <c r="AB452" s="222"/>
      <c r="AC452" s="222"/>
      <c r="AD452" s="224"/>
      <c r="AE452" s="222"/>
      <c r="AF452" s="224"/>
      <c r="AG452" s="224"/>
      <c r="AH452" s="222"/>
      <c r="AI452" s="222"/>
      <c r="AJ452" s="222"/>
      <c r="AK452" s="684"/>
      <c r="AL452" s="222"/>
      <c r="AM452" s="224"/>
      <c r="AN452" s="224"/>
      <c r="AO452" s="224"/>
      <c r="AP452" s="224"/>
      <c r="AQ452" s="222"/>
      <c r="AR452" s="683"/>
      <c r="AS452" s="227"/>
    </row>
    <row r="453">
      <c r="A453" s="675"/>
      <c r="B453" s="69"/>
      <c r="C453" s="70"/>
      <c r="D453" s="71"/>
      <c r="E453" s="96"/>
      <c r="F453" s="96"/>
      <c r="G453" s="96"/>
      <c r="H453" s="73" t="s">
        <v>1756</v>
      </c>
      <c r="I453" s="132"/>
      <c r="J453" s="76"/>
      <c r="K453" s="76"/>
      <c r="L453" s="221" t="s">
        <v>359</v>
      </c>
      <c r="M453" s="222" t="s">
        <v>315</v>
      </c>
      <c r="N453" s="85"/>
      <c r="O453" s="85"/>
      <c r="P453" s="81"/>
      <c r="Q453" s="81" t="s">
        <v>315</v>
      </c>
      <c r="R453" s="85"/>
      <c r="S453" s="85"/>
      <c r="T453" s="222" t="s">
        <v>324</v>
      </c>
      <c r="U453" s="222" t="s">
        <v>324</v>
      </c>
      <c r="V453" s="222" t="s">
        <v>324</v>
      </c>
      <c r="W453" s="222" t="s">
        <v>324</v>
      </c>
      <c r="X453" s="222" t="s">
        <v>324</v>
      </c>
      <c r="Y453" s="222" t="s">
        <v>324</v>
      </c>
      <c r="Z453" s="222" t="s">
        <v>324</v>
      </c>
      <c r="AA453" s="222" t="s">
        <v>324</v>
      </c>
      <c r="AB453" s="222" t="s">
        <v>324</v>
      </c>
      <c r="AC453" s="685" t="s">
        <v>1009</v>
      </c>
      <c r="AD453" s="20" t="s">
        <v>1070</v>
      </c>
      <c r="AE453" s="81" t="s">
        <v>315</v>
      </c>
      <c r="AF453" s="81" t="s">
        <v>315</v>
      </c>
      <c r="AG453" s="81" t="s">
        <v>315</v>
      </c>
      <c r="AH453" s="222" t="s">
        <v>1200</v>
      </c>
      <c r="AI453" s="222" t="s">
        <v>524</v>
      </c>
      <c r="AJ453" s="222" t="s">
        <v>1287</v>
      </c>
      <c r="AK453" s="529" t="s">
        <v>369</v>
      </c>
      <c r="AL453" s="222" t="s">
        <v>315</v>
      </c>
      <c r="AM453" s="85"/>
      <c r="AN453" s="85"/>
      <c r="AO453" s="85"/>
      <c r="AP453" s="85"/>
      <c r="AQ453" s="81"/>
      <c r="AR453" s="679"/>
      <c r="AS453" s="67"/>
    </row>
    <row r="454">
      <c r="A454" s="675" t="s">
        <v>259</v>
      </c>
      <c r="B454" s="69" t="s">
        <v>1751</v>
      </c>
      <c r="C454" s="70">
        <v>43472.0</v>
      </c>
      <c r="D454" s="71" t="s">
        <v>767</v>
      </c>
      <c r="E454" s="72">
        <v>43579.0</v>
      </c>
      <c r="F454" s="73" t="s">
        <v>280</v>
      </c>
      <c r="G454" s="72">
        <v>43583.0</v>
      </c>
      <c r="H454" s="73" t="s">
        <v>282</v>
      </c>
      <c r="I454" s="132" t="s">
        <v>1757</v>
      </c>
      <c r="J454" s="76" t="s">
        <v>259</v>
      </c>
      <c r="K454" s="129" t="s">
        <v>770</v>
      </c>
      <c r="L454" s="201" t="s">
        <v>341</v>
      </c>
      <c r="M454" s="202" t="s">
        <v>393</v>
      </c>
      <c r="N454" s="551" t="s">
        <v>682</v>
      </c>
      <c r="Q454" s="202" t="s">
        <v>315</v>
      </c>
      <c r="R454" s="206"/>
      <c r="S454" s="206"/>
      <c r="T454" s="202" t="s">
        <v>324</v>
      </c>
      <c r="U454" s="202" t="s">
        <v>324</v>
      </c>
      <c r="V454" s="202" t="s">
        <v>324</v>
      </c>
      <c r="W454" s="202" t="s">
        <v>324</v>
      </c>
      <c r="X454" s="202" t="s">
        <v>324</v>
      </c>
      <c r="Y454" s="202" t="s">
        <v>324</v>
      </c>
      <c r="Z454" s="202" t="s">
        <v>324</v>
      </c>
      <c r="AA454" s="202" t="s">
        <v>324</v>
      </c>
      <c r="AB454" s="202" t="s">
        <v>324</v>
      </c>
      <c r="AC454" s="686"/>
      <c r="AD454" s="206"/>
      <c r="AE454" s="202" t="s">
        <v>315</v>
      </c>
      <c r="AF454" s="202" t="s">
        <v>315</v>
      </c>
      <c r="AG454" s="202" t="s">
        <v>315</v>
      </c>
      <c r="AH454" s="203" t="s">
        <v>682</v>
      </c>
      <c r="AI454" s="202" t="s">
        <v>524</v>
      </c>
      <c r="AJ454" s="202" t="s">
        <v>1288</v>
      </c>
      <c r="AK454" s="202" t="s">
        <v>324</v>
      </c>
      <c r="AL454" s="202" t="s">
        <v>315</v>
      </c>
      <c r="AM454" s="206"/>
      <c r="AN454" s="206"/>
      <c r="AO454" s="206"/>
      <c r="AP454" s="206"/>
      <c r="AQ454" s="202" t="s">
        <v>1758</v>
      </c>
      <c r="AR454" s="687">
        <v>0.5673611111111111</v>
      </c>
      <c r="AS454" s="206"/>
    </row>
    <row r="455">
      <c r="A455" s="675"/>
      <c r="B455" s="69"/>
      <c r="C455" s="70"/>
      <c r="D455" s="71"/>
      <c r="E455" s="96"/>
      <c r="F455" s="96"/>
      <c r="G455" s="96"/>
      <c r="H455" s="96"/>
      <c r="I455" s="132"/>
      <c r="J455" s="76"/>
      <c r="K455" s="76"/>
      <c r="L455" s="201"/>
      <c r="M455" s="25" t="s">
        <v>1759</v>
      </c>
      <c r="N455" s="551"/>
      <c r="O455" s="551"/>
      <c r="P455" s="551"/>
      <c r="Q455" s="202"/>
      <c r="R455" s="206"/>
      <c r="S455" s="206"/>
      <c r="T455" s="202"/>
      <c r="U455" s="202"/>
      <c r="V455" s="202"/>
      <c r="W455" s="202"/>
      <c r="X455" s="202"/>
      <c r="Y455" s="202"/>
      <c r="Z455" s="202"/>
      <c r="AA455" s="202"/>
      <c r="AB455" s="202"/>
      <c r="AC455" s="686"/>
      <c r="AD455" s="206"/>
      <c r="AE455" s="202"/>
      <c r="AF455" s="202"/>
      <c r="AG455" s="202"/>
      <c r="AH455" s="202"/>
      <c r="AI455" s="202"/>
      <c r="AJ455" s="202"/>
      <c r="AK455" s="202"/>
      <c r="AL455" s="202"/>
      <c r="AM455" s="206"/>
      <c r="AN455" s="206"/>
      <c r="AO455" s="206"/>
      <c r="AP455" s="206"/>
      <c r="AQ455" s="202"/>
      <c r="AR455" s="687"/>
      <c r="AS455" s="206"/>
    </row>
    <row r="456">
      <c r="A456" s="675"/>
      <c r="B456" s="69"/>
      <c r="C456" s="70"/>
      <c r="D456" s="71"/>
      <c r="E456" s="96"/>
      <c r="F456" s="96"/>
      <c r="G456" s="96"/>
      <c r="H456" s="96"/>
      <c r="I456" s="132"/>
      <c r="J456" s="76"/>
      <c r="K456" s="76"/>
      <c r="L456" s="201" t="s">
        <v>341</v>
      </c>
      <c r="M456" s="202" t="s">
        <v>393</v>
      </c>
      <c r="N456" s="551" t="s">
        <v>682</v>
      </c>
      <c r="Q456" s="202" t="s">
        <v>315</v>
      </c>
      <c r="R456" s="85"/>
      <c r="S456" s="85"/>
      <c r="T456" s="202" t="s">
        <v>324</v>
      </c>
      <c r="U456" s="202" t="s">
        <v>324</v>
      </c>
      <c r="V456" s="202" t="s">
        <v>324</v>
      </c>
      <c r="W456" s="202" t="s">
        <v>324</v>
      </c>
      <c r="X456" s="202" t="s">
        <v>324</v>
      </c>
      <c r="Y456" s="202" t="s">
        <v>324</v>
      </c>
      <c r="Z456" s="202" t="s">
        <v>324</v>
      </c>
      <c r="AA456" s="202" t="s">
        <v>324</v>
      </c>
      <c r="AB456" s="202" t="s">
        <v>324</v>
      </c>
      <c r="AC456" s="688"/>
      <c r="AD456" s="85"/>
      <c r="AE456" s="202" t="s">
        <v>315</v>
      </c>
      <c r="AF456" s="202" t="s">
        <v>315</v>
      </c>
      <c r="AG456" s="202" t="s">
        <v>315</v>
      </c>
      <c r="AH456" s="203" t="s">
        <v>682</v>
      </c>
      <c r="AI456" s="202" t="s">
        <v>524</v>
      </c>
      <c r="AJ456" s="202" t="s">
        <v>1288</v>
      </c>
      <c r="AK456" s="202" t="s">
        <v>324</v>
      </c>
      <c r="AL456" s="202" t="s">
        <v>315</v>
      </c>
      <c r="AM456" s="85"/>
      <c r="AN456" s="85"/>
      <c r="AO456" s="85"/>
      <c r="AP456" s="85"/>
      <c r="AQ456" s="81"/>
      <c r="AR456" s="679"/>
      <c r="AS456" s="67"/>
    </row>
    <row r="457">
      <c r="A457" s="675" t="s">
        <v>260</v>
      </c>
      <c r="B457" s="69" t="s">
        <v>1751</v>
      </c>
      <c r="C457" s="70">
        <v>43472.0</v>
      </c>
      <c r="D457" s="71" t="s">
        <v>767</v>
      </c>
      <c r="E457" s="72">
        <v>43579.0</v>
      </c>
      <c r="F457" s="73" t="s">
        <v>280</v>
      </c>
      <c r="G457" s="72">
        <v>43583.0</v>
      </c>
      <c r="H457" s="73" t="s">
        <v>282</v>
      </c>
      <c r="I457" s="132" t="s">
        <v>1760</v>
      </c>
      <c r="J457" s="76" t="s">
        <v>260</v>
      </c>
      <c r="K457" s="129" t="s">
        <v>770</v>
      </c>
      <c r="L457" s="221" t="s">
        <v>305</v>
      </c>
      <c r="M457" s="222" t="s">
        <v>393</v>
      </c>
      <c r="N457" s="689" t="s">
        <v>684</v>
      </c>
      <c r="P457" s="224"/>
      <c r="Q457" s="222" t="s">
        <v>315</v>
      </c>
      <c r="R457" s="222" t="s">
        <v>865</v>
      </c>
      <c r="S457" s="222" t="s">
        <v>1761</v>
      </c>
      <c r="T457" s="222" t="s">
        <v>324</v>
      </c>
      <c r="U457" s="222" t="s">
        <v>324</v>
      </c>
      <c r="V457" s="222" t="s">
        <v>324</v>
      </c>
      <c r="W457" s="222" t="s">
        <v>324</v>
      </c>
      <c r="X457" s="222" t="s">
        <v>324</v>
      </c>
      <c r="Y457" s="222" t="s">
        <v>324</v>
      </c>
      <c r="Z457" s="222" t="s">
        <v>324</v>
      </c>
      <c r="AA457" s="222" t="s">
        <v>324</v>
      </c>
      <c r="AB457" s="222" t="s">
        <v>324</v>
      </c>
      <c r="AC457" s="224"/>
      <c r="AD457" s="224"/>
      <c r="AE457" s="222" t="s">
        <v>315</v>
      </c>
      <c r="AF457" s="222" t="s">
        <v>315</v>
      </c>
      <c r="AG457" s="222" t="s">
        <v>315</v>
      </c>
      <c r="AH457" s="224"/>
      <c r="AI457" s="222" t="s">
        <v>524</v>
      </c>
      <c r="AJ457" s="224"/>
      <c r="AK457" s="222" t="s">
        <v>324</v>
      </c>
      <c r="AL457" s="222" t="s">
        <v>315</v>
      </c>
      <c r="AM457" s="224"/>
      <c r="AN457" s="224"/>
      <c r="AO457" s="224"/>
      <c r="AP457" s="224"/>
      <c r="AQ457" s="224"/>
      <c r="AR457" s="683">
        <v>0.25277777777777777</v>
      </c>
      <c r="AS457" s="227"/>
    </row>
    <row r="458">
      <c r="A458" s="675"/>
      <c r="B458" s="69"/>
      <c r="C458" s="70"/>
      <c r="D458" s="71"/>
      <c r="E458" s="96"/>
      <c r="F458" s="96"/>
      <c r="G458" s="96"/>
      <c r="H458" s="96"/>
      <c r="I458" s="132"/>
      <c r="J458" s="76"/>
      <c r="K458" s="76"/>
      <c r="L458" s="221"/>
      <c r="M458" s="222"/>
      <c r="N458" s="689"/>
      <c r="O458" s="689"/>
      <c r="P458" s="224"/>
      <c r="Q458" s="222"/>
      <c r="R458" s="222"/>
      <c r="S458" s="222"/>
      <c r="T458" s="222"/>
      <c r="U458" s="222"/>
      <c r="V458" s="222"/>
      <c r="W458" s="222"/>
      <c r="X458" s="222"/>
      <c r="Y458" s="222"/>
      <c r="Z458" s="222"/>
      <c r="AA458" s="222"/>
      <c r="AB458" s="222"/>
      <c r="AC458" s="224"/>
      <c r="AD458" s="224"/>
      <c r="AE458" s="222"/>
      <c r="AF458" s="222"/>
      <c r="AG458" s="385" t="s">
        <v>799</v>
      </c>
      <c r="AH458" s="224"/>
      <c r="AI458" s="222"/>
      <c r="AJ458" s="224"/>
      <c r="AK458" s="222"/>
      <c r="AL458" s="222"/>
      <c r="AM458" s="224"/>
      <c r="AN458" s="224"/>
      <c r="AO458" s="224"/>
      <c r="AP458" s="224"/>
      <c r="AQ458" s="224"/>
      <c r="AR458" s="683"/>
      <c r="AS458" s="227"/>
    </row>
    <row r="459">
      <c r="A459" s="675"/>
      <c r="B459" s="69"/>
      <c r="C459" s="70"/>
      <c r="D459" s="71"/>
      <c r="E459" s="96"/>
      <c r="F459" s="96"/>
      <c r="G459" s="96"/>
      <c r="H459" s="96"/>
      <c r="I459" s="132"/>
      <c r="J459" s="76"/>
      <c r="K459" s="76"/>
      <c r="L459" s="221" t="s">
        <v>305</v>
      </c>
      <c r="M459" s="222" t="s">
        <v>393</v>
      </c>
      <c r="N459" s="102" t="s">
        <v>684</v>
      </c>
      <c r="O459" s="102"/>
      <c r="P459" s="82" t="s">
        <v>806</v>
      </c>
      <c r="Q459" s="385" t="s">
        <v>822</v>
      </c>
      <c r="R459" s="222" t="s">
        <v>865</v>
      </c>
      <c r="S459" s="81"/>
      <c r="T459" s="222" t="s">
        <v>324</v>
      </c>
      <c r="U459" s="222" t="s">
        <v>324</v>
      </c>
      <c r="V459" s="222" t="s">
        <v>324</v>
      </c>
      <c r="W459" s="222" t="s">
        <v>324</v>
      </c>
      <c r="X459" s="222" t="s">
        <v>324</v>
      </c>
      <c r="Y459" s="222" t="s">
        <v>324</v>
      </c>
      <c r="Z459" s="222" t="s">
        <v>324</v>
      </c>
      <c r="AA459" s="222" t="s">
        <v>324</v>
      </c>
      <c r="AB459" s="222" t="s">
        <v>324</v>
      </c>
      <c r="AC459" s="85"/>
      <c r="AD459" s="85"/>
      <c r="AE459" s="222" t="s">
        <v>315</v>
      </c>
      <c r="AF459" s="222" t="s">
        <v>315</v>
      </c>
      <c r="AG459" s="222" t="s">
        <v>315</v>
      </c>
      <c r="AH459" s="85"/>
      <c r="AI459" s="222" t="s">
        <v>524</v>
      </c>
      <c r="AJ459" s="85"/>
      <c r="AK459" s="222" t="s">
        <v>324</v>
      </c>
      <c r="AL459" s="222" t="s">
        <v>315</v>
      </c>
      <c r="AM459" s="85"/>
      <c r="AN459" s="85"/>
      <c r="AO459" s="85"/>
      <c r="AP459" s="85"/>
      <c r="AQ459" s="85"/>
      <c r="AR459" s="679"/>
      <c r="AS459" s="67"/>
    </row>
    <row r="460">
      <c r="A460" s="675" t="s">
        <v>261</v>
      </c>
      <c r="B460" s="69" t="s">
        <v>1751</v>
      </c>
      <c r="C460" s="70">
        <v>43472.0</v>
      </c>
      <c r="D460" s="71" t="s">
        <v>258</v>
      </c>
      <c r="E460" s="72">
        <v>43575.0</v>
      </c>
      <c r="F460" s="73" t="s">
        <v>280</v>
      </c>
      <c r="G460" s="72">
        <v>43581.0</v>
      </c>
      <c r="H460" s="73" t="s">
        <v>282</v>
      </c>
      <c r="I460" s="132" t="s">
        <v>1762</v>
      </c>
      <c r="J460" s="76" t="s">
        <v>261</v>
      </c>
      <c r="K460" s="129" t="s">
        <v>286</v>
      </c>
      <c r="L460" s="79" t="s">
        <v>305</v>
      </c>
      <c r="M460" s="81" t="s">
        <v>393</v>
      </c>
      <c r="N460" s="102" t="s">
        <v>685</v>
      </c>
      <c r="Q460" s="81" t="s">
        <v>315</v>
      </c>
      <c r="R460" s="690"/>
      <c r="S460" s="690"/>
      <c r="T460" s="81" t="s">
        <v>324</v>
      </c>
      <c r="U460" s="81" t="s">
        <v>324</v>
      </c>
      <c r="V460" s="81" t="s">
        <v>324</v>
      </c>
      <c r="W460" s="81" t="s">
        <v>324</v>
      </c>
      <c r="X460" s="81" t="s">
        <v>324</v>
      </c>
      <c r="Y460" s="81" t="s">
        <v>324</v>
      </c>
      <c r="Z460" s="85"/>
      <c r="AA460" s="81" t="s">
        <v>324</v>
      </c>
      <c r="AB460" s="85"/>
      <c r="AC460" s="688"/>
      <c r="AD460" s="85"/>
      <c r="AE460" s="81" t="s">
        <v>315</v>
      </c>
      <c r="AF460" s="81" t="s">
        <v>315</v>
      </c>
      <c r="AG460" s="81" t="s">
        <v>315</v>
      </c>
      <c r="AH460" s="102" t="s">
        <v>1203</v>
      </c>
      <c r="AI460" s="81" t="s">
        <v>1244</v>
      </c>
      <c r="AJ460" s="199" t="s">
        <v>1286</v>
      </c>
      <c r="AK460" s="81" t="s">
        <v>324</v>
      </c>
      <c r="AL460" s="81" t="s">
        <v>315</v>
      </c>
      <c r="AM460" s="85"/>
      <c r="AN460" s="85"/>
      <c r="AO460" s="85"/>
      <c r="AP460" s="85"/>
      <c r="AQ460" s="85"/>
      <c r="AR460" s="679">
        <v>0.17430555555555555</v>
      </c>
      <c r="AS460" s="67"/>
    </row>
    <row r="461">
      <c r="A461" s="675"/>
      <c r="B461" s="69"/>
      <c r="C461" s="70"/>
      <c r="D461" s="71"/>
      <c r="E461" s="96"/>
      <c r="F461" s="96"/>
      <c r="G461" s="96"/>
      <c r="H461" s="96"/>
      <c r="I461" s="132"/>
      <c r="J461" s="76"/>
      <c r="K461" s="79"/>
      <c r="L461" s="79"/>
      <c r="M461" s="81"/>
      <c r="N461" s="102"/>
      <c r="O461" s="102"/>
      <c r="P461" s="102"/>
      <c r="Q461" s="81"/>
      <c r="R461" s="81" t="s">
        <v>866</v>
      </c>
      <c r="S461" s="20" t="s">
        <v>685</v>
      </c>
      <c r="T461" s="81"/>
      <c r="U461" s="81"/>
      <c r="V461" s="81"/>
      <c r="W461" s="81"/>
      <c r="X461" s="81" t="s">
        <v>282</v>
      </c>
      <c r="Y461" s="81" t="s">
        <v>282</v>
      </c>
      <c r="Z461" s="85"/>
      <c r="AA461" s="81"/>
      <c r="AB461" s="85"/>
      <c r="AC461" s="688"/>
      <c r="AD461" s="85"/>
      <c r="AE461" s="81"/>
      <c r="AF461" s="81"/>
      <c r="AG461" s="81"/>
      <c r="AH461" s="102"/>
      <c r="AI461" s="81"/>
      <c r="AJ461" s="199"/>
      <c r="AK461" s="81"/>
      <c r="AL461" s="81"/>
      <c r="AM461" s="85"/>
      <c r="AN461" s="85"/>
      <c r="AO461" s="85"/>
      <c r="AP461" s="85"/>
      <c r="AQ461" s="85"/>
      <c r="AR461" s="679"/>
      <c r="AS461" s="67"/>
    </row>
    <row r="462">
      <c r="A462" s="675"/>
      <c r="B462" s="69"/>
      <c r="C462" s="70"/>
      <c r="D462" s="71"/>
      <c r="E462" s="96"/>
      <c r="F462" s="96"/>
      <c r="G462" s="96"/>
      <c r="H462" s="96"/>
      <c r="I462" s="132"/>
      <c r="J462" s="76"/>
      <c r="K462" s="79"/>
      <c r="L462" s="79" t="s">
        <v>305</v>
      </c>
      <c r="M462" s="81" t="s">
        <v>393</v>
      </c>
      <c r="N462" s="102" t="s">
        <v>685</v>
      </c>
      <c r="Q462" s="81" t="s">
        <v>315</v>
      </c>
      <c r="R462" s="81" t="s">
        <v>866</v>
      </c>
      <c r="S462" s="20" t="s">
        <v>685</v>
      </c>
      <c r="T462" s="81" t="s">
        <v>324</v>
      </c>
      <c r="U462" s="81" t="s">
        <v>324</v>
      </c>
      <c r="V462" s="81" t="s">
        <v>324</v>
      </c>
      <c r="W462" s="81" t="s">
        <v>324</v>
      </c>
      <c r="X462" s="81" t="s">
        <v>282</v>
      </c>
      <c r="Y462" s="81" t="s">
        <v>282</v>
      </c>
      <c r="Z462" s="81" t="s">
        <v>324</v>
      </c>
      <c r="AA462" s="81" t="s">
        <v>324</v>
      </c>
      <c r="AB462" s="85"/>
      <c r="AC462" s="688"/>
      <c r="AD462" s="85"/>
      <c r="AE462" s="81" t="s">
        <v>315</v>
      </c>
      <c r="AF462" s="81" t="s">
        <v>315</v>
      </c>
      <c r="AG462" s="81" t="s">
        <v>315</v>
      </c>
      <c r="AH462" s="102" t="s">
        <v>1203</v>
      </c>
      <c r="AI462" s="81" t="s">
        <v>1244</v>
      </c>
      <c r="AJ462" s="199" t="s">
        <v>1286</v>
      </c>
      <c r="AK462" s="81" t="s">
        <v>324</v>
      </c>
      <c r="AL462" s="81" t="s">
        <v>315</v>
      </c>
      <c r="AM462" s="85"/>
      <c r="AN462" s="85"/>
      <c r="AO462" s="85"/>
      <c r="AP462" s="85"/>
      <c r="AQ462" s="85"/>
      <c r="AR462" s="679"/>
      <c r="AS462" s="67"/>
    </row>
    <row r="463">
      <c r="A463" s="675" t="s">
        <v>262</v>
      </c>
      <c r="B463" s="69" t="s">
        <v>1751</v>
      </c>
      <c r="C463" s="70">
        <v>43472.0</v>
      </c>
      <c r="D463" s="71" t="s">
        <v>258</v>
      </c>
      <c r="E463" s="72">
        <v>43575.0</v>
      </c>
      <c r="F463" s="73" t="s">
        <v>280</v>
      </c>
      <c r="G463" s="72">
        <v>43581.0</v>
      </c>
      <c r="H463" s="73" t="s">
        <v>282</v>
      </c>
      <c r="I463" s="132" t="s">
        <v>1763</v>
      </c>
      <c r="J463" s="76" t="s">
        <v>262</v>
      </c>
      <c r="K463" s="129" t="s">
        <v>770</v>
      </c>
      <c r="L463" s="79" t="s">
        <v>360</v>
      </c>
      <c r="M463" s="81" t="s">
        <v>409</v>
      </c>
      <c r="N463" s="82" t="s">
        <v>691</v>
      </c>
      <c r="P463" s="85"/>
      <c r="Q463" s="81" t="s">
        <v>315</v>
      </c>
      <c r="R463" s="85"/>
      <c r="S463" s="85"/>
      <c r="T463" s="81" t="s">
        <v>324</v>
      </c>
      <c r="U463" s="81" t="s">
        <v>324</v>
      </c>
      <c r="V463" s="81" t="s">
        <v>324</v>
      </c>
      <c r="W463" s="81" t="s">
        <v>324</v>
      </c>
      <c r="X463" s="81" t="s">
        <v>324</v>
      </c>
      <c r="Y463" s="81" t="s">
        <v>324</v>
      </c>
      <c r="Z463" s="81" t="s">
        <v>324</v>
      </c>
      <c r="AA463" s="81" t="s">
        <v>324</v>
      </c>
      <c r="AB463" s="85"/>
      <c r="AC463" s="85"/>
      <c r="AD463" s="85"/>
      <c r="AE463" s="81" t="s">
        <v>315</v>
      </c>
      <c r="AF463" s="81" t="s">
        <v>315</v>
      </c>
      <c r="AG463" s="81" t="s">
        <v>315</v>
      </c>
      <c r="AH463" s="82" t="s">
        <v>1204</v>
      </c>
      <c r="AI463" s="81" t="s">
        <v>524</v>
      </c>
      <c r="AJ463" s="189" t="s">
        <v>1289</v>
      </c>
      <c r="AK463" s="81" t="s">
        <v>315</v>
      </c>
      <c r="AL463" s="81" t="s">
        <v>315</v>
      </c>
      <c r="AM463" s="85"/>
      <c r="AN463" s="85"/>
      <c r="AO463" s="85"/>
      <c r="AP463" s="85"/>
      <c r="AQ463" s="85"/>
      <c r="AR463" s="679">
        <v>0.3020833333333333</v>
      </c>
      <c r="AS463" s="67"/>
    </row>
    <row r="464">
      <c r="A464" s="675"/>
      <c r="B464" s="69"/>
      <c r="C464" s="70"/>
      <c r="D464" s="71"/>
      <c r="E464" s="96"/>
      <c r="F464" s="96"/>
      <c r="G464" s="96"/>
      <c r="H464" s="96"/>
      <c r="I464" s="132"/>
      <c r="J464" s="76"/>
      <c r="K464" s="79"/>
      <c r="L464" s="79"/>
      <c r="M464" s="81"/>
      <c r="N464" s="81"/>
      <c r="O464" s="81"/>
      <c r="P464" s="20" t="s">
        <v>683</v>
      </c>
      <c r="Q464" s="81" t="s">
        <v>369</v>
      </c>
      <c r="R464" s="85"/>
      <c r="S464" s="85"/>
      <c r="T464" s="81"/>
      <c r="U464" s="81"/>
      <c r="V464" s="81"/>
      <c r="W464" s="81"/>
      <c r="X464" s="81"/>
      <c r="Y464" s="81"/>
      <c r="Z464" s="81"/>
      <c r="AA464" s="81"/>
      <c r="AB464" s="85"/>
      <c r="AC464" s="85"/>
      <c r="AD464" s="85"/>
      <c r="AE464" s="81"/>
      <c r="AF464" s="81"/>
      <c r="AG464" s="81"/>
      <c r="AH464" s="81"/>
      <c r="AI464" s="81"/>
      <c r="AJ464" s="189"/>
      <c r="AK464" s="81"/>
      <c r="AL464" s="81"/>
      <c r="AM464" s="85"/>
      <c r="AN464" s="85"/>
      <c r="AO464" s="85"/>
      <c r="AP464" s="85"/>
      <c r="AQ464" s="85"/>
      <c r="AR464" s="679"/>
      <c r="AS464" s="67"/>
    </row>
    <row r="465">
      <c r="A465" s="675"/>
      <c r="B465" s="69"/>
      <c r="C465" s="70"/>
      <c r="D465" s="71"/>
      <c r="E465" s="96"/>
      <c r="F465" s="96"/>
      <c r="G465" s="96"/>
      <c r="H465" s="96"/>
      <c r="I465" s="132"/>
      <c r="J465" s="76"/>
      <c r="K465" s="79"/>
      <c r="L465" s="79" t="s">
        <v>360</v>
      </c>
      <c r="M465" s="81" t="s">
        <v>409</v>
      </c>
      <c r="N465" s="82" t="s">
        <v>691</v>
      </c>
      <c r="P465" s="20" t="s">
        <v>683</v>
      </c>
      <c r="Q465" s="81" t="s">
        <v>369</v>
      </c>
      <c r="R465" s="85"/>
      <c r="S465" s="85"/>
      <c r="T465" s="81" t="s">
        <v>324</v>
      </c>
      <c r="U465" s="81" t="s">
        <v>324</v>
      </c>
      <c r="V465" s="81" t="s">
        <v>324</v>
      </c>
      <c r="W465" s="81" t="s">
        <v>324</v>
      </c>
      <c r="X465" s="81" t="s">
        <v>324</v>
      </c>
      <c r="Y465" s="81" t="s">
        <v>324</v>
      </c>
      <c r="Z465" s="81" t="s">
        <v>324</v>
      </c>
      <c r="AA465" s="81" t="s">
        <v>324</v>
      </c>
      <c r="AB465" s="85"/>
      <c r="AC465" s="85"/>
      <c r="AD465" s="85"/>
      <c r="AE465" s="81" t="s">
        <v>315</v>
      </c>
      <c r="AF465" s="81" t="s">
        <v>315</v>
      </c>
      <c r="AG465" s="81" t="s">
        <v>315</v>
      </c>
      <c r="AH465" s="82" t="s">
        <v>1204</v>
      </c>
      <c r="AI465" s="81" t="s">
        <v>524</v>
      </c>
      <c r="AJ465" s="189" t="s">
        <v>1289</v>
      </c>
      <c r="AK465" s="81" t="s">
        <v>315</v>
      </c>
      <c r="AL465" s="81" t="s">
        <v>315</v>
      </c>
      <c r="AM465" s="85"/>
      <c r="AN465" s="85"/>
      <c r="AO465" s="85"/>
      <c r="AP465" s="85"/>
      <c r="AQ465" s="85"/>
      <c r="AR465" s="679"/>
      <c r="AS465" s="67"/>
    </row>
    <row r="466">
      <c r="A466" s="675" t="s">
        <v>263</v>
      </c>
      <c r="B466" s="69" t="s">
        <v>1751</v>
      </c>
      <c r="C466" s="70">
        <v>43472.0</v>
      </c>
      <c r="D466" s="71" t="s">
        <v>258</v>
      </c>
      <c r="E466" s="72">
        <v>43575.0</v>
      </c>
      <c r="F466" s="73" t="s">
        <v>280</v>
      </c>
      <c r="G466" s="72">
        <v>43581.0</v>
      </c>
      <c r="H466" s="73" t="s">
        <v>282</v>
      </c>
      <c r="I466" s="132" t="s">
        <v>1764</v>
      </c>
      <c r="J466" s="76" t="s">
        <v>263</v>
      </c>
      <c r="K466" s="129" t="s">
        <v>789</v>
      </c>
      <c r="L466" s="79" t="s">
        <v>361</v>
      </c>
      <c r="M466" s="81" t="s">
        <v>315</v>
      </c>
      <c r="N466" s="85"/>
      <c r="O466" s="85"/>
      <c r="P466" s="85"/>
      <c r="Q466" s="81" t="s">
        <v>315</v>
      </c>
      <c r="R466" s="85"/>
      <c r="S466" s="85"/>
      <c r="T466" s="81" t="s">
        <v>324</v>
      </c>
      <c r="U466" s="81" t="s">
        <v>324</v>
      </c>
      <c r="V466" s="81" t="s">
        <v>324</v>
      </c>
      <c r="W466" s="81" t="s">
        <v>324</v>
      </c>
      <c r="X466" s="81" t="s">
        <v>324</v>
      </c>
      <c r="Y466" s="81" t="s">
        <v>324</v>
      </c>
      <c r="Z466" s="81" t="s">
        <v>324</v>
      </c>
      <c r="AA466" s="81" t="s">
        <v>324</v>
      </c>
      <c r="AB466" s="85"/>
      <c r="AC466" s="85"/>
      <c r="AD466" s="85"/>
      <c r="AE466" s="81" t="s">
        <v>315</v>
      </c>
      <c r="AF466" s="81" t="s">
        <v>315</v>
      </c>
      <c r="AG466" s="81" t="s">
        <v>315</v>
      </c>
      <c r="AH466" s="85"/>
      <c r="AI466" s="81" t="s">
        <v>524</v>
      </c>
      <c r="AJ466" s="85"/>
      <c r="AK466" s="81" t="s">
        <v>315</v>
      </c>
      <c r="AL466" s="81" t="s">
        <v>315</v>
      </c>
      <c r="AM466" s="85"/>
      <c r="AN466" s="85"/>
      <c r="AO466" s="85"/>
      <c r="AP466" s="85"/>
      <c r="AQ466" s="81" t="s">
        <v>1765</v>
      </c>
      <c r="AR466" s="679">
        <v>0.2048611111111111</v>
      </c>
      <c r="AS466" s="67"/>
    </row>
    <row r="467">
      <c r="A467" s="675"/>
      <c r="B467" s="69"/>
      <c r="C467" s="70"/>
      <c r="D467" s="71"/>
      <c r="E467" s="96"/>
      <c r="F467" s="96"/>
      <c r="G467" s="96"/>
      <c r="H467" s="96"/>
      <c r="I467" s="132"/>
      <c r="J467" s="76"/>
      <c r="K467" s="79"/>
      <c r="L467" s="79"/>
      <c r="M467" s="81"/>
      <c r="N467" s="85"/>
      <c r="O467" s="85"/>
      <c r="P467" s="85"/>
      <c r="Q467" s="81"/>
      <c r="R467" s="85"/>
      <c r="S467" s="85"/>
      <c r="T467" s="81"/>
      <c r="U467" s="81"/>
      <c r="V467" s="81"/>
      <c r="W467" s="81"/>
      <c r="X467" s="81"/>
      <c r="Y467" s="81"/>
      <c r="Z467" s="81"/>
      <c r="AA467" s="81"/>
      <c r="AB467" s="85"/>
      <c r="AC467" s="85"/>
      <c r="AD467" s="85"/>
      <c r="AE467" s="81"/>
      <c r="AF467" s="81"/>
      <c r="AG467" s="81"/>
      <c r="AH467" s="85"/>
      <c r="AI467" s="81"/>
      <c r="AJ467" s="85"/>
      <c r="AK467" s="81"/>
      <c r="AL467" s="81"/>
      <c r="AM467" s="85"/>
      <c r="AN467" s="85"/>
      <c r="AO467" s="85"/>
      <c r="AP467" s="85"/>
      <c r="AQ467" s="81" t="s">
        <v>1766</v>
      </c>
      <c r="AR467" s="679"/>
      <c r="AS467" s="67"/>
    </row>
    <row r="468">
      <c r="A468" s="675"/>
      <c r="B468" s="69"/>
      <c r="C468" s="70"/>
      <c r="D468" s="71"/>
      <c r="E468" s="96"/>
      <c r="F468" s="96"/>
      <c r="G468" s="96"/>
      <c r="H468" s="96"/>
      <c r="I468" s="132"/>
      <c r="J468" s="76"/>
      <c r="K468" s="79"/>
      <c r="L468" s="79" t="s">
        <v>361</v>
      </c>
      <c r="M468" s="81" t="s">
        <v>315</v>
      </c>
      <c r="N468" s="85"/>
      <c r="O468" s="85"/>
      <c r="P468" s="85"/>
      <c r="Q468" s="81" t="s">
        <v>315</v>
      </c>
      <c r="R468" s="85"/>
      <c r="S468" s="85"/>
      <c r="T468" s="81" t="s">
        <v>324</v>
      </c>
      <c r="U468" s="81" t="s">
        <v>324</v>
      </c>
      <c r="V468" s="81" t="s">
        <v>324</v>
      </c>
      <c r="W468" s="81" t="s">
        <v>324</v>
      </c>
      <c r="X468" s="81" t="s">
        <v>324</v>
      </c>
      <c r="Y468" s="81" t="s">
        <v>324</v>
      </c>
      <c r="Z468" s="81" t="s">
        <v>324</v>
      </c>
      <c r="AA468" s="81" t="s">
        <v>324</v>
      </c>
      <c r="AB468" s="85"/>
      <c r="AC468" s="85"/>
      <c r="AD468" s="85"/>
      <c r="AE468" s="81" t="s">
        <v>315</v>
      </c>
      <c r="AF468" s="81" t="s">
        <v>315</v>
      </c>
      <c r="AG468" s="81" t="s">
        <v>315</v>
      </c>
      <c r="AH468" s="85"/>
      <c r="AI468" s="81" t="s">
        <v>524</v>
      </c>
      <c r="AJ468" s="85"/>
      <c r="AK468" s="81" t="s">
        <v>315</v>
      </c>
      <c r="AL468" s="81" t="s">
        <v>315</v>
      </c>
      <c r="AM468" s="85"/>
      <c r="AN468" s="85"/>
      <c r="AO468" s="85"/>
      <c r="AP468" s="85"/>
      <c r="AQ468" s="81"/>
      <c r="AR468" s="679"/>
      <c r="AS468" s="67"/>
    </row>
    <row r="469">
      <c r="A469" s="675" t="s">
        <v>264</v>
      </c>
      <c r="B469" s="69" t="s">
        <v>1751</v>
      </c>
      <c r="C469" s="70">
        <v>43473.0</v>
      </c>
      <c r="D469" s="71" t="s">
        <v>258</v>
      </c>
      <c r="E469" s="72">
        <v>43575.0</v>
      </c>
      <c r="F469" s="73" t="s">
        <v>280</v>
      </c>
      <c r="G469" s="72">
        <v>43581.0</v>
      </c>
      <c r="H469" s="73" t="s">
        <v>282</v>
      </c>
      <c r="I469" s="132" t="s">
        <v>1767</v>
      </c>
      <c r="J469" s="76" t="s">
        <v>264</v>
      </c>
      <c r="K469" s="129" t="s">
        <v>770</v>
      </c>
      <c r="L469" s="79" t="s">
        <v>1768</v>
      </c>
      <c r="M469" s="81" t="s">
        <v>315</v>
      </c>
      <c r="N469" s="85"/>
      <c r="O469" s="85"/>
      <c r="P469" s="85"/>
      <c r="Q469" s="81" t="s">
        <v>315</v>
      </c>
      <c r="R469" s="85"/>
      <c r="S469" s="85"/>
      <c r="T469" s="81" t="s">
        <v>324</v>
      </c>
      <c r="U469" s="81" t="s">
        <v>324</v>
      </c>
      <c r="V469" s="81" t="s">
        <v>324</v>
      </c>
      <c r="W469" s="81" t="s">
        <v>324</v>
      </c>
      <c r="X469" s="81" t="s">
        <v>324</v>
      </c>
      <c r="Y469" s="81" t="s">
        <v>324</v>
      </c>
      <c r="Z469" s="81" t="s">
        <v>324</v>
      </c>
      <c r="AA469" s="81" t="s">
        <v>324</v>
      </c>
      <c r="AB469" s="85"/>
      <c r="AC469" s="85"/>
      <c r="AD469" s="85"/>
      <c r="AE469" s="81" t="s">
        <v>315</v>
      </c>
      <c r="AF469" s="81" t="s">
        <v>315</v>
      </c>
      <c r="AG469" s="81" t="s">
        <v>315</v>
      </c>
      <c r="AH469" s="85"/>
      <c r="AI469" s="81" t="s">
        <v>524</v>
      </c>
      <c r="AJ469" s="85"/>
      <c r="AK469" s="81" t="s">
        <v>315</v>
      </c>
      <c r="AL469" s="81" t="s">
        <v>315</v>
      </c>
      <c r="AM469" s="85"/>
      <c r="AN469" s="85"/>
      <c r="AO469" s="85"/>
      <c r="AP469" s="85"/>
      <c r="AQ469" s="81" t="s">
        <v>1769</v>
      </c>
      <c r="AR469" s="679">
        <v>0.2152777777777778</v>
      </c>
      <c r="AS469" s="67"/>
    </row>
    <row r="470">
      <c r="A470" s="675"/>
      <c r="B470" s="69"/>
      <c r="C470" s="70"/>
      <c r="D470" s="71"/>
      <c r="E470" s="96"/>
      <c r="F470" s="96"/>
      <c r="G470" s="96"/>
      <c r="H470" s="96"/>
      <c r="I470" s="132"/>
      <c r="J470" s="76"/>
      <c r="K470" s="79"/>
      <c r="L470" s="79"/>
      <c r="M470" s="81" t="s">
        <v>410</v>
      </c>
      <c r="N470" s="81" t="s">
        <v>692</v>
      </c>
      <c r="O470" s="85"/>
      <c r="P470" s="85"/>
      <c r="Q470" s="81"/>
      <c r="R470" s="85"/>
      <c r="S470" s="85"/>
      <c r="T470" s="81"/>
      <c r="U470" s="81"/>
      <c r="V470" s="81"/>
      <c r="W470" s="81"/>
      <c r="X470" s="81"/>
      <c r="Y470" s="81"/>
      <c r="Z470" s="81"/>
      <c r="AA470" s="81"/>
      <c r="AB470" s="85"/>
      <c r="AC470" s="85"/>
      <c r="AD470" s="85"/>
      <c r="AE470" s="81"/>
      <c r="AF470" s="81"/>
      <c r="AG470" s="81"/>
      <c r="AH470" s="85"/>
      <c r="AI470" s="81"/>
      <c r="AJ470" s="85"/>
      <c r="AK470" s="81"/>
      <c r="AL470" s="81"/>
      <c r="AM470" s="85"/>
      <c r="AN470" s="85"/>
      <c r="AO470" s="85"/>
      <c r="AP470" s="85"/>
      <c r="AQ470" s="81"/>
      <c r="AR470" s="679"/>
      <c r="AS470" s="67"/>
    </row>
    <row r="471">
      <c r="A471" s="675"/>
      <c r="B471" s="69"/>
      <c r="C471" s="70"/>
      <c r="D471" s="71"/>
      <c r="E471" s="96"/>
      <c r="F471" s="96"/>
      <c r="G471" s="96"/>
      <c r="H471" s="96"/>
      <c r="I471" s="132"/>
      <c r="J471" s="76"/>
      <c r="K471" s="79"/>
      <c r="L471" s="79"/>
      <c r="M471" s="81" t="s">
        <v>410</v>
      </c>
      <c r="N471" s="81" t="s">
        <v>692</v>
      </c>
      <c r="O471" s="85"/>
      <c r="P471" s="85"/>
      <c r="Q471" s="81" t="s">
        <v>315</v>
      </c>
      <c r="R471" s="85"/>
      <c r="S471" s="85"/>
      <c r="T471" s="81" t="s">
        <v>324</v>
      </c>
      <c r="U471" s="81" t="s">
        <v>324</v>
      </c>
      <c r="V471" s="81" t="s">
        <v>324</v>
      </c>
      <c r="W471" s="81" t="s">
        <v>324</v>
      </c>
      <c r="X471" s="81" t="s">
        <v>324</v>
      </c>
      <c r="Y471" s="81" t="s">
        <v>324</v>
      </c>
      <c r="Z471" s="81" t="s">
        <v>324</v>
      </c>
      <c r="AA471" s="81" t="s">
        <v>324</v>
      </c>
      <c r="AB471" s="85"/>
      <c r="AC471" s="85"/>
      <c r="AD471" s="85"/>
      <c r="AE471" s="81" t="s">
        <v>315</v>
      </c>
      <c r="AF471" s="81" t="s">
        <v>315</v>
      </c>
      <c r="AG471" s="81" t="s">
        <v>315</v>
      </c>
      <c r="AH471" s="85"/>
      <c r="AI471" s="81" t="s">
        <v>524</v>
      </c>
      <c r="AJ471" s="85"/>
      <c r="AK471" s="81" t="s">
        <v>315</v>
      </c>
      <c r="AL471" s="81" t="s">
        <v>315</v>
      </c>
      <c r="AM471" s="85"/>
      <c r="AN471" s="85"/>
      <c r="AO471" s="85"/>
      <c r="AP471" s="85"/>
      <c r="AQ471" s="81"/>
      <c r="AR471" s="679"/>
      <c r="AS471" s="67"/>
    </row>
    <row r="472">
      <c r="A472" s="675" t="s">
        <v>265</v>
      </c>
      <c r="B472" s="69" t="s">
        <v>1751</v>
      </c>
      <c r="C472" s="70">
        <v>43473.0</v>
      </c>
      <c r="D472" s="71" t="s">
        <v>258</v>
      </c>
      <c r="E472" s="72">
        <v>43576.0</v>
      </c>
      <c r="F472" s="73" t="s">
        <v>280</v>
      </c>
      <c r="G472" s="72">
        <v>43581.0</v>
      </c>
      <c r="H472" s="73" t="s">
        <v>282</v>
      </c>
      <c r="I472" s="132" t="s">
        <v>1770</v>
      </c>
      <c r="J472" s="76" t="s">
        <v>265</v>
      </c>
      <c r="K472" s="129" t="s">
        <v>812</v>
      </c>
      <c r="L472" s="79" t="s">
        <v>362</v>
      </c>
      <c r="M472" s="81" t="s">
        <v>396</v>
      </c>
      <c r="N472" s="82" t="s">
        <v>693</v>
      </c>
      <c r="P472" s="81" t="s">
        <v>809</v>
      </c>
      <c r="Q472" s="81" t="s">
        <v>315</v>
      </c>
      <c r="R472" s="81"/>
      <c r="S472" s="81"/>
      <c r="T472" s="81" t="s">
        <v>282</v>
      </c>
      <c r="U472" s="81" t="s">
        <v>282</v>
      </c>
      <c r="V472" s="81" t="s">
        <v>282</v>
      </c>
      <c r="W472" s="81" t="s">
        <v>282</v>
      </c>
      <c r="X472" s="81" t="s">
        <v>282</v>
      </c>
      <c r="Y472" s="81" t="s">
        <v>875</v>
      </c>
      <c r="Z472" s="81" t="s">
        <v>282</v>
      </c>
      <c r="AA472" s="81" t="s">
        <v>282</v>
      </c>
      <c r="AB472" s="81" t="s">
        <v>978</v>
      </c>
      <c r="AC472" s="81"/>
      <c r="AD472" s="81"/>
      <c r="AE472" s="81" t="s">
        <v>315</v>
      </c>
      <c r="AF472" s="81" t="s">
        <v>315</v>
      </c>
      <c r="AG472" s="81" t="s">
        <v>315</v>
      </c>
      <c r="AH472" s="82" t="s">
        <v>1205</v>
      </c>
      <c r="AI472" s="81" t="s">
        <v>524</v>
      </c>
      <c r="AJ472" s="81"/>
      <c r="AK472" s="81" t="s">
        <v>1311</v>
      </c>
      <c r="AL472" s="81" t="s">
        <v>315</v>
      </c>
      <c r="AM472" s="85"/>
      <c r="AN472" s="85"/>
      <c r="AO472" s="85"/>
      <c r="AP472" s="85"/>
      <c r="AQ472" s="81" t="s">
        <v>1771</v>
      </c>
      <c r="AR472" s="679">
        <v>0.59375</v>
      </c>
      <c r="AS472" s="67"/>
    </row>
    <row r="473">
      <c r="A473" s="675"/>
      <c r="B473" s="69"/>
      <c r="C473" s="70"/>
      <c r="D473" s="71"/>
      <c r="E473" s="96"/>
      <c r="F473" s="96"/>
      <c r="G473" s="96"/>
      <c r="H473" s="96"/>
      <c r="I473" s="132"/>
      <c r="J473" s="76"/>
      <c r="K473" s="79"/>
      <c r="L473" s="79"/>
      <c r="M473" s="81"/>
      <c r="N473" s="81"/>
      <c r="O473" s="81"/>
      <c r="P473" s="81"/>
      <c r="Q473" s="81"/>
      <c r="R473" s="81"/>
      <c r="S473" s="81"/>
      <c r="T473" s="81"/>
      <c r="U473" s="81"/>
      <c r="V473" s="81"/>
      <c r="W473" s="81"/>
      <c r="X473" s="81"/>
      <c r="Y473" s="81"/>
      <c r="Z473" s="81"/>
      <c r="AA473" s="81"/>
      <c r="AB473" s="81"/>
      <c r="AC473" s="81"/>
      <c r="AD473" s="81"/>
      <c r="AE473" s="81"/>
      <c r="AF473" s="81"/>
      <c r="AG473" s="81"/>
      <c r="AH473" s="81"/>
      <c r="AI473" s="81"/>
      <c r="AJ473" s="81"/>
      <c r="AK473" s="81"/>
      <c r="AL473" s="81"/>
      <c r="AM473" s="85"/>
      <c r="AN473" s="85"/>
      <c r="AO473" s="85"/>
      <c r="AP473" s="85"/>
      <c r="AQ473" s="81"/>
      <c r="AR473" s="679"/>
      <c r="AS473" s="67"/>
    </row>
    <row r="474">
      <c r="A474" s="675"/>
      <c r="B474" s="69"/>
      <c r="C474" s="70"/>
      <c r="D474" s="71"/>
      <c r="E474" s="96"/>
      <c r="F474" s="96"/>
      <c r="G474" s="96"/>
      <c r="H474" s="96"/>
      <c r="I474" s="132"/>
      <c r="J474" s="76"/>
      <c r="K474" s="79"/>
      <c r="L474" s="79" t="s">
        <v>362</v>
      </c>
      <c r="M474" s="81" t="s">
        <v>396</v>
      </c>
      <c r="N474" s="82" t="s">
        <v>693</v>
      </c>
      <c r="P474" s="81" t="s">
        <v>809</v>
      </c>
      <c r="Q474" s="81" t="s">
        <v>315</v>
      </c>
      <c r="R474" s="81"/>
      <c r="S474" s="81"/>
      <c r="T474" s="81" t="s">
        <v>282</v>
      </c>
      <c r="U474" s="81" t="s">
        <v>282</v>
      </c>
      <c r="V474" s="81" t="s">
        <v>282</v>
      </c>
      <c r="W474" s="81" t="s">
        <v>282</v>
      </c>
      <c r="X474" s="81" t="s">
        <v>282</v>
      </c>
      <c r="Y474" s="81" t="s">
        <v>875</v>
      </c>
      <c r="Z474" s="81" t="s">
        <v>282</v>
      </c>
      <c r="AA474" s="81" t="s">
        <v>282</v>
      </c>
      <c r="AB474" s="81" t="s">
        <v>978</v>
      </c>
      <c r="AC474" s="81"/>
      <c r="AD474" s="81"/>
      <c r="AE474" s="81" t="s">
        <v>315</v>
      </c>
      <c r="AF474" s="81" t="s">
        <v>315</v>
      </c>
      <c r="AG474" s="81" t="s">
        <v>315</v>
      </c>
      <c r="AH474" s="82" t="s">
        <v>1205</v>
      </c>
      <c r="AI474" s="81" t="s">
        <v>524</v>
      </c>
      <c r="AJ474" s="81"/>
      <c r="AK474" s="81" t="s">
        <v>1311</v>
      </c>
      <c r="AL474" s="81" t="s">
        <v>315</v>
      </c>
      <c r="AM474" s="85"/>
      <c r="AN474" s="85"/>
      <c r="AO474" s="85"/>
      <c r="AP474" s="85"/>
      <c r="AQ474" s="81"/>
      <c r="AR474" s="679"/>
      <c r="AS474" s="67"/>
    </row>
    <row r="475">
      <c r="A475" s="675" t="s">
        <v>266</v>
      </c>
      <c r="B475" s="69" t="s">
        <v>1751</v>
      </c>
      <c r="C475" s="70">
        <v>43473.0</v>
      </c>
      <c r="D475" s="71" t="s">
        <v>258</v>
      </c>
      <c r="E475" s="72">
        <v>43576.0</v>
      </c>
      <c r="F475" s="73" t="s">
        <v>280</v>
      </c>
      <c r="G475" s="72">
        <v>43581.0</v>
      </c>
      <c r="H475" s="73" t="s">
        <v>282</v>
      </c>
      <c r="I475" s="132" t="s">
        <v>1772</v>
      </c>
      <c r="J475" s="76" t="s">
        <v>266</v>
      </c>
      <c r="K475" s="129" t="s">
        <v>789</v>
      </c>
      <c r="L475" s="79" t="s">
        <v>341</v>
      </c>
      <c r="M475" s="81" t="s">
        <v>291</v>
      </c>
      <c r="N475" s="82" t="s">
        <v>695</v>
      </c>
      <c r="O475" s="81"/>
      <c r="P475" s="81"/>
      <c r="Q475" s="81" t="s">
        <v>315</v>
      </c>
      <c r="R475" s="85"/>
      <c r="S475" s="85"/>
      <c r="T475" s="81" t="s">
        <v>324</v>
      </c>
      <c r="U475" s="81" t="s">
        <v>324</v>
      </c>
      <c r="V475" s="81" t="s">
        <v>324</v>
      </c>
      <c r="W475" s="81" t="s">
        <v>324</v>
      </c>
      <c r="X475" s="81" t="s">
        <v>324</v>
      </c>
      <c r="Y475" s="81" t="s">
        <v>324</v>
      </c>
      <c r="Z475" s="81" t="s">
        <v>324</v>
      </c>
      <c r="AA475" s="81" t="s">
        <v>324</v>
      </c>
      <c r="AB475" s="85"/>
      <c r="AC475" s="85"/>
      <c r="AD475" s="85"/>
      <c r="AE475" s="81" t="s">
        <v>315</v>
      </c>
      <c r="AF475" s="81" t="s">
        <v>315</v>
      </c>
      <c r="AG475" s="81" t="s">
        <v>315</v>
      </c>
      <c r="AH475" s="82" t="s">
        <v>1206</v>
      </c>
      <c r="AI475" s="81" t="s">
        <v>1245</v>
      </c>
      <c r="AJ475" s="110" t="s">
        <v>1290</v>
      </c>
      <c r="AK475" s="81" t="s">
        <v>315</v>
      </c>
      <c r="AL475" s="81" t="s">
        <v>315</v>
      </c>
      <c r="AM475" s="85"/>
      <c r="AN475" s="85"/>
      <c r="AO475" s="85"/>
      <c r="AP475" s="85"/>
      <c r="AQ475" s="85"/>
      <c r="AR475" s="679">
        <v>0.22916666666666666</v>
      </c>
      <c r="AS475" s="67"/>
    </row>
    <row r="476">
      <c r="A476" s="675"/>
      <c r="B476" s="69"/>
      <c r="C476" s="70"/>
      <c r="D476" s="71"/>
      <c r="E476" s="96"/>
      <c r="F476" s="96"/>
      <c r="G476" s="96"/>
      <c r="H476" s="96"/>
      <c r="I476" s="132"/>
      <c r="J476" s="76"/>
      <c r="K476" s="79"/>
      <c r="L476" s="79"/>
      <c r="M476" s="81"/>
      <c r="N476" s="81"/>
      <c r="O476" s="81"/>
      <c r="P476" s="81"/>
      <c r="Q476" s="81"/>
      <c r="R476" s="85"/>
      <c r="S476" s="85"/>
      <c r="T476" s="81"/>
      <c r="U476" s="81"/>
      <c r="V476" s="81"/>
      <c r="W476" s="81"/>
      <c r="X476" s="81"/>
      <c r="Y476" s="81"/>
      <c r="Z476" s="81"/>
      <c r="AA476" s="81"/>
      <c r="AB476" s="85"/>
      <c r="AC476" s="85"/>
      <c r="AD476" s="85"/>
      <c r="AE476" s="81"/>
      <c r="AF476" s="81"/>
      <c r="AG476" s="81"/>
      <c r="AH476" s="81"/>
      <c r="AI476" s="81"/>
      <c r="AJ476" s="110"/>
      <c r="AK476" s="81"/>
      <c r="AL476" s="81"/>
      <c r="AM476" s="85"/>
      <c r="AN476" s="85"/>
      <c r="AO476" s="85"/>
      <c r="AP476" s="85"/>
      <c r="AQ476" s="85"/>
      <c r="AR476" s="679"/>
      <c r="AS476" s="67"/>
    </row>
    <row r="477">
      <c r="A477" s="675"/>
      <c r="B477" s="69"/>
      <c r="C477" s="70"/>
      <c r="D477" s="71"/>
      <c r="E477" s="96"/>
      <c r="F477" s="96"/>
      <c r="G477" s="96"/>
      <c r="H477" s="96"/>
      <c r="I477" s="132"/>
      <c r="J477" s="76"/>
      <c r="K477" s="79"/>
      <c r="L477" s="79" t="s">
        <v>341</v>
      </c>
      <c r="M477" s="81" t="s">
        <v>291</v>
      </c>
      <c r="N477" s="82" t="s">
        <v>695</v>
      </c>
      <c r="O477" s="81"/>
      <c r="P477" s="81"/>
      <c r="Q477" s="81" t="s">
        <v>315</v>
      </c>
      <c r="R477" s="85"/>
      <c r="S477" s="85"/>
      <c r="T477" s="81" t="s">
        <v>324</v>
      </c>
      <c r="U477" s="81" t="s">
        <v>324</v>
      </c>
      <c r="V477" s="81" t="s">
        <v>324</v>
      </c>
      <c r="W477" s="81" t="s">
        <v>324</v>
      </c>
      <c r="X477" s="81" t="s">
        <v>324</v>
      </c>
      <c r="Y477" s="81" t="s">
        <v>324</v>
      </c>
      <c r="Z477" s="81" t="s">
        <v>324</v>
      </c>
      <c r="AA477" s="81" t="s">
        <v>324</v>
      </c>
      <c r="AB477" s="85"/>
      <c r="AC477" s="85"/>
      <c r="AD477" s="85"/>
      <c r="AE477" s="81" t="s">
        <v>315</v>
      </c>
      <c r="AF477" s="81" t="s">
        <v>315</v>
      </c>
      <c r="AG477" s="81" t="s">
        <v>315</v>
      </c>
      <c r="AH477" s="82" t="s">
        <v>1206</v>
      </c>
      <c r="AI477" s="81" t="s">
        <v>1245</v>
      </c>
      <c r="AJ477" s="110" t="s">
        <v>1290</v>
      </c>
      <c r="AK477" s="81" t="s">
        <v>315</v>
      </c>
      <c r="AL477" s="81" t="s">
        <v>315</v>
      </c>
      <c r="AM477" s="85"/>
      <c r="AN477" s="85"/>
      <c r="AO477" s="85"/>
      <c r="AP477" s="85"/>
      <c r="AQ477" s="85"/>
      <c r="AR477" s="679"/>
      <c r="AS477" s="67"/>
    </row>
    <row r="478" ht="15.75" customHeight="1">
      <c r="A478" s="675" t="s">
        <v>267</v>
      </c>
      <c r="B478" s="69" t="s">
        <v>1751</v>
      </c>
      <c r="C478" s="70">
        <v>43473.0</v>
      </c>
      <c r="D478" s="71" t="s">
        <v>258</v>
      </c>
      <c r="E478" s="72">
        <v>43576.0</v>
      </c>
      <c r="F478" s="73" t="s">
        <v>280</v>
      </c>
      <c r="G478" s="72">
        <v>43581.0</v>
      </c>
      <c r="H478" s="73" t="s">
        <v>282</v>
      </c>
      <c r="I478" s="132" t="s">
        <v>1773</v>
      </c>
      <c r="J478" s="76" t="s">
        <v>267</v>
      </c>
      <c r="K478" s="79"/>
      <c r="L478" s="79" t="s">
        <v>363</v>
      </c>
      <c r="M478" s="81" t="s">
        <v>315</v>
      </c>
      <c r="N478" s="82" t="s">
        <v>697</v>
      </c>
      <c r="P478" s="85"/>
      <c r="Q478" s="81" t="s">
        <v>315</v>
      </c>
      <c r="R478" s="85"/>
      <c r="S478" s="85"/>
      <c r="T478" s="81" t="s">
        <v>324</v>
      </c>
      <c r="U478" s="81" t="s">
        <v>324</v>
      </c>
      <c r="V478" s="81" t="s">
        <v>324</v>
      </c>
      <c r="W478" s="81" t="s">
        <v>324</v>
      </c>
      <c r="X478" s="81" t="s">
        <v>324</v>
      </c>
      <c r="Y478" s="81" t="s">
        <v>324</v>
      </c>
      <c r="Z478" s="81" t="s">
        <v>324</v>
      </c>
      <c r="AA478" s="81" t="s">
        <v>324</v>
      </c>
      <c r="AB478" s="85"/>
      <c r="AC478" s="81" t="s">
        <v>1019</v>
      </c>
      <c r="AD478" s="82" t="s">
        <v>697</v>
      </c>
      <c r="AE478" s="81" t="s">
        <v>315</v>
      </c>
      <c r="AF478" s="81" t="s">
        <v>315</v>
      </c>
      <c r="AG478" s="81" t="s">
        <v>315</v>
      </c>
      <c r="AH478" s="82" t="s">
        <v>697</v>
      </c>
      <c r="AI478" s="81" t="s">
        <v>315</v>
      </c>
      <c r="AJ478" s="81" t="s">
        <v>1291</v>
      </c>
      <c r="AK478" s="81" t="s">
        <v>315</v>
      </c>
      <c r="AL478" s="81" t="s">
        <v>315</v>
      </c>
      <c r="AM478" s="81" t="s">
        <v>1330</v>
      </c>
      <c r="AQ478" s="81" t="s">
        <v>1774</v>
      </c>
      <c r="AR478" s="679">
        <v>0.34305555555555556</v>
      </c>
      <c r="AS478" s="67"/>
    </row>
    <row r="479">
      <c r="A479" s="675"/>
      <c r="B479" s="69"/>
      <c r="C479" s="70"/>
      <c r="D479" s="71"/>
      <c r="E479" s="96"/>
      <c r="F479" s="96"/>
      <c r="G479" s="96"/>
      <c r="H479" s="96"/>
      <c r="I479" s="132"/>
      <c r="J479" s="76"/>
      <c r="K479" s="79"/>
      <c r="L479" s="79"/>
      <c r="M479" s="81"/>
      <c r="N479" s="81"/>
      <c r="O479" s="81"/>
      <c r="P479" s="85"/>
      <c r="Q479" s="81"/>
      <c r="R479" s="85"/>
      <c r="S479" s="85"/>
      <c r="T479" s="81"/>
      <c r="U479" s="81"/>
      <c r="V479" s="81"/>
      <c r="W479" s="81"/>
      <c r="X479" s="81"/>
      <c r="Y479" s="81"/>
      <c r="Z479" s="81"/>
      <c r="AA479" s="81"/>
      <c r="AB479" s="85"/>
      <c r="AC479" s="81"/>
      <c r="AD479" s="81"/>
      <c r="AE479" s="81"/>
      <c r="AF479" s="81"/>
      <c r="AG479" s="81"/>
      <c r="AH479" s="81"/>
      <c r="AI479" s="81"/>
      <c r="AJ479" s="81"/>
      <c r="AK479" s="81"/>
      <c r="AL479" s="81"/>
      <c r="AM479" s="81"/>
      <c r="AN479" s="81"/>
      <c r="AO479" s="81"/>
      <c r="AP479" s="81"/>
      <c r="AQ479" s="81"/>
      <c r="AR479" s="679"/>
      <c r="AS479" s="67"/>
    </row>
    <row r="480">
      <c r="A480" s="675"/>
      <c r="B480" s="69"/>
      <c r="C480" s="70"/>
      <c r="D480" s="71"/>
      <c r="E480" s="96"/>
      <c r="F480" s="96"/>
      <c r="G480" s="96"/>
      <c r="H480" s="96"/>
      <c r="I480" s="132"/>
      <c r="J480" s="76"/>
      <c r="K480" s="79"/>
      <c r="L480" s="79" t="s">
        <v>363</v>
      </c>
      <c r="M480" s="81" t="s">
        <v>315</v>
      </c>
      <c r="N480" s="82" t="s">
        <v>697</v>
      </c>
      <c r="P480" s="85"/>
      <c r="Q480" s="81" t="s">
        <v>315</v>
      </c>
      <c r="R480" s="85"/>
      <c r="S480" s="85"/>
      <c r="T480" s="81" t="s">
        <v>324</v>
      </c>
      <c r="U480" s="81" t="s">
        <v>324</v>
      </c>
      <c r="V480" s="81" t="s">
        <v>324</v>
      </c>
      <c r="W480" s="81" t="s">
        <v>324</v>
      </c>
      <c r="X480" s="81" t="s">
        <v>324</v>
      </c>
      <c r="Y480" s="81" t="s">
        <v>324</v>
      </c>
      <c r="Z480" s="81" t="s">
        <v>324</v>
      </c>
      <c r="AA480" s="81" t="s">
        <v>324</v>
      </c>
      <c r="AB480" s="85"/>
      <c r="AC480" s="81" t="s">
        <v>1019</v>
      </c>
      <c r="AD480" s="82" t="s">
        <v>697</v>
      </c>
      <c r="AE480" s="81" t="s">
        <v>315</v>
      </c>
      <c r="AF480" s="81" t="s">
        <v>315</v>
      </c>
      <c r="AG480" s="81" t="s">
        <v>315</v>
      </c>
      <c r="AH480" s="82" t="s">
        <v>697</v>
      </c>
      <c r="AI480" s="81" t="s">
        <v>315</v>
      </c>
      <c r="AJ480" s="81" t="s">
        <v>1291</v>
      </c>
      <c r="AK480" s="81" t="s">
        <v>315</v>
      </c>
      <c r="AL480" s="81" t="s">
        <v>315</v>
      </c>
      <c r="AM480" s="81" t="s">
        <v>1330</v>
      </c>
      <c r="AQ480" s="81"/>
      <c r="AR480" s="679"/>
      <c r="AS480" s="67"/>
    </row>
    <row r="481" ht="17.25" customHeight="1">
      <c r="A481" s="675" t="s">
        <v>268</v>
      </c>
      <c r="B481" s="69" t="s">
        <v>1751</v>
      </c>
      <c r="C481" s="70">
        <v>43473.0</v>
      </c>
      <c r="D481" s="71" t="s">
        <v>258</v>
      </c>
      <c r="E481" s="72">
        <v>43576.0</v>
      </c>
      <c r="F481" s="73" t="s">
        <v>280</v>
      </c>
      <c r="G481" s="72">
        <v>43581.0</v>
      </c>
      <c r="H481" s="73" t="s">
        <v>282</v>
      </c>
      <c r="I481" s="132" t="s">
        <v>1775</v>
      </c>
      <c r="J481" s="76" t="s">
        <v>268</v>
      </c>
      <c r="K481" s="129" t="s">
        <v>519</v>
      </c>
      <c r="L481" s="79" t="s">
        <v>365</v>
      </c>
      <c r="M481" s="81" t="s">
        <v>315</v>
      </c>
      <c r="N481" s="85"/>
      <c r="O481" s="85"/>
      <c r="P481" s="85"/>
      <c r="Q481" s="81" t="s">
        <v>315</v>
      </c>
      <c r="R481" s="85"/>
      <c r="S481" s="85"/>
      <c r="T481" s="81" t="s">
        <v>324</v>
      </c>
      <c r="U481" s="81" t="s">
        <v>324</v>
      </c>
      <c r="V481" s="81" t="s">
        <v>324</v>
      </c>
      <c r="W481" s="81" t="s">
        <v>324</v>
      </c>
      <c r="X481" s="81" t="s">
        <v>324</v>
      </c>
      <c r="Y481" s="81" t="s">
        <v>324</v>
      </c>
      <c r="Z481" s="81" t="s">
        <v>324</v>
      </c>
      <c r="AA481" s="81" t="s">
        <v>324</v>
      </c>
      <c r="AB481" s="85"/>
      <c r="AC481" s="85"/>
      <c r="AD481" s="85"/>
      <c r="AE481" s="81" t="s">
        <v>315</v>
      </c>
      <c r="AF481" s="81" t="s">
        <v>315</v>
      </c>
      <c r="AG481" s="81" t="s">
        <v>315</v>
      </c>
      <c r="AH481" s="82" t="s">
        <v>1210</v>
      </c>
      <c r="AI481" s="81" t="s">
        <v>1246</v>
      </c>
      <c r="AK481" s="81" t="s">
        <v>315</v>
      </c>
      <c r="AL481" s="81" t="s">
        <v>315</v>
      </c>
      <c r="AM481" s="85"/>
      <c r="AN481" s="85"/>
      <c r="AO481" s="85"/>
      <c r="AP481" s="85"/>
      <c r="AQ481" s="85"/>
      <c r="AR481" s="679">
        <v>0.29444444444444445</v>
      </c>
      <c r="AS481" s="67"/>
    </row>
    <row r="482">
      <c r="A482" s="675"/>
      <c r="B482" s="69"/>
      <c r="C482" s="70"/>
      <c r="D482" s="71"/>
      <c r="E482" s="96"/>
      <c r="F482" s="96"/>
      <c r="G482" s="96"/>
      <c r="H482" s="96"/>
      <c r="I482" s="132"/>
      <c r="J482" s="76"/>
      <c r="K482" s="79"/>
      <c r="L482" s="79"/>
      <c r="M482" s="81"/>
      <c r="N482" s="85"/>
      <c r="O482" s="85"/>
      <c r="P482" s="20" t="s">
        <v>683</v>
      </c>
      <c r="Q482" s="81" t="s">
        <v>369</v>
      </c>
      <c r="R482" s="85"/>
      <c r="S482" s="85"/>
      <c r="T482" s="81"/>
      <c r="U482" s="81"/>
      <c r="V482" s="81"/>
      <c r="W482" s="81"/>
      <c r="X482" s="81"/>
      <c r="Y482" s="81"/>
      <c r="Z482" s="81"/>
      <c r="AA482" s="81"/>
      <c r="AB482" s="85"/>
      <c r="AC482" s="81" t="s">
        <v>1021</v>
      </c>
      <c r="AD482" s="20" t="s">
        <v>1070</v>
      </c>
      <c r="AE482" s="81" t="s">
        <v>315</v>
      </c>
      <c r="AF482" s="81"/>
      <c r="AG482" s="81"/>
      <c r="AH482" s="81"/>
      <c r="AI482" s="81"/>
      <c r="AJ482" s="81"/>
      <c r="AK482" s="81"/>
      <c r="AL482" s="81"/>
      <c r="AM482" s="85"/>
      <c r="AN482" s="85"/>
      <c r="AO482" s="85"/>
      <c r="AP482" s="85"/>
      <c r="AQ482" s="85"/>
      <c r="AR482" s="679"/>
      <c r="AS482" s="67"/>
    </row>
    <row r="483">
      <c r="A483" s="675"/>
      <c r="B483" s="69"/>
      <c r="C483" s="70"/>
      <c r="D483" s="71"/>
      <c r="E483" s="96"/>
      <c r="F483" s="96"/>
      <c r="G483" s="96"/>
      <c r="H483" s="96"/>
      <c r="I483" s="132"/>
      <c r="J483" s="76"/>
      <c r="K483" s="79"/>
      <c r="L483" s="79" t="s">
        <v>365</v>
      </c>
      <c r="M483" s="81" t="s">
        <v>315</v>
      </c>
      <c r="N483" s="85"/>
      <c r="O483" s="85"/>
      <c r="P483" s="20" t="s">
        <v>683</v>
      </c>
      <c r="Q483" s="81" t="s">
        <v>369</v>
      </c>
      <c r="R483" s="85"/>
      <c r="S483" s="85"/>
      <c r="T483" s="81" t="s">
        <v>324</v>
      </c>
      <c r="U483" s="81" t="s">
        <v>324</v>
      </c>
      <c r="V483" s="81" t="s">
        <v>324</v>
      </c>
      <c r="W483" s="81" t="s">
        <v>324</v>
      </c>
      <c r="X483" s="81" t="s">
        <v>324</v>
      </c>
      <c r="Y483" s="81" t="s">
        <v>324</v>
      </c>
      <c r="Z483" s="81" t="s">
        <v>324</v>
      </c>
      <c r="AA483" s="81" t="s">
        <v>324</v>
      </c>
      <c r="AB483" s="85"/>
      <c r="AC483" s="81" t="s">
        <v>1021</v>
      </c>
      <c r="AD483" s="20" t="s">
        <v>1070</v>
      </c>
      <c r="AE483" s="81" t="s">
        <v>315</v>
      </c>
      <c r="AF483" s="81" t="s">
        <v>315</v>
      </c>
      <c r="AG483" s="81" t="s">
        <v>315</v>
      </c>
      <c r="AH483" s="82" t="s">
        <v>1210</v>
      </c>
      <c r="AI483" s="81" t="s">
        <v>1246</v>
      </c>
      <c r="AK483" s="81" t="s">
        <v>315</v>
      </c>
      <c r="AL483" s="81" t="s">
        <v>315</v>
      </c>
      <c r="AM483" s="85"/>
      <c r="AN483" s="85"/>
      <c r="AO483" s="85"/>
      <c r="AP483" s="85"/>
      <c r="AQ483" s="85"/>
      <c r="AR483" s="679"/>
      <c r="AS483" s="67"/>
    </row>
    <row r="484" ht="18.75" customHeight="1">
      <c r="A484" s="675" t="s">
        <v>269</v>
      </c>
      <c r="B484" s="69" t="s">
        <v>1751</v>
      </c>
      <c r="C484" s="70">
        <v>43473.0</v>
      </c>
      <c r="D484" s="71" t="s">
        <v>258</v>
      </c>
      <c r="E484" s="72">
        <v>43576.0</v>
      </c>
      <c r="F484" s="73" t="s">
        <v>280</v>
      </c>
      <c r="G484" s="72">
        <v>43581.0</v>
      </c>
      <c r="H484" s="73" t="s">
        <v>282</v>
      </c>
      <c r="I484" s="128" t="s">
        <v>1776</v>
      </c>
      <c r="J484" s="76" t="s">
        <v>269</v>
      </c>
      <c r="K484" s="129" t="s">
        <v>1777</v>
      </c>
      <c r="L484" s="79" t="s">
        <v>294</v>
      </c>
      <c r="M484" s="81" t="s">
        <v>291</v>
      </c>
      <c r="N484" s="82" t="s">
        <v>419</v>
      </c>
      <c r="Q484" s="85"/>
      <c r="R484" s="81" t="s">
        <v>867</v>
      </c>
      <c r="S484" s="82" t="s">
        <v>936</v>
      </c>
      <c r="T484" s="81" t="s">
        <v>324</v>
      </c>
      <c r="U484" s="81" t="s">
        <v>324</v>
      </c>
      <c r="V484" s="81" t="s">
        <v>324</v>
      </c>
      <c r="W484" s="81" t="s">
        <v>324</v>
      </c>
      <c r="X484" s="81" t="s">
        <v>324</v>
      </c>
      <c r="Y484" s="81" t="s">
        <v>329</v>
      </c>
      <c r="Z484" s="81" t="s">
        <v>324</v>
      </c>
      <c r="AA484" s="81" t="s">
        <v>324</v>
      </c>
      <c r="AB484" s="81" t="s">
        <v>979</v>
      </c>
      <c r="AC484" s="81"/>
      <c r="AD484" s="81"/>
      <c r="AE484" s="81" t="s">
        <v>315</v>
      </c>
      <c r="AF484" s="81" t="s">
        <v>315</v>
      </c>
      <c r="AG484" s="81" t="s">
        <v>315</v>
      </c>
      <c r="AH484" s="82" t="s">
        <v>936</v>
      </c>
      <c r="AI484" s="81" t="s">
        <v>1244</v>
      </c>
      <c r="AJ484" s="81" t="s">
        <v>1292</v>
      </c>
      <c r="AK484" s="81" t="s">
        <v>315</v>
      </c>
      <c r="AL484" s="81" t="s">
        <v>315</v>
      </c>
      <c r="AM484" s="85"/>
      <c r="AN484" s="85"/>
      <c r="AO484" s="85"/>
      <c r="AP484" s="85"/>
      <c r="AQ484" s="85"/>
      <c r="AR484" s="679">
        <v>0.28125</v>
      </c>
      <c r="AS484" s="25" t="s">
        <v>1778</v>
      </c>
    </row>
    <row r="485">
      <c r="A485" s="675"/>
      <c r="B485" s="69"/>
      <c r="C485" s="70"/>
      <c r="D485" s="71"/>
      <c r="E485" s="96"/>
      <c r="F485" s="96"/>
      <c r="G485" s="96"/>
      <c r="H485" s="96"/>
      <c r="I485" s="132"/>
      <c r="J485" s="76"/>
      <c r="K485" s="79"/>
      <c r="L485" s="79"/>
      <c r="M485" s="81"/>
      <c r="N485" s="91" t="s">
        <v>699</v>
      </c>
      <c r="O485" s="81"/>
      <c r="P485" s="81"/>
      <c r="Q485" s="85"/>
      <c r="R485" s="81"/>
      <c r="S485" s="81"/>
      <c r="T485" s="81"/>
      <c r="U485" s="81"/>
      <c r="V485" s="81"/>
      <c r="W485" s="81"/>
      <c r="X485" s="81"/>
      <c r="Y485" s="81" t="s">
        <v>327</v>
      </c>
      <c r="Z485" s="81"/>
      <c r="AA485" s="81"/>
      <c r="AB485" s="81"/>
      <c r="AC485" s="81"/>
      <c r="AD485" s="81"/>
      <c r="AE485" s="81"/>
      <c r="AF485" s="81"/>
      <c r="AG485" s="81"/>
      <c r="AH485" s="81"/>
      <c r="AI485" s="81"/>
      <c r="AJ485" s="81"/>
      <c r="AK485" s="81"/>
      <c r="AL485" s="81"/>
      <c r="AM485" s="85"/>
      <c r="AN485" s="85"/>
      <c r="AO485" s="85"/>
      <c r="AP485" s="85"/>
      <c r="AQ485" s="85"/>
      <c r="AR485" s="679"/>
      <c r="AS485" s="67"/>
    </row>
    <row r="486">
      <c r="A486" s="675"/>
      <c r="B486" s="69"/>
      <c r="C486" s="70"/>
      <c r="D486" s="71"/>
      <c r="E486" s="96"/>
      <c r="F486" s="96"/>
      <c r="G486" s="96"/>
      <c r="H486" s="73" t="s">
        <v>1779</v>
      </c>
      <c r="I486" s="132"/>
      <c r="J486" s="76"/>
      <c r="K486" s="79"/>
      <c r="L486" s="79" t="s">
        <v>294</v>
      </c>
      <c r="M486" s="81" t="s">
        <v>291</v>
      </c>
      <c r="N486" s="91" t="s">
        <v>699</v>
      </c>
      <c r="O486" s="81"/>
      <c r="P486" s="81"/>
      <c r="Q486" s="114" t="s">
        <v>315</v>
      </c>
      <c r="R486" s="81" t="s">
        <v>867</v>
      </c>
      <c r="S486" s="82" t="s">
        <v>936</v>
      </c>
      <c r="T486" s="81" t="s">
        <v>324</v>
      </c>
      <c r="U486" s="81" t="s">
        <v>324</v>
      </c>
      <c r="V486" s="81" t="s">
        <v>324</v>
      </c>
      <c r="W486" s="81" t="s">
        <v>324</v>
      </c>
      <c r="X486" s="81" t="s">
        <v>324</v>
      </c>
      <c r="Y486" s="81" t="s">
        <v>329</v>
      </c>
      <c r="Z486" s="81" t="s">
        <v>324</v>
      </c>
      <c r="AA486" s="81" t="s">
        <v>324</v>
      </c>
      <c r="AB486" s="81" t="s">
        <v>979</v>
      </c>
      <c r="AC486" s="81"/>
      <c r="AD486" s="81"/>
      <c r="AE486" s="81" t="s">
        <v>315</v>
      </c>
      <c r="AF486" s="81" t="s">
        <v>315</v>
      </c>
      <c r="AG486" s="81" t="s">
        <v>315</v>
      </c>
      <c r="AH486" s="82" t="s">
        <v>936</v>
      </c>
      <c r="AI486" s="81" t="s">
        <v>1244</v>
      </c>
      <c r="AJ486" s="81" t="s">
        <v>1292</v>
      </c>
      <c r="AK486" s="81" t="s">
        <v>315</v>
      </c>
      <c r="AL486" s="81" t="s">
        <v>315</v>
      </c>
      <c r="AM486" s="85"/>
      <c r="AN486" s="85"/>
      <c r="AO486" s="85"/>
      <c r="AP486" s="85"/>
      <c r="AQ486" s="85"/>
      <c r="AR486" s="679"/>
      <c r="AS486" s="67"/>
    </row>
    <row r="487">
      <c r="A487" s="675" t="s">
        <v>270</v>
      </c>
      <c r="B487" s="69" t="s">
        <v>1751</v>
      </c>
      <c r="C487" s="70">
        <v>43473.0</v>
      </c>
      <c r="D487" s="71" t="s">
        <v>258</v>
      </c>
      <c r="E487" s="72">
        <v>43576.0</v>
      </c>
      <c r="F487" s="73" t="s">
        <v>280</v>
      </c>
      <c r="G487" s="72">
        <v>43581.0</v>
      </c>
      <c r="H487" s="73" t="s">
        <v>282</v>
      </c>
      <c r="I487" s="132" t="s">
        <v>1780</v>
      </c>
      <c r="J487" s="76" t="s">
        <v>270</v>
      </c>
      <c r="K487" s="129" t="s">
        <v>812</v>
      </c>
      <c r="L487" s="79" t="s">
        <v>305</v>
      </c>
      <c r="M487" s="81" t="s">
        <v>315</v>
      </c>
      <c r="N487" s="82" t="s">
        <v>1781</v>
      </c>
      <c r="P487" s="85"/>
      <c r="Q487" s="81" t="s">
        <v>315</v>
      </c>
      <c r="R487" s="85"/>
      <c r="S487" s="85"/>
      <c r="T487" s="81" t="s">
        <v>324</v>
      </c>
      <c r="U487" s="81" t="s">
        <v>324</v>
      </c>
      <c r="V487" s="81" t="s">
        <v>324</v>
      </c>
      <c r="W487" s="81" t="s">
        <v>324</v>
      </c>
      <c r="X487" s="81" t="s">
        <v>324</v>
      </c>
      <c r="Y487" s="81" t="s">
        <v>324</v>
      </c>
      <c r="Z487" s="81" t="s">
        <v>324</v>
      </c>
      <c r="AA487" s="81" t="s">
        <v>324</v>
      </c>
      <c r="AB487" s="85"/>
      <c r="AC487" s="85"/>
      <c r="AD487" s="85"/>
      <c r="AE487" s="81" t="s">
        <v>315</v>
      </c>
      <c r="AF487" s="81" t="s">
        <v>315</v>
      </c>
      <c r="AG487" s="81" t="s">
        <v>315</v>
      </c>
      <c r="AH487" s="81" t="s">
        <v>1211</v>
      </c>
      <c r="AI487" s="81" t="s">
        <v>315</v>
      </c>
      <c r="AJ487" s="81" t="s">
        <v>1293</v>
      </c>
      <c r="AK487" s="81" t="s">
        <v>315</v>
      </c>
      <c r="AL487" s="81" t="s">
        <v>315</v>
      </c>
      <c r="AM487" s="102" t="s">
        <v>1782</v>
      </c>
      <c r="AP487" s="110" t="s">
        <v>1783</v>
      </c>
      <c r="AR487" s="679">
        <v>0.75</v>
      </c>
      <c r="AS487" s="67"/>
    </row>
    <row r="488">
      <c r="A488" s="675"/>
      <c r="B488" s="69"/>
      <c r="C488" s="70"/>
      <c r="D488" s="71"/>
      <c r="E488" s="96"/>
      <c r="F488" s="96"/>
      <c r="G488" s="96"/>
      <c r="H488" s="96"/>
      <c r="I488" s="132"/>
      <c r="J488" s="76"/>
      <c r="K488" s="79"/>
      <c r="L488" s="79"/>
      <c r="M488" s="81"/>
      <c r="N488" s="82" t="s">
        <v>701</v>
      </c>
      <c r="O488" s="81"/>
      <c r="P488" s="85"/>
      <c r="Q488" s="81"/>
      <c r="R488" s="81" t="s">
        <v>868</v>
      </c>
      <c r="S488" s="82" t="s">
        <v>701</v>
      </c>
      <c r="T488" s="81"/>
      <c r="U488" s="81"/>
      <c r="V488" s="81"/>
      <c r="W488" s="81"/>
      <c r="X488" s="81"/>
      <c r="Y488" s="81"/>
      <c r="Z488" s="81"/>
      <c r="AA488" s="81"/>
      <c r="AB488" s="85"/>
      <c r="AC488" s="85"/>
      <c r="AD488" s="85"/>
      <c r="AE488" s="81"/>
      <c r="AF488" s="81"/>
      <c r="AG488" s="81"/>
      <c r="AH488" s="81"/>
      <c r="AI488" s="81"/>
      <c r="AJ488" s="81"/>
      <c r="AK488" s="81" t="s">
        <v>324</v>
      </c>
      <c r="AL488" s="81"/>
      <c r="AM488" s="102"/>
      <c r="AN488" s="102"/>
      <c r="AO488" s="102"/>
      <c r="AP488" s="110" t="s">
        <v>1784</v>
      </c>
      <c r="AQ488" s="110"/>
      <c r="AR488" s="679"/>
      <c r="AS488" s="67"/>
    </row>
    <row r="489">
      <c r="A489" s="675"/>
      <c r="B489" s="69"/>
      <c r="C489" s="70"/>
      <c r="D489" s="71"/>
      <c r="E489" s="96"/>
      <c r="F489" s="96"/>
      <c r="G489" s="96"/>
      <c r="H489" s="96"/>
      <c r="I489" s="132"/>
      <c r="J489" s="76"/>
      <c r="K489" s="79"/>
      <c r="L489" s="79" t="s">
        <v>305</v>
      </c>
      <c r="M489" s="81" t="s">
        <v>315</v>
      </c>
      <c r="N489" s="82" t="s">
        <v>701</v>
      </c>
      <c r="O489" s="81"/>
      <c r="P489" s="85"/>
      <c r="Q489" s="81" t="s">
        <v>315</v>
      </c>
      <c r="R489" s="81" t="s">
        <v>868</v>
      </c>
      <c r="S489" s="82" t="s">
        <v>701</v>
      </c>
      <c r="T489" s="81" t="s">
        <v>324</v>
      </c>
      <c r="U489" s="81" t="s">
        <v>324</v>
      </c>
      <c r="V489" s="81" t="s">
        <v>324</v>
      </c>
      <c r="W489" s="81" t="s">
        <v>324</v>
      </c>
      <c r="X489" s="81" t="s">
        <v>324</v>
      </c>
      <c r="Y489" s="81" t="s">
        <v>324</v>
      </c>
      <c r="Z489" s="81" t="s">
        <v>324</v>
      </c>
      <c r="AA489" s="81" t="s">
        <v>324</v>
      </c>
      <c r="AB489" s="85"/>
      <c r="AC489" s="85"/>
      <c r="AD489" s="85"/>
      <c r="AE489" s="81" t="s">
        <v>315</v>
      </c>
      <c r="AF489" s="81" t="s">
        <v>315</v>
      </c>
      <c r="AG489" s="81" t="s">
        <v>315</v>
      </c>
      <c r="AH489" s="81" t="s">
        <v>1211</v>
      </c>
      <c r="AI489" s="81" t="s">
        <v>315</v>
      </c>
      <c r="AJ489" s="81" t="s">
        <v>1293</v>
      </c>
      <c r="AK489" s="81" t="s">
        <v>324</v>
      </c>
      <c r="AL489" s="81" t="s">
        <v>315</v>
      </c>
      <c r="AM489" s="102" t="s">
        <v>1331</v>
      </c>
      <c r="AN489" s="102"/>
      <c r="AO489" s="102"/>
      <c r="AP489" s="110"/>
      <c r="AQ489" s="110"/>
      <c r="AR489" s="679"/>
      <c r="AS489" s="67"/>
    </row>
    <row r="490">
      <c r="A490" s="383"/>
      <c r="B490" s="69" t="s">
        <v>238</v>
      </c>
      <c r="C490" s="70">
        <v>43444.0</v>
      </c>
      <c r="D490" s="71" t="s">
        <v>258</v>
      </c>
      <c r="E490" s="72">
        <v>43575.0</v>
      </c>
      <c r="F490" s="73" t="s">
        <v>280</v>
      </c>
      <c r="G490" s="72">
        <v>43581.0</v>
      </c>
      <c r="H490" s="73" t="s">
        <v>282</v>
      </c>
      <c r="I490" s="132" t="s">
        <v>1785</v>
      </c>
      <c r="J490" s="384" t="s">
        <v>271</v>
      </c>
      <c r="K490" s="387"/>
      <c r="L490" s="79" t="s">
        <v>305</v>
      </c>
      <c r="M490" s="81" t="s">
        <v>315</v>
      </c>
      <c r="N490" s="82" t="s">
        <v>705</v>
      </c>
      <c r="Q490" s="81" t="s">
        <v>315</v>
      </c>
      <c r="R490" s="85"/>
      <c r="S490" s="85"/>
      <c r="T490" s="81" t="s">
        <v>324</v>
      </c>
      <c r="U490" s="81" t="s">
        <v>324</v>
      </c>
      <c r="V490" s="81" t="s">
        <v>324</v>
      </c>
      <c r="W490" s="81" t="s">
        <v>324</v>
      </c>
      <c r="X490" s="81" t="s">
        <v>324</v>
      </c>
      <c r="Y490" s="81" t="s">
        <v>324</v>
      </c>
      <c r="Z490" s="81" t="s">
        <v>324</v>
      </c>
      <c r="AA490" s="81" t="s">
        <v>324</v>
      </c>
      <c r="AB490" s="85"/>
      <c r="AC490" s="181" t="s">
        <v>324</v>
      </c>
      <c r="AD490" s="85"/>
      <c r="AE490" s="81" t="s">
        <v>315</v>
      </c>
      <c r="AF490" s="81" t="s">
        <v>315</v>
      </c>
      <c r="AG490" s="81" t="s">
        <v>315</v>
      </c>
      <c r="AH490" s="82" t="s">
        <v>1786</v>
      </c>
      <c r="AI490" s="81" t="s">
        <v>1244</v>
      </c>
      <c r="AJ490" s="81" t="s">
        <v>1787</v>
      </c>
      <c r="AK490" s="81" t="s">
        <v>324</v>
      </c>
      <c r="AL490" s="85"/>
      <c r="AM490" s="110" t="s">
        <v>1788</v>
      </c>
      <c r="AN490" s="81" t="s">
        <v>324</v>
      </c>
      <c r="AO490" s="110" t="s">
        <v>1343</v>
      </c>
      <c r="AP490" s="81" t="s">
        <v>324</v>
      </c>
      <c r="AQ490" s="81" t="s">
        <v>1789</v>
      </c>
      <c r="AR490" s="131" t="s">
        <v>639</v>
      </c>
      <c r="AS490" s="67"/>
    </row>
    <row r="491">
      <c r="A491" s="383"/>
      <c r="B491" s="69"/>
      <c r="C491" s="70"/>
      <c r="D491" s="71"/>
      <c r="E491" s="96"/>
      <c r="F491" s="96"/>
      <c r="G491" s="96"/>
      <c r="H491" s="96"/>
      <c r="I491" s="132"/>
      <c r="J491" s="384"/>
      <c r="K491" s="387"/>
      <c r="L491" s="79"/>
      <c r="M491" s="81"/>
      <c r="N491" s="81"/>
      <c r="O491" s="81"/>
      <c r="P491" s="81"/>
      <c r="Q491" s="81"/>
      <c r="R491" s="81" t="s">
        <v>869</v>
      </c>
      <c r="S491" s="85"/>
      <c r="T491" s="81"/>
      <c r="U491" s="81"/>
      <c r="V491" s="81"/>
      <c r="W491" s="81"/>
      <c r="X491" s="81"/>
      <c r="Y491" s="81"/>
      <c r="Z491" s="81"/>
      <c r="AA491" s="81"/>
      <c r="AB491" s="85"/>
      <c r="AC491" s="181"/>
      <c r="AD491" s="85"/>
      <c r="AE491" s="81"/>
      <c r="AF491" s="81"/>
      <c r="AG491" s="81"/>
      <c r="AH491" s="20" t="s">
        <v>705</v>
      </c>
      <c r="AI491" s="81" t="s">
        <v>315</v>
      </c>
      <c r="AJ491" s="91" t="s">
        <v>1294</v>
      </c>
      <c r="AK491" s="81"/>
      <c r="AL491" s="81" t="s">
        <v>315</v>
      </c>
      <c r="AM491" s="454" t="s">
        <v>1332</v>
      </c>
      <c r="AN491" s="81"/>
      <c r="AO491" s="110" t="s">
        <v>324</v>
      </c>
      <c r="AP491" s="81"/>
      <c r="AQ491" s="81" t="s">
        <v>1790</v>
      </c>
      <c r="AR491" s="131"/>
      <c r="AS491" s="67"/>
    </row>
    <row r="492">
      <c r="A492" s="383"/>
      <c r="B492" s="69"/>
      <c r="C492" s="70"/>
      <c r="D492" s="71"/>
      <c r="E492" s="96"/>
      <c r="F492" s="96"/>
      <c r="G492" s="96"/>
      <c r="H492" s="73" t="s">
        <v>1791</v>
      </c>
      <c r="I492" s="132"/>
      <c r="J492" s="384"/>
      <c r="K492" s="387"/>
      <c r="L492" s="79" t="s">
        <v>305</v>
      </c>
      <c r="M492" s="81" t="s">
        <v>315</v>
      </c>
      <c r="N492" s="82" t="s">
        <v>705</v>
      </c>
      <c r="Q492" s="81" t="s">
        <v>315</v>
      </c>
      <c r="R492" s="81" t="s">
        <v>869</v>
      </c>
      <c r="S492" s="20" t="s">
        <v>705</v>
      </c>
      <c r="T492" s="81" t="s">
        <v>324</v>
      </c>
      <c r="U492" s="81" t="s">
        <v>324</v>
      </c>
      <c r="V492" s="81" t="s">
        <v>324</v>
      </c>
      <c r="W492" s="81" t="s">
        <v>324</v>
      </c>
      <c r="X492" s="81" t="s">
        <v>324</v>
      </c>
      <c r="Y492" s="81" t="s">
        <v>324</v>
      </c>
      <c r="Z492" s="81" t="s">
        <v>324</v>
      </c>
      <c r="AA492" s="81" t="s">
        <v>324</v>
      </c>
      <c r="AB492" s="85"/>
      <c r="AC492" s="181"/>
      <c r="AD492" s="85"/>
      <c r="AE492" s="81" t="s">
        <v>315</v>
      </c>
      <c r="AF492" s="81" t="s">
        <v>315</v>
      </c>
      <c r="AG492" s="81" t="s">
        <v>315</v>
      </c>
      <c r="AH492" s="20" t="s">
        <v>705</v>
      </c>
      <c r="AI492" s="81" t="s">
        <v>315</v>
      </c>
      <c r="AJ492" s="91" t="s">
        <v>1294</v>
      </c>
      <c r="AK492" s="81" t="s">
        <v>324</v>
      </c>
      <c r="AL492" s="81" t="s">
        <v>315</v>
      </c>
      <c r="AM492" s="454" t="s">
        <v>1332</v>
      </c>
      <c r="AN492" s="81"/>
      <c r="AO492" s="110"/>
      <c r="AP492" s="81"/>
      <c r="AQ492" s="81"/>
      <c r="AR492" s="131"/>
      <c r="AS492" s="67"/>
    </row>
    <row r="493">
      <c r="A493" s="383"/>
      <c r="B493" s="69" t="s">
        <v>238</v>
      </c>
      <c r="C493" s="70">
        <v>43444.0</v>
      </c>
      <c r="D493" s="71" t="s">
        <v>280</v>
      </c>
      <c r="E493" s="72">
        <v>43572.0</v>
      </c>
      <c r="F493" s="73" t="s">
        <v>258</v>
      </c>
      <c r="G493" s="72">
        <v>43581.0</v>
      </c>
      <c r="H493" s="73" t="s">
        <v>282</v>
      </c>
      <c r="I493" s="132" t="s">
        <v>1792</v>
      </c>
      <c r="J493" s="384" t="s">
        <v>272</v>
      </c>
      <c r="K493" s="129" t="s">
        <v>812</v>
      </c>
      <c r="L493" s="79" t="s">
        <v>305</v>
      </c>
      <c r="M493" s="81" t="s">
        <v>315</v>
      </c>
      <c r="N493" s="82" t="s">
        <v>709</v>
      </c>
      <c r="Q493" s="81" t="s">
        <v>315</v>
      </c>
      <c r="R493" s="81" t="s">
        <v>870</v>
      </c>
      <c r="S493" s="82" t="s">
        <v>709</v>
      </c>
      <c r="T493" s="81" t="s">
        <v>324</v>
      </c>
      <c r="U493" s="81" t="s">
        <v>324</v>
      </c>
      <c r="V493" s="81" t="s">
        <v>324</v>
      </c>
      <c r="W493" s="81" t="s">
        <v>324</v>
      </c>
      <c r="X493" s="81" t="s">
        <v>324</v>
      </c>
      <c r="Y493" s="81" t="s">
        <v>324</v>
      </c>
      <c r="Z493" s="81" t="s">
        <v>324</v>
      </c>
      <c r="AA493" s="81" t="s">
        <v>324</v>
      </c>
      <c r="AB493" s="85"/>
      <c r="AC493" s="181" t="s">
        <v>324</v>
      </c>
      <c r="AD493" s="85"/>
      <c r="AE493" s="81" t="s">
        <v>315</v>
      </c>
      <c r="AF493" s="81" t="s">
        <v>315</v>
      </c>
      <c r="AG493" s="81" t="s">
        <v>315</v>
      </c>
      <c r="AH493" s="82" t="s">
        <v>1786</v>
      </c>
      <c r="AI493" s="81" t="s">
        <v>1244</v>
      </c>
      <c r="AJ493" s="81" t="s">
        <v>1787</v>
      </c>
      <c r="AK493" s="81" t="s">
        <v>324</v>
      </c>
      <c r="AL493" s="85"/>
      <c r="AM493" s="110" t="s">
        <v>1788</v>
      </c>
      <c r="AN493" s="81" t="s">
        <v>324</v>
      </c>
      <c r="AO493" s="110" t="s">
        <v>1343</v>
      </c>
      <c r="AP493" s="81" t="s">
        <v>324</v>
      </c>
      <c r="AQ493" s="81" t="s">
        <v>1789</v>
      </c>
      <c r="AR493" s="131" t="s">
        <v>703</v>
      </c>
      <c r="AS493" s="67"/>
    </row>
    <row r="494">
      <c r="A494" s="383"/>
      <c r="B494" s="69"/>
      <c r="C494" s="70"/>
      <c r="D494" s="71"/>
      <c r="E494" s="96"/>
      <c r="F494" s="96"/>
      <c r="G494" s="96"/>
      <c r="H494" s="96"/>
      <c r="I494" s="132"/>
      <c r="J494" s="384"/>
      <c r="K494" s="387"/>
      <c r="L494" s="79"/>
      <c r="M494" s="81"/>
      <c r="N494" s="81"/>
      <c r="O494" s="81"/>
      <c r="P494" s="81"/>
      <c r="Q494" s="81"/>
      <c r="R494" s="81"/>
      <c r="S494" s="81"/>
      <c r="T494" s="81"/>
      <c r="U494" s="81"/>
      <c r="V494" s="81"/>
      <c r="W494" s="81"/>
      <c r="X494" s="81"/>
      <c r="Y494" s="81"/>
      <c r="Z494" s="81"/>
      <c r="AA494" s="81"/>
      <c r="AB494" s="85"/>
      <c r="AC494" s="181"/>
      <c r="AD494" s="85"/>
      <c r="AE494" s="81"/>
      <c r="AF494" s="81"/>
      <c r="AG494" s="81"/>
      <c r="AH494" s="20" t="s">
        <v>1793</v>
      </c>
      <c r="AI494" s="81"/>
      <c r="AJ494" s="81" t="s">
        <v>1295</v>
      </c>
      <c r="AK494" s="81"/>
      <c r="AL494" s="85"/>
      <c r="AM494" s="110" t="s">
        <v>1333</v>
      </c>
      <c r="AN494" s="81"/>
      <c r="AO494" s="110" t="s">
        <v>324</v>
      </c>
      <c r="AP494" s="81"/>
      <c r="AQ494" s="81"/>
      <c r="AR494" s="131"/>
      <c r="AS494" s="67"/>
    </row>
    <row r="495">
      <c r="A495" s="388"/>
      <c r="B495" s="167"/>
      <c r="C495" s="168"/>
      <c r="D495" s="169"/>
      <c r="E495" s="170"/>
      <c r="F495" s="170"/>
      <c r="G495" s="170"/>
      <c r="H495" s="170"/>
      <c r="I495" s="171"/>
      <c r="J495" s="389"/>
      <c r="K495" s="390"/>
      <c r="L495" s="127" t="s">
        <v>305</v>
      </c>
      <c r="M495" s="114" t="s">
        <v>315</v>
      </c>
      <c r="N495" s="122" t="s">
        <v>709</v>
      </c>
      <c r="O495" s="114"/>
      <c r="P495" s="114"/>
      <c r="Q495" s="114" t="s">
        <v>315</v>
      </c>
      <c r="R495" s="114" t="s">
        <v>870</v>
      </c>
      <c r="S495" s="122" t="s">
        <v>709</v>
      </c>
      <c r="T495" s="114" t="s">
        <v>324</v>
      </c>
      <c r="U495" s="114" t="s">
        <v>324</v>
      </c>
      <c r="V495" s="114" t="s">
        <v>324</v>
      </c>
      <c r="W495" s="114" t="s">
        <v>324</v>
      </c>
      <c r="X495" s="114" t="s">
        <v>324</v>
      </c>
      <c r="Y495" s="114" t="s">
        <v>324</v>
      </c>
      <c r="Z495" s="114" t="s">
        <v>324</v>
      </c>
      <c r="AA495" s="114" t="s">
        <v>324</v>
      </c>
      <c r="AB495" s="118"/>
      <c r="AC495" s="182"/>
      <c r="AD495" s="118"/>
      <c r="AE495" s="114" t="s">
        <v>315</v>
      </c>
      <c r="AF495" s="114" t="s">
        <v>315</v>
      </c>
      <c r="AG495" s="114" t="s">
        <v>315</v>
      </c>
      <c r="AH495" s="114" t="s">
        <v>1214</v>
      </c>
      <c r="AI495" s="114" t="s">
        <v>1244</v>
      </c>
      <c r="AJ495" s="114" t="s">
        <v>1295</v>
      </c>
      <c r="AK495" s="114" t="s">
        <v>324</v>
      </c>
      <c r="AL495" s="114" t="s">
        <v>315</v>
      </c>
      <c r="AM495" s="125" t="s">
        <v>1333</v>
      </c>
      <c r="AN495" s="114"/>
      <c r="AO495" s="125" t="s">
        <v>1343</v>
      </c>
      <c r="AP495" s="114"/>
      <c r="AQ495" s="114" t="s">
        <v>1789</v>
      </c>
      <c r="AR495" s="142" t="s">
        <v>703</v>
      </c>
      <c r="AS495" s="143"/>
    </row>
    <row r="496">
      <c r="A496" s="240"/>
      <c r="B496" s="69" t="s">
        <v>238</v>
      </c>
      <c r="C496" s="70">
        <v>43444.0</v>
      </c>
      <c r="D496" s="71" t="s">
        <v>479</v>
      </c>
      <c r="E496" s="72">
        <v>43576.0</v>
      </c>
      <c r="F496" s="73" t="s">
        <v>280</v>
      </c>
      <c r="G496" s="72">
        <v>43581.0</v>
      </c>
      <c r="H496" s="73" t="s">
        <v>282</v>
      </c>
      <c r="I496" s="128" t="s">
        <v>1794</v>
      </c>
      <c r="J496" s="76" t="s">
        <v>273</v>
      </c>
      <c r="K496" s="77" t="s">
        <v>770</v>
      </c>
      <c r="L496" s="79" t="s">
        <v>344</v>
      </c>
      <c r="M496" s="81" t="s">
        <v>393</v>
      </c>
      <c r="N496" s="82" t="s">
        <v>1795</v>
      </c>
      <c r="Q496" s="81" t="s">
        <v>315</v>
      </c>
      <c r="R496" s="81" t="s">
        <v>324</v>
      </c>
      <c r="S496" s="85"/>
      <c r="T496" s="81" t="s">
        <v>324</v>
      </c>
      <c r="U496" s="81" t="s">
        <v>324</v>
      </c>
      <c r="V496" s="81" t="s">
        <v>324</v>
      </c>
      <c r="W496" s="81" t="s">
        <v>324</v>
      </c>
      <c r="X496" s="81" t="s">
        <v>329</v>
      </c>
      <c r="Y496" s="81" t="s">
        <v>324</v>
      </c>
      <c r="Z496" s="81" t="s">
        <v>324</v>
      </c>
      <c r="AA496" s="81" t="s">
        <v>324</v>
      </c>
      <c r="AB496" s="85"/>
      <c r="AC496" s="81" t="s">
        <v>324</v>
      </c>
      <c r="AD496" s="85"/>
      <c r="AE496" s="81" t="s">
        <v>315</v>
      </c>
      <c r="AF496" s="81" t="s">
        <v>315</v>
      </c>
      <c r="AG496" s="81" t="s">
        <v>315</v>
      </c>
      <c r="AH496" s="85"/>
      <c r="AI496" s="81" t="s">
        <v>524</v>
      </c>
      <c r="AJ496" s="81" t="s">
        <v>324</v>
      </c>
      <c r="AK496" s="81" t="s">
        <v>324</v>
      </c>
      <c r="AL496" s="81" t="s">
        <v>315</v>
      </c>
      <c r="AM496" s="81" t="s">
        <v>324</v>
      </c>
      <c r="AN496" s="81" t="s">
        <v>324</v>
      </c>
      <c r="AO496" s="81" t="s">
        <v>324</v>
      </c>
      <c r="AP496" s="81" t="s">
        <v>324</v>
      </c>
      <c r="AQ496" s="81" t="s">
        <v>1796</v>
      </c>
      <c r="AR496" s="131" t="s">
        <v>703</v>
      </c>
      <c r="AS496" s="67"/>
    </row>
    <row r="497">
      <c r="A497" s="383"/>
      <c r="B497" s="69"/>
      <c r="C497" s="70"/>
      <c r="D497" s="71"/>
      <c r="E497" s="96"/>
      <c r="F497" s="96"/>
      <c r="G497" s="96"/>
      <c r="H497" s="96"/>
      <c r="I497" s="132"/>
      <c r="J497" s="384"/>
      <c r="K497" s="387"/>
      <c r="L497" s="79"/>
      <c r="M497" s="81"/>
      <c r="N497" s="81"/>
      <c r="O497" s="20" t="s">
        <v>1797</v>
      </c>
      <c r="P497" s="200" t="s">
        <v>683</v>
      </c>
      <c r="Q497" s="81" t="s">
        <v>823</v>
      </c>
      <c r="R497" s="81"/>
      <c r="S497" s="81" t="s">
        <v>750</v>
      </c>
      <c r="T497" s="81"/>
      <c r="U497" s="81"/>
      <c r="V497" s="81"/>
      <c r="W497" s="81"/>
      <c r="X497" s="81" t="s">
        <v>324</v>
      </c>
      <c r="Y497" s="81"/>
      <c r="Z497" s="81"/>
      <c r="AA497" s="81"/>
      <c r="AB497" s="81" t="s">
        <v>980</v>
      </c>
      <c r="AC497" s="181"/>
      <c r="AD497" s="81" t="s">
        <v>750</v>
      </c>
      <c r="AE497" s="81"/>
      <c r="AF497" s="81"/>
      <c r="AG497" s="81"/>
      <c r="AH497" s="81" t="s">
        <v>750</v>
      </c>
      <c r="AI497" s="181"/>
      <c r="AJ497" s="81"/>
      <c r="AK497" s="81"/>
      <c r="AL497" s="81"/>
      <c r="AM497" s="81"/>
      <c r="AN497" s="81"/>
      <c r="AO497" s="81"/>
      <c r="AP497" s="81"/>
      <c r="AQ497" s="81" t="s">
        <v>1798</v>
      </c>
      <c r="AR497" s="131"/>
      <c r="AS497" s="67"/>
    </row>
    <row r="498">
      <c r="A498" s="383"/>
      <c r="B498" s="69"/>
      <c r="C498" s="70"/>
      <c r="D498" s="71"/>
      <c r="E498" s="96"/>
      <c r="F498" s="96"/>
      <c r="G498" s="96"/>
      <c r="H498" s="73" t="s">
        <v>1799</v>
      </c>
      <c r="I498" s="132"/>
      <c r="J498" s="384"/>
      <c r="K498" s="387"/>
      <c r="L498" s="79" t="s">
        <v>344</v>
      </c>
      <c r="M498" s="81" t="s">
        <v>393</v>
      </c>
      <c r="N498" s="82" t="s">
        <v>717</v>
      </c>
      <c r="P498" s="200" t="s">
        <v>683</v>
      </c>
      <c r="Q498" s="81" t="s">
        <v>823</v>
      </c>
      <c r="R498" s="81"/>
      <c r="S498" s="81"/>
      <c r="T498" s="81" t="s">
        <v>324</v>
      </c>
      <c r="U498" s="81" t="s">
        <v>324</v>
      </c>
      <c r="V498" s="81" t="s">
        <v>324</v>
      </c>
      <c r="W498" s="81" t="s">
        <v>324</v>
      </c>
      <c r="X498" s="81" t="s">
        <v>324</v>
      </c>
      <c r="Y498" s="81" t="s">
        <v>324</v>
      </c>
      <c r="Z498" s="81" t="s">
        <v>324</v>
      </c>
      <c r="AA498" s="81" t="s">
        <v>324</v>
      </c>
      <c r="AB498" s="81" t="s">
        <v>980</v>
      </c>
      <c r="AC498" s="181"/>
      <c r="AD498" s="81"/>
      <c r="AE498" s="81" t="s">
        <v>315</v>
      </c>
      <c r="AF498" s="81" t="s">
        <v>315</v>
      </c>
      <c r="AG498" s="81" t="s">
        <v>315</v>
      </c>
      <c r="AH498" s="81"/>
      <c r="AI498" s="181" t="s">
        <v>524</v>
      </c>
      <c r="AJ498" s="81"/>
      <c r="AK498" s="81" t="s">
        <v>324</v>
      </c>
      <c r="AL498" s="81" t="s">
        <v>315</v>
      </c>
      <c r="AM498" s="81"/>
      <c r="AN498" s="81"/>
      <c r="AO498" s="81"/>
      <c r="AP498" s="81"/>
      <c r="AQ498" s="81"/>
      <c r="AR498" s="131"/>
      <c r="AS498" s="67"/>
    </row>
    <row r="499">
      <c r="A499" s="383"/>
      <c r="B499" s="69" t="s">
        <v>238</v>
      </c>
      <c r="C499" s="70">
        <v>43444.0</v>
      </c>
      <c r="D499" s="71" t="s">
        <v>479</v>
      </c>
      <c r="E499" s="72">
        <v>43576.0</v>
      </c>
      <c r="F499" s="73" t="s">
        <v>280</v>
      </c>
      <c r="G499" s="72">
        <v>43581.0</v>
      </c>
      <c r="H499" s="73" t="s">
        <v>282</v>
      </c>
      <c r="I499" s="132" t="s">
        <v>1800</v>
      </c>
      <c r="J499" s="384" t="s">
        <v>274</v>
      </c>
      <c r="K499" s="129" t="s">
        <v>812</v>
      </c>
      <c r="L499" s="79" t="s">
        <v>367</v>
      </c>
      <c r="M499" s="81" t="s">
        <v>315</v>
      </c>
      <c r="N499" s="82" t="s">
        <v>1801</v>
      </c>
      <c r="P499" s="85"/>
      <c r="Q499" s="81" t="s">
        <v>315</v>
      </c>
      <c r="R499" s="81" t="s">
        <v>324</v>
      </c>
      <c r="S499" s="85"/>
      <c r="T499" s="81" t="s">
        <v>324</v>
      </c>
      <c r="U499" s="81" t="s">
        <v>324</v>
      </c>
      <c r="V499" s="81" t="s">
        <v>324</v>
      </c>
      <c r="W499" s="81" t="s">
        <v>324</v>
      </c>
      <c r="X499" s="81" t="s">
        <v>329</v>
      </c>
      <c r="Y499" s="81" t="s">
        <v>324</v>
      </c>
      <c r="Z499" s="81" t="s">
        <v>324</v>
      </c>
      <c r="AA499" s="81" t="s">
        <v>324</v>
      </c>
      <c r="AB499" s="85"/>
      <c r="AC499" s="181" t="s">
        <v>324</v>
      </c>
      <c r="AD499" s="85"/>
      <c r="AE499" s="81" t="s">
        <v>315</v>
      </c>
      <c r="AF499" s="81" t="s">
        <v>315</v>
      </c>
      <c r="AG499" s="81" t="s">
        <v>315</v>
      </c>
      <c r="AH499" s="82" t="s">
        <v>1215</v>
      </c>
      <c r="AI499" s="81" t="s">
        <v>523</v>
      </c>
      <c r="AJ499" s="81" t="s">
        <v>523</v>
      </c>
      <c r="AK499" s="81" t="s">
        <v>324</v>
      </c>
      <c r="AL499" s="81" t="s">
        <v>282</v>
      </c>
      <c r="AM499" s="81" t="s">
        <v>1297</v>
      </c>
      <c r="AN499" s="81" t="s">
        <v>282</v>
      </c>
      <c r="AO499" s="81" t="s">
        <v>282</v>
      </c>
      <c r="AP499" s="81" t="s">
        <v>465</v>
      </c>
      <c r="AQ499" s="81" t="s">
        <v>1802</v>
      </c>
      <c r="AR499" s="131" t="s">
        <v>703</v>
      </c>
      <c r="AS499" s="67"/>
    </row>
    <row r="500">
      <c r="A500" s="383"/>
      <c r="B500" s="69"/>
      <c r="C500" s="70"/>
      <c r="D500" s="71"/>
      <c r="E500" s="96"/>
      <c r="F500" s="96"/>
      <c r="G500" s="96"/>
      <c r="H500" s="96"/>
      <c r="I500" s="132"/>
      <c r="J500" s="384"/>
      <c r="K500" s="387"/>
      <c r="L500" s="79"/>
      <c r="M500" s="81" t="s">
        <v>411</v>
      </c>
      <c r="N500" s="81" t="s">
        <v>1803</v>
      </c>
      <c r="O500" s="81" t="s">
        <v>750</v>
      </c>
      <c r="P500" s="81" t="s">
        <v>750</v>
      </c>
      <c r="Q500" s="81"/>
      <c r="R500" s="81"/>
      <c r="S500" s="81" t="s">
        <v>750</v>
      </c>
      <c r="T500" s="81"/>
      <c r="U500" s="81"/>
      <c r="V500" s="81"/>
      <c r="W500" s="81"/>
      <c r="X500" s="81" t="s">
        <v>324</v>
      </c>
      <c r="Y500" s="81"/>
      <c r="Z500" s="81"/>
      <c r="AA500" s="81"/>
      <c r="AB500" s="85"/>
      <c r="AC500" s="181"/>
      <c r="AD500" s="81" t="s">
        <v>750</v>
      </c>
      <c r="AE500" s="81"/>
      <c r="AF500" s="81"/>
      <c r="AG500" s="81"/>
      <c r="AH500" s="81"/>
      <c r="AI500" s="81"/>
      <c r="AJ500" s="81" t="s">
        <v>1804</v>
      </c>
      <c r="AK500" s="81"/>
      <c r="AL500" s="81" t="s">
        <v>1805</v>
      </c>
      <c r="AM500" s="81" t="s">
        <v>1806</v>
      </c>
      <c r="AN500" s="81" t="s">
        <v>1805</v>
      </c>
      <c r="AO500" s="81" t="s">
        <v>1805</v>
      </c>
      <c r="AP500" s="81" t="s">
        <v>1805</v>
      </c>
      <c r="AQ500" s="81"/>
      <c r="AR500" s="131"/>
      <c r="AS500" s="67"/>
    </row>
    <row r="501">
      <c r="A501" s="383"/>
      <c r="B501" s="69"/>
      <c r="C501" s="70"/>
      <c r="D501" s="71"/>
      <c r="E501" s="96"/>
      <c r="F501" s="96"/>
      <c r="G501" s="96"/>
      <c r="H501" s="96"/>
      <c r="I501" s="132"/>
      <c r="J501" s="384"/>
      <c r="K501" s="387"/>
      <c r="L501" s="79" t="s">
        <v>367</v>
      </c>
      <c r="M501" s="81" t="s">
        <v>411</v>
      </c>
      <c r="N501" s="81" t="s">
        <v>722</v>
      </c>
      <c r="P501" s="81"/>
      <c r="Q501" s="81" t="s">
        <v>315</v>
      </c>
      <c r="R501" s="81"/>
      <c r="S501" s="81"/>
      <c r="T501" s="81" t="s">
        <v>324</v>
      </c>
      <c r="U501" s="81" t="s">
        <v>324</v>
      </c>
      <c r="V501" s="81" t="s">
        <v>324</v>
      </c>
      <c r="W501" s="81" t="s">
        <v>324</v>
      </c>
      <c r="X501" s="81" t="s">
        <v>324</v>
      </c>
      <c r="Y501" s="81" t="s">
        <v>324</v>
      </c>
      <c r="Z501" s="81" t="s">
        <v>324</v>
      </c>
      <c r="AA501" s="81" t="s">
        <v>324</v>
      </c>
      <c r="AB501" s="85"/>
      <c r="AC501" s="181"/>
      <c r="AD501" s="81"/>
      <c r="AE501" s="81" t="s">
        <v>315</v>
      </c>
      <c r="AF501" s="81" t="s">
        <v>315</v>
      </c>
      <c r="AG501" s="81" t="s">
        <v>315</v>
      </c>
      <c r="AH501" s="82" t="s">
        <v>1215</v>
      </c>
      <c r="AI501" s="181" t="s">
        <v>464</v>
      </c>
      <c r="AJ501" s="81"/>
      <c r="AK501" s="81" t="s">
        <v>324</v>
      </c>
      <c r="AL501" s="81" t="s">
        <v>282</v>
      </c>
      <c r="AM501" s="81"/>
      <c r="AN501" s="81"/>
      <c r="AO501" s="81"/>
      <c r="AP501" s="81"/>
      <c r="AQ501" s="81"/>
      <c r="AR501" s="131"/>
      <c r="AS501" s="67"/>
    </row>
    <row r="502">
      <c r="A502" s="383"/>
      <c r="B502" s="69" t="s">
        <v>238</v>
      </c>
      <c r="C502" s="70">
        <v>43444.0</v>
      </c>
      <c r="D502" s="71" t="s">
        <v>479</v>
      </c>
      <c r="E502" s="72">
        <v>43576.0</v>
      </c>
      <c r="F502" s="73" t="s">
        <v>280</v>
      </c>
      <c r="G502" s="72">
        <v>43581.0</v>
      </c>
      <c r="H502" s="73" t="s">
        <v>282</v>
      </c>
      <c r="I502" s="132" t="s">
        <v>1807</v>
      </c>
      <c r="J502" s="384" t="s">
        <v>275</v>
      </c>
      <c r="K502" s="129" t="s">
        <v>519</v>
      </c>
      <c r="L502" s="79" t="s">
        <v>303</v>
      </c>
      <c r="M502" s="81" t="s">
        <v>315</v>
      </c>
      <c r="N502" s="82" t="s">
        <v>723</v>
      </c>
      <c r="P502" s="85"/>
      <c r="Q502" s="85"/>
      <c r="R502" s="691"/>
      <c r="S502" s="82" t="s">
        <v>895</v>
      </c>
      <c r="T502" s="81" t="s">
        <v>324</v>
      </c>
      <c r="U502" s="81" t="s">
        <v>324</v>
      </c>
      <c r="V502" s="81" t="s">
        <v>324</v>
      </c>
      <c r="W502" s="81" t="s">
        <v>324</v>
      </c>
      <c r="X502" s="81" t="s">
        <v>324</v>
      </c>
      <c r="Y502" s="81" t="s">
        <v>324</v>
      </c>
      <c r="Z502" s="81" t="s">
        <v>324</v>
      </c>
      <c r="AA502" s="81" t="s">
        <v>324</v>
      </c>
      <c r="AB502" s="85"/>
      <c r="AC502" s="181" t="s">
        <v>324</v>
      </c>
      <c r="AD502" s="85"/>
      <c r="AE502" s="81" t="s">
        <v>315</v>
      </c>
      <c r="AF502" s="81" t="s">
        <v>315</v>
      </c>
      <c r="AG502" s="81" t="s">
        <v>315</v>
      </c>
      <c r="AH502" s="82" t="s">
        <v>1156</v>
      </c>
      <c r="AI502" s="181" t="s">
        <v>1118</v>
      </c>
      <c r="AJ502" s="81" t="s">
        <v>1119</v>
      </c>
      <c r="AK502" s="692" t="s">
        <v>713</v>
      </c>
      <c r="AL502" s="81" t="s">
        <v>315</v>
      </c>
      <c r="AM502" s="81" t="s">
        <v>324</v>
      </c>
      <c r="AN502" s="81" t="s">
        <v>1808</v>
      </c>
      <c r="AO502" s="81" t="s">
        <v>324</v>
      </c>
      <c r="AP502" s="81" t="s">
        <v>324</v>
      </c>
      <c r="AQ502" s="81" t="s">
        <v>1809</v>
      </c>
      <c r="AR502" s="131" t="s">
        <v>703</v>
      </c>
      <c r="AS502" s="67"/>
    </row>
    <row r="503">
      <c r="A503" s="383"/>
      <c r="B503" s="69"/>
      <c r="C503" s="70"/>
      <c r="D503" s="71"/>
      <c r="E503" s="96"/>
      <c r="F503" s="96"/>
      <c r="G503" s="96"/>
      <c r="H503" s="96"/>
      <c r="I503" s="132"/>
      <c r="J503" s="384"/>
      <c r="K503" s="387"/>
      <c r="L503" s="79"/>
      <c r="M503" s="81"/>
      <c r="N503" s="81"/>
      <c r="O503" s="81" t="s">
        <v>750</v>
      </c>
      <c r="P503" s="81" t="s">
        <v>750</v>
      </c>
      <c r="Q503" s="81" t="s">
        <v>315</v>
      </c>
      <c r="R503" s="693" t="s">
        <v>324</v>
      </c>
      <c r="S503" s="81" t="s">
        <v>1810</v>
      </c>
      <c r="T503" s="81"/>
      <c r="U503" s="81"/>
      <c r="V503" s="81"/>
      <c r="W503" s="81"/>
      <c r="X503" s="81"/>
      <c r="Y503" s="81"/>
      <c r="Z503" s="81"/>
      <c r="AA503" s="81"/>
      <c r="AB503" s="85"/>
      <c r="AC503" s="181"/>
      <c r="AD503" s="85"/>
      <c r="AE503" s="81"/>
      <c r="AF503" s="81"/>
      <c r="AG503" s="81"/>
      <c r="AH503" s="81"/>
      <c r="AI503" s="133" t="s">
        <v>443</v>
      </c>
      <c r="AJ503" s="81" t="s">
        <v>1296</v>
      </c>
      <c r="AK503" s="692" t="s">
        <v>324</v>
      </c>
      <c r="AL503" s="81"/>
      <c r="AM503" s="81"/>
      <c r="AN503" s="81" t="s">
        <v>324</v>
      </c>
      <c r="AO503" s="81"/>
      <c r="AP503" s="81"/>
      <c r="AQ503" s="81" t="s">
        <v>1811</v>
      </c>
      <c r="AR503" s="131"/>
      <c r="AS503" s="67"/>
    </row>
    <row r="504">
      <c r="A504" s="383"/>
      <c r="B504" s="69"/>
      <c r="C504" s="70"/>
      <c r="D504" s="71"/>
      <c r="E504" s="96"/>
      <c r="F504" s="96"/>
      <c r="G504" s="96"/>
      <c r="H504" s="96"/>
      <c r="I504" s="132"/>
      <c r="J504" s="384"/>
      <c r="K504" s="387"/>
      <c r="L504" s="79" t="s">
        <v>303</v>
      </c>
      <c r="M504" s="81" t="s">
        <v>315</v>
      </c>
      <c r="N504" s="82" t="s">
        <v>723</v>
      </c>
      <c r="O504" s="81"/>
      <c r="P504" s="81"/>
      <c r="Q504" s="81" t="s">
        <v>315</v>
      </c>
      <c r="R504" s="693"/>
      <c r="S504" s="81"/>
      <c r="T504" s="81" t="s">
        <v>324</v>
      </c>
      <c r="U504" s="81" t="s">
        <v>324</v>
      </c>
      <c r="V504" s="81" t="s">
        <v>324</v>
      </c>
      <c r="W504" s="81" t="s">
        <v>324</v>
      </c>
      <c r="X504" s="81" t="s">
        <v>324</v>
      </c>
      <c r="Y504" s="81" t="s">
        <v>324</v>
      </c>
      <c r="Z504" s="81" t="s">
        <v>324</v>
      </c>
      <c r="AA504" s="81" t="s">
        <v>324</v>
      </c>
      <c r="AB504" s="85"/>
      <c r="AC504" s="181"/>
      <c r="AD504" s="85"/>
      <c r="AE504" s="81" t="s">
        <v>315</v>
      </c>
      <c r="AF504" s="81" t="s">
        <v>315</v>
      </c>
      <c r="AG504" s="81" t="s">
        <v>315</v>
      </c>
      <c r="AH504" s="82" t="s">
        <v>1156</v>
      </c>
      <c r="AI504" s="133" t="s">
        <v>443</v>
      </c>
      <c r="AJ504" s="81"/>
      <c r="AK504" s="692" t="s">
        <v>324</v>
      </c>
      <c r="AL504" s="81" t="s">
        <v>315</v>
      </c>
      <c r="AM504" s="81"/>
      <c r="AN504" s="81"/>
      <c r="AO504" s="81"/>
      <c r="AP504" s="81"/>
      <c r="AQ504" s="81"/>
      <c r="AR504" s="131"/>
      <c r="AS504" s="67"/>
    </row>
    <row r="505">
      <c r="A505" s="383"/>
      <c r="B505" s="69" t="s">
        <v>238</v>
      </c>
      <c r="C505" s="70">
        <v>43440.0</v>
      </c>
      <c r="D505" s="71" t="s">
        <v>479</v>
      </c>
      <c r="E505" s="72">
        <v>43576.0</v>
      </c>
      <c r="F505" s="73" t="s">
        <v>280</v>
      </c>
      <c r="G505" s="72">
        <v>43581.0</v>
      </c>
      <c r="H505" s="73" t="s">
        <v>282</v>
      </c>
      <c r="I505" s="132" t="s">
        <v>1812</v>
      </c>
      <c r="J505" s="98" t="s">
        <v>276</v>
      </c>
      <c r="K505" s="129" t="s">
        <v>519</v>
      </c>
      <c r="L505" s="79" t="s">
        <v>349</v>
      </c>
      <c r="M505" s="81" t="s">
        <v>315</v>
      </c>
      <c r="N505" s="85"/>
      <c r="O505" s="85"/>
      <c r="P505" s="85"/>
      <c r="Q505" s="81" t="s">
        <v>315</v>
      </c>
      <c r="R505" s="81" t="s">
        <v>324</v>
      </c>
      <c r="S505" s="85"/>
      <c r="T505" s="81" t="s">
        <v>324</v>
      </c>
      <c r="U505" s="81" t="s">
        <v>324</v>
      </c>
      <c r="V505" s="81" t="s">
        <v>324</v>
      </c>
      <c r="W505" s="81" t="s">
        <v>324</v>
      </c>
      <c r="X505" s="81" t="s">
        <v>324</v>
      </c>
      <c r="Y505" s="81" t="s">
        <v>324</v>
      </c>
      <c r="Z505" s="81" t="s">
        <v>324</v>
      </c>
      <c r="AA505" s="81" t="s">
        <v>324</v>
      </c>
      <c r="AB505" s="85"/>
      <c r="AC505" s="81" t="s">
        <v>315</v>
      </c>
      <c r="AD505" s="85"/>
      <c r="AE505" s="81" t="s">
        <v>315</v>
      </c>
      <c r="AF505" s="81" t="s">
        <v>315</v>
      </c>
      <c r="AG505" s="81" t="s">
        <v>315</v>
      </c>
      <c r="AH505" s="82" t="s">
        <v>1156</v>
      </c>
      <c r="AI505" s="181" t="s">
        <v>621</v>
      </c>
      <c r="AJ505" s="694" t="s">
        <v>1813</v>
      </c>
      <c r="AK505" s="692" t="s">
        <v>713</v>
      </c>
      <c r="AL505" s="81" t="s">
        <v>315</v>
      </c>
      <c r="AM505" s="81" t="s">
        <v>324</v>
      </c>
      <c r="AN505" s="81" t="s">
        <v>324</v>
      </c>
      <c r="AO505" s="81" t="s">
        <v>324</v>
      </c>
      <c r="AP505" s="81" t="s">
        <v>324</v>
      </c>
      <c r="AQ505" s="81" t="s">
        <v>1814</v>
      </c>
      <c r="AR505" s="131" t="s">
        <v>1441</v>
      </c>
      <c r="AS505" s="67"/>
    </row>
    <row r="506">
      <c r="A506" s="383"/>
      <c r="B506" s="69"/>
      <c r="C506" s="70"/>
      <c r="D506" s="71"/>
      <c r="E506" s="96"/>
      <c r="F506" s="96"/>
      <c r="G506" s="96"/>
      <c r="H506" s="96"/>
      <c r="I506" s="132"/>
      <c r="J506" s="98"/>
      <c r="K506" s="129"/>
      <c r="L506" s="79"/>
      <c r="M506" s="81"/>
      <c r="N506" s="81" t="s">
        <v>750</v>
      </c>
      <c r="O506" s="81" t="s">
        <v>750</v>
      </c>
      <c r="P506" s="91" t="s">
        <v>750</v>
      </c>
      <c r="Q506" s="81"/>
      <c r="R506" s="81"/>
      <c r="S506" s="81" t="s">
        <v>750</v>
      </c>
      <c r="T506" s="81"/>
      <c r="U506" s="81"/>
      <c r="V506" s="81"/>
      <c r="W506" s="81"/>
      <c r="X506" s="81"/>
      <c r="Y506" s="81"/>
      <c r="Z506" s="81"/>
      <c r="AA506" s="81"/>
      <c r="AB506" s="85"/>
      <c r="AC506" s="81"/>
      <c r="AD506" s="81" t="s">
        <v>750</v>
      </c>
      <c r="AE506" s="81"/>
      <c r="AF506" s="81"/>
      <c r="AG506" s="81"/>
      <c r="AH506" s="81"/>
      <c r="AI506" s="133" t="s">
        <v>443</v>
      </c>
      <c r="AJ506" s="81" t="s">
        <v>1296</v>
      </c>
      <c r="AK506" s="692" t="s">
        <v>324</v>
      </c>
      <c r="AL506" s="81"/>
      <c r="AM506" s="81"/>
      <c r="AN506" s="81"/>
      <c r="AO506" s="81"/>
      <c r="AP506" s="81"/>
      <c r="AQ506" s="81" t="s">
        <v>1815</v>
      </c>
      <c r="AR506" s="131"/>
      <c r="AS506" s="67"/>
    </row>
    <row r="507">
      <c r="A507" s="383"/>
      <c r="B507" s="69"/>
      <c r="C507" s="70"/>
      <c r="D507" s="71"/>
      <c r="E507" s="96"/>
      <c r="F507" s="96"/>
      <c r="G507" s="96"/>
      <c r="H507" s="96"/>
      <c r="I507" s="132"/>
      <c r="J507" s="98"/>
      <c r="K507" s="100"/>
      <c r="L507" s="79" t="s">
        <v>349</v>
      </c>
      <c r="M507" s="81" t="s">
        <v>315</v>
      </c>
      <c r="N507" s="81"/>
      <c r="O507" s="81"/>
      <c r="P507" s="91"/>
      <c r="Q507" s="81" t="s">
        <v>315</v>
      </c>
      <c r="R507" s="81"/>
      <c r="S507" s="81"/>
      <c r="T507" s="81" t="s">
        <v>324</v>
      </c>
      <c r="U507" s="81" t="s">
        <v>324</v>
      </c>
      <c r="V507" s="81" t="s">
        <v>324</v>
      </c>
      <c r="W507" s="81" t="s">
        <v>324</v>
      </c>
      <c r="X507" s="81" t="s">
        <v>324</v>
      </c>
      <c r="Y507" s="81" t="s">
        <v>324</v>
      </c>
      <c r="Z507" s="81" t="s">
        <v>324</v>
      </c>
      <c r="AA507" s="81" t="s">
        <v>324</v>
      </c>
      <c r="AB507" s="85"/>
      <c r="AC507" s="81"/>
      <c r="AD507" s="81"/>
      <c r="AE507" s="81" t="s">
        <v>315</v>
      </c>
      <c r="AF507" s="81" t="s">
        <v>315</v>
      </c>
      <c r="AG507" s="81" t="s">
        <v>315</v>
      </c>
      <c r="AH507" s="82" t="s">
        <v>1156</v>
      </c>
      <c r="AI507" s="133" t="s">
        <v>443</v>
      </c>
      <c r="AJ507" s="81" t="s">
        <v>1296</v>
      </c>
      <c r="AK507" s="692" t="s">
        <v>324</v>
      </c>
      <c r="AL507" s="81" t="s">
        <v>315</v>
      </c>
      <c r="AM507" s="81"/>
      <c r="AN507" s="81"/>
      <c r="AO507" s="81"/>
      <c r="AP507" s="81"/>
      <c r="AQ507" s="81"/>
      <c r="AR507" s="131"/>
      <c r="AS507" s="67"/>
    </row>
    <row r="508">
      <c r="A508" s="383"/>
      <c r="B508" s="69" t="s">
        <v>238</v>
      </c>
      <c r="C508" s="70">
        <v>43440.0</v>
      </c>
      <c r="D508" s="71" t="s">
        <v>280</v>
      </c>
      <c r="E508" s="72">
        <v>43566.0</v>
      </c>
      <c r="F508" s="73" t="s">
        <v>258</v>
      </c>
      <c r="G508" s="72">
        <v>43581.0</v>
      </c>
      <c r="H508" s="73" t="s">
        <v>282</v>
      </c>
      <c r="I508" s="132" t="s">
        <v>1816</v>
      </c>
      <c r="J508" s="98" t="s">
        <v>277</v>
      </c>
      <c r="K508" s="129" t="s">
        <v>519</v>
      </c>
      <c r="L508" s="79" t="s">
        <v>368</v>
      </c>
      <c r="M508" s="81" t="s">
        <v>315</v>
      </c>
      <c r="N508" s="85"/>
      <c r="O508" s="85"/>
      <c r="P508" s="85"/>
      <c r="Q508" s="85"/>
      <c r="R508" s="85"/>
      <c r="S508" s="85"/>
      <c r="T508" s="85"/>
      <c r="U508" s="85"/>
      <c r="V508" s="85"/>
      <c r="W508" s="85"/>
      <c r="X508" s="85"/>
      <c r="Y508" s="85"/>
      <c r="Z508" s="85"/>
      <c r="AA508" s="85"/>
      <c r="AB508" s="85"/>
      <c r="AC508" s="85"/>
      <c r="AD508" s="85"/>
      <c r="AE508" s="85"/>
      <c r="AF508" s="85"/>
      <c r="AG508" s="85"/>
      <c r="AH508" s="82" t="s">
        <v>1156</v>
      </c>
      <c r="AI508" s="693" t="s">
        <v>1817</v>
      </c>
      <c r="AJ508" s="181" t="s">
        <v>1297</v>
      </c>
      <c r="AK508" s="81" t="s">
        <v>324</v>
      </c>
      <c r="AL508" s="81" t="s">
        <v>315</v>
      </c>
      <c r="AM508" s="81" t="s">
        <v>324</v>
      </c>
      <c r="AN508" s="81" t="s">
        <v>324</v>
      </c>
      <c r="AO508" s="81" t="s">
        <v>324</v>
      </c>
      <c r="AP508" s="81" t="s">
        <v>324</v>
      </c>
      <c r="AQ508" s="81" t="s">
        <v>1818</v>
      </c>
      <c r="AR508" s="131" t="s">
        <v>703</v>
      </c>
      <c r="AS508" s="25"/>
    </row>
    <row r="509">
      <c r="A509" s="383"/>
      <c r="B509" s="69"/>
      <c r="C509" s="70"/>
      <c r="D509" s="71"/>
      <c r="E509" s="72"/>
      <c r="F509" s="72"/>
      <c r="G509" s="72"/>
      <c r="H509" s="72"/>
      <c r="I509" s="132"/>
      <c r="J509" s="98"/>
      <c r="K509" s="100"/>
      <c r="L509" s="79"/>
      <c r="M509" s="81"/>
      <c r="N509" s="81" t="s">
        <v>1819</v>
      </c>
      <c r="O509" s="85"/>
      <c r="P509" s="85"/>
      <c r="Q509" s="85"/>
      <c r="R509" s="85"/>
      <c r="S509" s="85"/>
      <c r="T509" s="85"/>
      <c r="U509" s="85"/>
      <c r="V509" s="85"/>
      <c r="W509" s="85"/>
      <c r="X509" s="85"/>
      <c r="Y509" s="85"/>
      <c r="Z509" s="85"/>
      <c r="AA509" s="85"/>
      <c r="AB509" s="85"/>
      <c r="AC509" s="85"/>
      <c r="AD509" s="85"/>
      <c r="AE509" s="85"/>
      <c r="AF509" s="85"/>
      <c r="AG509" s="85"/>
      <c r="AH509" s="81" t="s">
        <v>1820</v>
      </c>
      <c r="AI509" s="693" t="s">
        <v>1821</v>
      </c>
      <c r="AJ509" s="181" t="s">
        <v>1822</v>
      </c>
      <c r="AK509" s="81"/>
      <c r="AL509" s="81" t="s">
        <v>1823</v>
      </c>
      <c r="AM509" s="81"/>
      <c r="AN509" s="81"/>
      <c r="AO509" s="81"/>
      <c r="AP509" s="81"/>
      <c r="AQ509" s="81"/>
      <c r="AR509" s="131"/>
      <c r="AS509" s="25"/>
    </row>
    <row r="510">
      <c r="A510" s="388"/>
      <c r="B510" s="167"/>
      <c r="C510" s="168"/>
      <c r="D510" s="169"/>
      <c r="E510" s="197"/>
      <c r="F510" s="197"/>
      <c r="G510" s="197"/>
      <c r="H510" s="197"/>
      <c r="I510" s="171"/>
      <c r="J510" s="172"/>
      <c r="K510" s="173"/>
      <c r="L510" s="127" t="s">
        <v>368</v>
      </c>
      <c r="M510" s="114" t="s">
        <v>315</v>
      </c>
      <c r="N510" s="135" t="s">
        <v>726</v>
      </c>
      <c r="O510" s="118"/>
      <c r="P510" s="118"/>
      <c r="Q510" s="114" t="s">
        <v>315</v>
      </c>
      <c r="R510" s="118"/>
      <c r="S510" s="118"/>
      <c r="T510" s="114" t="s">
        <v>324</v>
      </c>
      <c r="U510" s="114" t="s">
        <v>324</v>
      </c>
      <c r="V510" s="114" t="s">
        <v>324</v>
      </c>
      <c r="W510" s="114" t="s">
        <v>324</v>
      </c>
      <c r="X510" s="114" t="s">
        <v>324</v>
      </c>
      <c r="Y510" s="114" t="s">
        <v>324</v>
      </c>
      <c r="Z510" s="114" t="s">
        <v>324</v>
      </c>
      <c r="AA510" s="114" t="s">
        <v>324</v>
      </c>
      <c r="AB510" s="118"/>
      <c r="AC510" s="118"/>
      <c r="AD510" s="118"/>
      <c r="AE510" s="114" t="s">
        <v>315</v>
      </c>
      <c r="AF510" s="114" t="s">
        <v>315</v>
      </c>
      <c r="AG510" s="114" t="s">
        <v>315</v>
      </c>
      <c r="AH510" s="114" t="s">
        <v>1223</v>
      </c>
      <c r="AI510" s="135" t="s">
        <v>615</v>
      </c>
      <c r="AJ510" s="182" t="s">
        <v>1297</v>
      </c>
      <c r="AK510" s="114" t="s">
        <v>324</v>
      </c>
      <c r="AL510" s="114" t="s">
        <v>315</v>
      </c>
      <c r="AM510" s="114"/>
      <c r="AN510" s="114"/>
      <c r="AO510" s="114"/>
      <c r="AP510" s="114"/>
      <c r="AQ510" s="114" t="s">
        <v>1824</v>
      </c>
      <c r="AR510" s="142" t="s">
        <v>703</v>
      </c>
      <c r="AS510" s="176"/>
    </row>
    <row r="511">
      <c r="A511" s="383"/>
      <c r="B511" s="69" t="s">
        <v>238</v>
      </c>
      <c r="C511" s="70">
        <v>43440.0</v>
      </c>
      <c r="D511" s="71" t="s">
        <v>626</v>
      </c>
      <c r="E511" s="72">
        <v>43575.0</v>
      </c>
      <c r="F511" s="73" t="s">
        <v>258</v>
      </c>
      <c r="G511" s="72">
        <v>43581.0</v>
      </c>
      <c r="H511" s="73" t="s">
        <v>282</v>
      </c>
      <c r="I511" s="132" t="s">
        <v>1825</v>
      </c>
      <c r="J511" s="98" t="s">
        <v>278</v>
      </c>
      <c r="K511" s="129" t="s">
        <v>519</v>
      </c>
      <c r="L511" s="79" t="s">
        <v>305</v>
      </c>
      <c r="M511" s="81" t="s">
        <v>393</v>
      </c>
      <c r="N511" s="82" t="s">
        <v>727</v>
      </c>
      <c r="P511" s="82" t="s">
        <v>780</v>
      </c>
      <c r="Q511" s="81" t="s">
        <v>282</v>
      </c>
      <c r="R511" s="81" t="s">
        <v>748</v>
      </c>
      <c r="S511" s="82" t="s">
        <v>749</v>
      </c>
      <c r="T511" s="81" t="s">
        <v>282</v>
      </c>
      <c r="U511" s="81" t="s">
        <v>282</v>
      </c>
      <c r="V511" s="81" t="s">
        <v>282</v>
      </c>
      <c r="W511" s="81" t="s">
        <v>282</v>
      </c>
      <c r="X511" s="81" t="s">
        <v>282</v>
      </c>
      <c r="Y511" s="81" t="s">
        <v>282</v>
      </c>
      <c r="Z511" s="81" t="s">
        <v>282</v>
      </c>
      <c r="AA511" s="81" t="s">
        <v>282</v>
      </c>
      <c r="AB511" s="85"/>
      <c r="AC511" s="181" t="s">
        <v>798</v>
      </c>
      <c r="AD511" s="82" t="s">
        <v>559</v>
      </c>
      <c r="AE511" s="81" t="s">
        <v>315</v>
      </c>
      <c r="AF511" s="81" t="s">
        <v>315</v>
      </c>
      <c r="AG511" s="81" t="s">
        <v>315</v>
      </c>
      <c r="AH511" s="82" t="s">
        <v>752</v>
      </c>
      <c r="AI511" s="181" t="s">
        <v>1161</v>
      </c>
      <c r="AJ511" s="81" t="s">
        <v>324</v>
      </c>
      <c r="AK511" s="81" t="s">
        <v>324</v>
      </c>
      <c r="AL511" s="81" t="s">
        <v>315</v>
      </c>
      <c r="AM511" s="81" t="s">
        <v>324</v>
      </c>
      <c r="AN511" s="81" t="s">
        <v>754</v>
      </c>
      <c r="AO511" s="81" t="s">
        <v>324</v>
      </c>
      <c r="AP511" s="81" t="s">
        <v>324</v>
      </c>
      <c r="AQ511" s="81" t="s">
        <v>1826</v>
      </c>
      <c r="AR511" s="131" t="s">
        <v>703</v>
      </c>
      <c r="AS511" s="67"/>
    </row>
    <row r="512">
      <c r="A512" s="383"/>
      <c r="B512" s="69"/>
      <c r="C512" s="70"/>
      <c r="D512" s="71"/>
      <c r="E512" s="96"/>
      <c r="F512" s="96"/>
      <c r="G512" s="96"/>
      <c r="H512" s="96"/>
      <c r="I512" s="132"/>
      <c r="J512" s="98"/>
      <c r="K512" s="100"/>
      <c r="L512" s="79"/>
      <c r="M512" s="81"/>
      <c r="N512" s="81"/>
      <c r="O512" s="81"/>
      <c r="P512" s="81"/>
      <c r="Q512" s="81" t="s">
        <v>1827</v>
      </c>
      <c r="R512" s="81"/>
      <c r="S512" s="81"/>
      <c r="T512" s="81" t="s">
        <v>324</v>
      </c>
      <c r="U512" s="695" t="s">
        <v>324</v>
      </c>
      <c r="V512" s="695" t="s">
        <v>324</v>
      </c>
      <c r="W512" s="695" t="s">
        <v>324</v>
      </c>
      <c r="X512" s="695" t="s">
        <v>324</v>
      </c>
      <c r="Y512" s="695"/>
      <c r="Z512" s="695" t="s">
        <v>324</v>
      </c>
      <c r="AA512" s="695" t="s">
        <v>324</v>
      </c>
      <c r="AB512" s="85"/>
      <c r="AC512" s="181"/>
      <c r="AD512" s="81"/>
      <c r="AE512" s="81"/>
      <c r="AF512" s="81"/>
      <c r="AG512" s="81"/>
      <c r="AH512" s="20" t="s">
        <v>761</v>
      </c>
      <c r="AI512" s="181" t="s">
        <v>1828</v>
      </c>
      <c r="AJ512" s="81"/>
      <c r="AK512" s="81" t="s">
        <v>1829</v>
      </c>
      <c r="AL512" s="81"/>
      <c r="AM512" s="81"/>
      <c r="AN512" s="81" t="s">
        <v>1830</v>
      </c>
      <c r="AO512" s="81"/>
      <c r="AP512" s="81"/>
      <c r="AQ512" s="81"/>
      <c r="AR512" s="131" t="s">
        <v>1038</v>
      </c>
      <c r="AS512" s="67"/>
    </row>
    <row r="513">
      <c r="A513" s="388"/>
      <c r="B513" s="167"/>
      <c r="C513" s="168"/>
      <c r="D513" s="169"/>
      <c r="E513" s="170"/>
      <c r="F513" s="170"/>
      <c r="G513" s="170"/>
      <c r="H513" s="170"/>
      <c r="I513" s="171"/>
      <c r="J513" s="172"/>
      <c r="K513" s="173"/>
      <c r="L513" s="127" t="s">
        <v>305</v>
      </c>
      <c r="M513" s="114" t="s">
        <v>393</v>
      </c>
      <c r="N513" s="122" t="s">
        <v>727</v>
      </c>
      <c r="O513" s="114"/>
      <c r="P513" s="122" t="s">
        <v>780</v>
      </c>
      <c r="Q513" s="114" t="s">
        <v>282</v>
      </c>
      <c r="R513" s="114" t="s">
        <v>748</v>
      </c>
      <c r="S513" s="122" t="s">
        <v>749</v>
      </c>
      <c r="T513" s="114" t="s">
        <v>324</v>
      </c>
      <c r="U513" s="696" t="s">
        <v>324</v>
      </c>
      <c r="V513" s="696" t="s">
        <v>324</v>
      </c>
      <c r="W513" s="696" t="s">
        <v>324</v>
      </c>
      <c r="X513" s="696" t="s">
        <v>324</v>
      </c>
      <c r="Y513" s="696" t="s">
        <v>282</v>
      </c>
      <c r="Z513" s="696" t="s">
        <v>324</v>
      </c>
      <c r="AA513" s="696" t="s">
        <v>324</v>
      </c>
      <c r="AB513" s="118"/>
      <c r="AC513" s="182" t="s">
        <v>798</v>
      </c>
      <c r="AD513" s="122" t="s">
        <v>559</v>
      </c>
      <c r="AE513" s="114" t="s">
        <v>315</v>
      </c>
      <c r="AF513" s="114" t="s">
        <v>315</v>
      </c>
      <c r="AG513" s="114" t="s">
        <v>315</v>
      </c>
      <c r="AH513" s="174" t="s">
        <v>761</v>
      </c>
      <c r="AI513" s="135" t="s">
        <v>443</v>
      </c>
      <c r="AJ513" s="114"/>
      <c r="AK513" s="114" t="s">
        <v>315</v>
      </c>
      <c r="AL513" s="114" t="s">
        <v>315</v>
      </c>
      <c r="AM513" s="114"/>
      <c r="AN513" s="114"/>
      <c r="AO513" s="114"/>
      <c r="AP513" s="114"/>
      <c r="AQ513" s="114" t="s">
        <v>1831</v>
      </c>
      <c r="AR513" s="142" t="s">
        <v>703</v>
      </c>
      <c r="AS513" s="143"/>
    </row>
    <row r="514">
      <c r="A514" s="697"/>
      <c r="B514" s="69" t="s">
        <v>238</v>
      </c>
      <c r="C514" s="698">
        <v>43440.0</v>
      </c>
      <c r="D514" s="699" t="s">
        <v>767</v>
      </c>
      <c r="E514" s="700">
        <v>43579.0</v>
      </c>
      <c r="F514" s="701" t="s">
        <v>280</v>
      </c>
      <c r="G514" s="700">
        <v>43583.0</v>
      </c>
      <c r="H514" s="701" t="s">
        <v>282</v>
      </c>
      <c r="I514" s="702" t="s">
        <v>1832</v>
      </c>
      <c r="J514" s="703" t="s">
        <v>279</v>
      </c>
      <c r="K514" s="77" t="s">
        <v>519</v>
      </c>
      <c r="L514" s="704" t="s">
        <v>305</v>
      </c>
      <c r="M514" s="705" t="s">
        <v>393</v>
      </c>
      <c r="N514" s="706" t="s">
        <v>728</v>
      </c>
      <c r="O514" s="707"/>
      <c r="P514" s="706" t="s">
        <v>780</v>
      </c>
      <c r="Q514" s="705" t="s">
        <v>282</v>
      </c>
      <c r="R514" s="705" t="s">
        <v>748</v>
      </c>
      <c r="S514" s="706" t="s">
        <v>749</v>
      </c>
      <c r="T514" s="705" t="s">
        <v>282</v>
      </c>
      <c r="U514" s="705" t="s">
        <v>282</v>
      </c>
      <c r="V514" s="705" t="s">
        <v>282</v>
      </c>
      <c r="W514" s="705" t="s">
        <v>282</v>
      </c>
      <c r="X514" s="705" t="s">
        <v>282</v>
      </c>
      <c r="Y514" s="705" t="s">
        <v>282</v>
      </c>
      <c r="Z514" s="705" t="s">
        <v>282</v>
      </c>
      <c r="AA514" s="705" t="s">
        <v>282</v>
      </c>
      <c r="AB514" s="708"/>
      <c r="AC514" s="705" t="s">
        <v>798</v>
      </c>
      <c r="AD514" s="706" t="s">
        <v>559</v>
      </c>
      <c r="AE514" s="705" t="s">
        <v>315</v>
      </c>
      <c r="AF514" s="705" t="s">
        <v>315</v>
      </c>
      <c r="AG514" s="705" t="s">
        <v>315</v>
      </c>
      <c r="AH514" s="706" t="s">
        <v>752</v>
      </c>
      <c r="AI514" s="705" t="s">
        <v>1161</v>
      </c>
      <c r="AJ514" s="705" t="s">
        <v>324</v>
      </c>
      <c r="AK514" s="705" t="s">
        <v>324</v>
      </c>
      <c r="AL514" s="705" t="s">
        <v>315</v>
      </c>
      <c r="AM514" s="705" t="s">
        <v>324</v>
      </c>
      <c r="AN514" s="705" t="s">
        <v>754</v>
      </c>
      <c r="AO514" s="705" t="s">
        <v>324</v>
      </c>
      <c r="AP514" s="705" t="s">
        <v>324</v>
      </c>
      <c r="AQ514" s="705" t="s">
        <v>1833</v>
      </c>
      <c r="AR514" s="709" t="s">
        <v>703</v>
      </c>
      <c r="AS514" s="204"/>
    </row>
    <row r="515">
      <c r="A515" s="710"/>
      <c r="B515" s="69"/>
      <c r="C515" s="70"/>
      <c r="D515" s="73"/>
      <c r="E515" s="96"/>
      <c r="F515" s="96"/>
      <c r="G515" s="96"/>
      <c r="H515" s="96"/>
      <c r="I515" s="132"/>
      <c r="J515" s="556"/>
      <c r="K515" s="556"/>
      <c r="L515" s="243"/>
      <c r="M515" s="243"/>
      <c r="N515" s="243"/>
      <c r="O515" s="243"/>
      <c r="P515" s="243"/>
      <c r="Q515" s="243"/>
      <c r="R515" s="243"/>
      <c r="S515" s="243"/>
      <c r="T515" s="243"/>
      <c r="U515" s="243"/>
      <c r="V515" s="243"/>
      <c r="W515" s="243"/>
      <c r="X515" s="243"/>
      <c r="Y515" s="243"/>
      <c r="Z515" s="243"/>
      <c r="AA515" s="243"/>
      <c r="AB515" s="206"/>
      <c r="AC515" s="243"/>
      <c r="AD515" s="243"/>
      <c r="AE515" s="243"/>
      <c r="AF515" s="243"/>
      <c r="AG515" s="711" t="s">
        <v>799</v>
      </c>
      <c r="AH515" s="243"/>
      <c r="AI515" s="243"/>
      <c r="AJ515" s="243"/>
      <c r="AK515" s="243"/>
      <c r="AL515" s="243"/>
      <c r="AM515" s="243"/>
      <c r="AN515" s="243"/>
      <c r="AO515" s="243"/>
      <c r="AP515" s="243"/>
      <c r="AQ515" s="243"/>
      <c r="AR515" s="243"/>
      <c r="AS515" s="206"/>
    </row>
    <row r="516">
      <c r="A516" s="710"/>
      <c r="B516" s="69"/>
      <c r="C516" s="70"/>
      <c r="D516" s="73"/>
      <c r="E516" s="96"/>
      <c r="F516" s="96"/>
      <c r="G516" s="96"/>
      <c r="H516" s="73" t="s">
        <v>1834</v>
      </c>
      <c r="I516" s="132"/>
      <c r="J516" s="556"/>
      <c r="K516" s="556"/>
      <c r="L516" s="704" t="s">
        <v>305</v>
      </c>
      <c r="M516" s="705" t="s">
        <v>393</v>
      </c>
      <c r="N516" s="82" t="s">
        <v>728</v>
      </c>
      <c r="O516" s="81"/>
      <c r="P516" s="712" t="s">
        <v>806</v>
      </c>
      <c r="Q516" s="713" t="s">
        <v>824</v>
      </c>
      <c r="R516" s="705" t="s">
        <v>748</v>
      </c>
      <c r="S516" s="706" t="s">
        <v>749</v>
      </c>
      <c r="T516" s="705" t="s">
        <v>282</v>
      </c>
      <c r="U516" s="705" t="s">
        <v>282</v>
      </c>
      <c r="V516" s="705" t="s">
        <v>282</v>
      </c>
      <c r="W516" s="705" t="s">
        <v>282</v>
      </c>
      <c r="X516" s="705" t="s">
        <v>282</v>
      </c>
      <c r="Y516" s="705" t="s">
        <v>282</v>
      </c>
      <c r="Z516" s="705" t="s">
        <v>282</v>
      </c>
      <c r="AA516" s="705" t="s">
        <v>282</v>
      </c>
      <c r="AB516" s="85"/>
      <c r="AC516" s="714" t="s">
        <v>798</v>
      </c>
      <c r="AD516" s="706" t="s">
        <v>559</v>
      </c>
      <c r="AE516" s="705" t="s">
        <v>315</v>
      </c>
      <c r="AF516" s="705" t="s">
        <v>315</v>
      </c>
      <c r="AG516" s="705" t="s">
        <v>315</v>
      </c>
      <c r="AH516" s="20" t="s">
        <v>761</v>
      </c>
      <c r="AI516" s="181" t="s">
        <v>609</v>
      </c>
      <c r="AJ516" s="81" t="s">
        <v>1172</v>
      </c>
      <c r="AK516" s="81" t="s">
        <v>324</v>
      </c>
      <c r="AL516" s="81" t="s">
        <v>315</v>
      </c>
      <c r="AM516" s="81"/>
      <c r="AN516" s="81"/>
      <c r="AO516" s="81"/>
      <c r="AP516" s="81"/>
      <c r="AQ516" s="81"/>
      <c r="AR516" s="582"/>
      <c r="AS516" s="67"/>
    </row>
    <row r="517">
      <c r="D517" s="715"/>
      <c r="E517" s="715"/>
      <c r="F517" s="715"/>
      <c r="G517" s="715"/>
      <c r="H517" s="715"/>
      <c r="AS517" s="716"/>
    </row>
    <row r="518">
      <c r="D518" s="715"/>
      <c r="E518" s="715"/>
      <c r="F518" s="715"/>
      <c r="G518" s="715"/>
      <c r="H518" s="715"/>
      <c r="AS518" s="716"/>
    </row>
    <row r="519">
      <c r="D519" s="715"/>
      <c r="E519" s="715"/>
      <c r="F519" s="715"/>
      <c r="G519" s="715"/>
      <c r="H519" s="715"/>
      <c r="AS519" s="716"/>
    </row>
    <row r="520">
      <c r="D520" s="715"/>
      <c r="E520" s="715"/>
      <c r="F520" s="715"/>
      <c r="G520" s="715"/>
      <c r="H520" s="715"/>
      <c r="AS520" s="716"/>
    </row>
    <row r="521">
      <c r="D521" s="715"/>
      <c r="E521" s="715"/>
      <c r="F521" s="715"/>
      <c r="G521" s="715"/>
      <c r="H521" s="715"/>
      <c r="AS521" s="716"/>
    </row>
    <row r="522">
      <c r="D522" s="715"/>
      <c r="E522" s="715"/>
      <c r="F522" s="715"/>
      <c r="G522" s="715"/>
      <c r="H522" s="715"/>
      <c r="AS522" s="716"/>
    </row>
    <row r="523">
      <c r="D523" s="715"/>
      <c r="E523" s="715"/>
      <c r="F523" s="715"/>
      <c r="G523" s="715"/>
      <c r="H523" s="715"/>
      <c r="AS523" s="716"/>
    </row>
    <row r="524">
      <c r="D524" s="715"/>
      <c r="E524" s="715"/>
      <c r="F524" s="715"/>
      <c r="G524" s="715"/>
      <c r="H524" s="715"/>
      <c r="AS524" s="716"/>
    </row>
    <row r="525">
      <c r="D525" s="715"/>
      <c r="E525" s="715"/>
      <c r="F525" s="715"/>
      <c r="G525" s="715"/>
      <c r="H525" s="715"/>
      <c r="AS525" s="716"/>
    </row>
    <row r="526">
      <c r="D526" s="715"/>
      <c r="E526" s="715"/>
      <c r="F526" s="715"/>
      <c r="G526" s="715"/>
      <c r="H526" s="715"/>
      <c r="AS526" s="716"/>
    </row>
    <row r="527">
      <c r="D527" s="715"/>
      <c r="E527" s="715"/>
      <c r="F527" s="715"/>
      <c r="G527" s="715"/>
      <c r="H527" s="715"/>
      <c r="AS527" s="716"/>
    </row>
    <row r="528">
      <c r="D528" s="715"/>
      <c r="E528" s="715"/>
      <c r="F528" s="715"/>
      <c r="G528" s="715"/>
      <c r="H528" s="715"/>
      <c r="AS528" s="716"/>
    </row>
    <row r="529">
      <c r="D529" s="715"/>
      <c r="E529" s="715"/>
      <c r="F529" s="715"/>
      <c r="G529" s="715"/>
      <c r="H529" s="715"/>
      <c r="AS529" s="716"/>
    </row>
    <row r="530">
      <c r="D530" s="715"/>
      <c r="E530" s="715"/>
      <c r="F530" s="715"/>
      <c r="G530" s="715"/>
      <c r="H530" s="715"/>
      <c r="AS530" s="716"/>
    </row>
    <row r="531">
      <c r="D531" s="715"/>
      <c r="E531" s="715"/>
      <c r="F531" s="715"/>
      <c r="G531" s="715"/>
      <c r="H531" s="715"/>
      <c r="AS531" s="716"/>
    </row>
    <row r="532">
      <c r="D532" s="715"/>
      <c r="E532" s="715"/>
      <c r="F532" s="715"/>
      <c r="G532" s="715"/>
      <c r="H532" s="715"/>
      <c r="AS532" s="716"/>
    </row>
    <row r="533">
      <c r="D533" s="715"/>
      <c r="E533" s="715"/>
      <c r="F533" s="715"/>
      <c r="G533" s="715"/>
      <c r="H533" s="715"/>
      <c r="AS533" s="716"/>
    </row>
    <row r="534">
      <c r="D534" s="715"/>
      <c r="E534" s="715"/>
      <c r="F534" s="715"/>
      <c r="G534" s="715"/>
      <c r="H534" s="715"/>
      <c r="AS534" s="716"/>
    </row>
    <row r="535">
      <c r="D535" s="715"/>
      <c r="E535" s="715"/>
      <c r="F535" s="715"/>
      <c r="G535" s="715"/>
      <c r="H535" s="715"/>
      <c r="AS535" s="716"/>
    </row>
    <row r="536">
      <c r="D536" s="715"/>
      <c r="E536" s="715"/>
      <c r="F536" s="715"/>
      <c r="G536" s="715"/>
      <c r="H536" s="715"/>
      <c r="AS536" s="716"/>
    </row>
    <row r="537">
      <c r="D537" s="715"/>
      <c r="E537" s="715"/>
      <c r="F537" s="715"/>
      <c r="G537" s="715"/>
      <c r="H537" s="715"/>
      <c r="AS537" s="716"/>
    </row>
    <row r="538">
      <c r="D538" s="715"/>
      <c r="E538" s="715"/>
      <c r="F538" s="715"/>
      <c r="G538" s="715"/>
      <c r="H538" s="715"/>
      <c r="AS538" s="716"/>
    </row>
    <row r="539">
      <c r="D539" s="715"/>
      <c r="E539" s="715"/>
      <c r="F539" s="715"/>
      <c r="G539" s="715"/>
      <c r="H539" s="715"/>
      <c r="AS539" s="716"/>
    </row>
    <row r="540">
      <c r="D540" s="715"/>
      <c r="E540" s="715"/>
      <c r="F540" s="715"/>
      <c r="G540" s="715"/>
      <c r="H540" s="715"/>
      <c r="AS540" s="716"/>
    </row>
    <row r="541">
      <c r="D541" s="715"/>
      <c r="E541" s="715"/>
      <c r="F541" s="715"/>
      <c r="G541" s="715"/>
      <c r="H541" s="715"/>
      <c r="AS541" s="716"/>
    </row>
    <row r="542">
      <c r="D542" s="715"/>
      <c r="E542" s="715"/>
      <c r="F542" s="715"/>
      <c r="G542" s="715"/>
      <c r="H542" s="715"/>
      <c r="AS542" s="716"/>
    </row>
    <row r="543">
      <c r="D543" s="715"/>
      <c r="E543" s="715"/>
      <c r="F543" s="715"/>
      <c r="G543" s="715"/>
      <c r="H543" s="715"/>
      <c r="AS543" s="716"/>
    </row>
    <row r="544">
      <c r="D544" s="715"/>
      <c r="E544" s="715"/>
      <c r="F544" s="715"/>
      <c r="G544" s="715"/>
      <c r="H544" s="715"/>
      <c r="AS544" s="716"/>
    </row>
    <row r="545">
      <c r="D545" s="715"/>
      <c r="E545" s="715"/>
      <c r="F545" s="715"/>
      <c r="G545" s="715"/>
      <c r="H545" s="715"/>
      <c r="AS545" s="716"/>
    </row>
    <row r="546">
      <c r="D546" s="715"/>
      <c r="E546" s="715"/>
      <c r="F546" s="715"/>
      <c r="G546" s="715"/>
      <c r="H546" s="715"/>
      <c r="AS546" s="716"/>
    </row>
    <row r="547">
      <c r="D547" s="715"/>
      <c r="E547" s="715"/>
      <c r="F547" s="715"/>
      <c r="G547" s="715"/>
      <c r="H547" s="715"/>
      <c r="AS547" s="716"/>
    </row>
    <row r="548">
      <c r="D548" s="715"/>
      <c r="E548" s="715"/>
      <c r="F548" s="715"/>
      <c r="G548" s="715"/>
      <c r="H548" s="715"/>
      <c r="AS548" s="716"/>
    </row>
    <row r="549">
      <c r="D549" s="715"/>
      <c r="E549" s="715"/>
      <c r="F549" s="715"/>
      <c r="G549" s="715"/>
      <c r="H549" s="715"/>
      <c r="AS549" s="716"/>
    </row>
    <row r="550">
      <c r="D550" s="715"/>
      <c r="E550" s="715"/>
      <c r="F550" s="715"/>
      <c r="G550" s="715"/>
      <c r="H550" s="715"/>
      <c r="AS550" s="716"/>
    </row>
    <row r="551">
      <c r="D551" s="715"/>
      <c r="E551" s="715"/>
      <c r="F551" s="715"/>
      <c r="G551" s="715"/>
      <c r="H551" s="715"/>
      <c r="AS551" s="716"/>
    </row>
    <row r="552">
      <c r="D552" s="715"/>
      <c r="E552" s="715"/>
      <c r="F552" s="715"/>
      <c r="G552" s="715"/>
      <c r="H552" s="715"/>
      <c r="AS552" s="716"/>
    </row>
    <row r="553">
      <c r="D553" s="715"/>
      <c r="E553" s="715"/>
      <c r="F553" s="715"/>
      <c r="G553" s="715"/>
      <c r="H553" s="715"/>
      <c r="AS553" s="716"/>
    </row>
    <row r="554">
      <c r="D554" s="715"/>
      <c r="E554" s="715"/>
      <c r="F554" s="715"/>
      <c r="G554" s="715"/>
      <c r="H554" s="715"/>
      <c r="AS554" s="716"/>
    </row>
    <row r="555">
      <c r="D555" s="715"/>
      <c r="E555" s="715"/>
      <c r="F555" s="715"/>
      <c r="G555" s="715"/>
      <c r="H555" s="715"/>
      <c r="AS555" s="716"/>
    </row>
    <row r="556">
      <c r="D556" s="715"/>
      <c r="E556" s="715"/>
      <c r="F556" s="715"/>
      <c r="G556" s="715"/>
      <c r="H556" s="715"/>
      <c r="AS556" s="716"/>
    </row>
    <row r="557">
      <c r="D557" s="715"/>
      <c r="E557" s="715"/>
      <c r="F557" s="715"/>
      <c r="G557" s="715"/>
      <c r="H557" s="715"/>
      <c r="AS557" s="716"/>
    </row>
    <row r="558">
      <c r="D558" s="715"/>
      <c r="E558" s="715"/>
      <c r="F558" s="715"/>
      <c r="G558" s="715"/>
      <c r="H558" s="715"/>
      <c r="AS558" s="716"/>
    </row>
    <row r="559">
      <c r="D559" s="715"/>
      <c r="E559" s="715"/>
      <c r="F559" s="715"/>
      <c r="G559" s="715"/>
      <c r="H559" s="715"/>
      <c r="AS559" s="716"/>
    </row>
    <row r="560">
      <c r="D560" s="715"/>
      <c r="E560" s="715"/>
      <c r="F560" s="715"/>
      <c r="G560" s="715"/>
      <c r="H560" s="715"/>
      <c r="AS560" s="716"/>
    </row>
    <row r="561">
      <c r="D561" s="715"/>
      <c r="E561" s="715"/>
      <c r="F561" s="715"/>
      <c r="G561" s="715"/>
      <c r="H561" s="715"/>
      <c r="AS561" s="716"/>
    </row>
    <row r="562">
      <c r="D562" s="715"/>
      <c r="E562" s="715"/>
      <c r="F562" s="715"/>
      <c r="G562" s="715"/>
      <c r="H562" s="715"/>
      <c r="AS562" s="716"/>
    </row>
    <row r="563">
      <c r="D563" s="715"/>
      <c r="E563" s="715"/>
      <c r="F563" s="715"/>
      <c r="G563" s="715"/>
      <c r="H563" s="715"/>
      <c r="AS563" s="716"/>
    </row>
    <row r="564">
      <c r="D564" s="715"/>
      <c r="E564" s="715"/>
      <c r="F564" s="715"/>
      <c r="G564" s="715"/>
      <c r="H564" s="715"/>
      <c r="AS564" s="716"/>
    </row>
    <row r="565">
      <c r="D565" s="715"/>
      <c r="E565" s="715"/>
      <c r="F565" s="715"/>
      <c r="G565" s="715"/>
      <c r="H565" s="715"/>
      <c r="AS565" s="716"/>
    </row>
    <row r="566">
      <c r="D566" s="715"/>
      <c r="E566" s="715"/>
      <c r="F566" s="715"/>
      <c r="G566" s="715"/>
      <c r="H566" s="715"/>
      <c r="AS566" s="716"/>
    </row>
    <row r="567">
      <c r="D567" s="715"/>
      <c r="E567" s="715"/>
      <c r="F567" s="715"/>
      <c r="G567" s="715"/>
      <c r="H567" s="715"/>
      <c r="AS567" s="716"/>
    </row>
    <row r="568">
      <c r="D568" s="715"/>
      <c r="E568" s="715"/>
      <c r="F568" s="715"/>
      <c r="G568" s="715"/>
      <c r="H568" s="715"/>
      <c r="AS568" s="716"/>
    </row>
    <row r="569">
      <c r="D569" s="715"/>
      <c r="E569" s="715"/>
      <c r="F569" s="715"/>
      <c r="G569" s="715"/>
      <c r="H569" s="715"/>
      <c r="AS569" s="716"/>
    </row>
    <row r="570">
      <c r="D570" s="715"/>
      <c r="E570" s="715"/>
      <c r="F570" s="715"/>
      <c r="G570" s="715"/>
      <c r="H570" s="715"/>
      <c r="AS570" s="716"/>
    </row>
    <row r="571">
      <c r="D571" s="715"/>
      <c r="E571" s="715"/>
      <c r="F571" s="715"/>
      <c r="G571" s="715"/>
      <c r="H571" s="715"/>
      <c r="AS571" s="716"/>
    </row>
    <row r="572">
      <c r="D572" s="715"/>
      <c r="E572" s="715"/>
      <c r="F572" s="715"/>
      <c r="G572" s="715"/>
      <c r="H572" s="715"/>
      <c r="AS572" s="716"/>
    </row>
    <row r="573">
      <c r="D573" s="715"/>
      <c r="E573" s="715"/>
      <c r="F573" s="715"/>
      <c r="G573" s="715"/>
      <c r="H573" s="715"/>
      <c r="AS573" s="716"/>
    </row>
    <row r="574">
      <c r="D574" s="715"/>
      <c r="E574" s="715"/>
      <c r="F574" s="715"/>
      <c r="G574" s="715"/>
      <c r="H574" s="715"/>
      <c r="AS574" s="716"/>
    </row>
    <row r="575">
      <c r="D575" s="715"/>
      <c r="E575" s="715"/>
      <c r="F575" s="715"/>
      <c r="G575" s="715"/>
      <c r="H575" s="715"/>
      <c r="AS575" s="716"/>
    </row>
    <row r="576">
      <c r="D576" s="715"/>
      <c r="E576" s="715"/>
      <c r="F576" s="715"/>
      <c r="G576" s="715"/>
      <c r="H576" s="715"/>
      <c r="AS576" s="716"/>
    </row>
    <row r="577">
      <c r="D577" s="715"/>
      <c r="E577" s="715"/>
      <c r="F577" s="715"/>
      <c r="G577" s="715"/>
      <c r="H577" s="715"/>
      <c r="AS577" s="716"/>
    </row>
    <row r="578">
      <c r="D578" s="715"/>
      <c r="E578" s="715"/>
      <c r="F578" s="715"/>
      <c r="G578" s="715"/>
      <c r="H578" s="715"/>
      <c r="AS578" s="716"/>
    </row>
    <row r="579">
      <c r="D579" s="715"/>
      <c r="E579" s="715"/>
      <c r="F579" s="715"/>
      <c r="G579" s="715"/>
      <c r="H579" s="715"/>
      <c r="AS579" s="716"/>
    </row>
    <row r="580">
      <c r="D580" s="715"/>
      <c r="E580" s="715"/>
      <c r="F580" s="715"/>
      <c r="G580" s="715"/>
      <c r="H580" s="715"/>
      <c r="AS580" s="716"/>
    </row>
    <row r="581">
      <c r="D581" s="715"/>
      <c r="E581" s="715"/>
      <c r="F581" s="715"/>
      <c r="G581" s="715"/>
      <c r="H581" s="715"/>
      <c r="AS581" s="716"/>
    </row>
    <row r="582">
      <c r="D582" s="715"/>
      <c r="E582" s="715"/>
      <c r="F582" s="715"/>
      <c r="G582" s="715"/>
      <c r="H582" s="715"/>
      <c r="AS582" s="716"/>
    </row>
    <row r="583">
      <c r="D583" s="715"/>
      <c r="E583" s="715"/>
      <c r="F583" s="715"/>
      <c r="G583" s="715"/>
      <c r="H583" s="715"/>
      <c r="AS583" s="716"/>
    </row>
    <row r="584">
      <c r="D584" s="715"/>
      <c r="E584" s="715"/>
      <c r="F584" s="715"/>
      <c r="G584" s="715"/>
      <c r="H584" s="715"/>
      <c r="AS584" s="716"/>
    </row>
    <row r="585">
      <c r="D585" s="715"/>
      <c r="E585" s="715"/>
      <c r="F585" s="715"/>
      <c r="G585" s="715"/>
      <c r="H585" s="715"/>
      <c r="AS585" s="716"/>
    </row>
    <row r="586">
      <c r="D586" s="715"/>
      <c r="E586" s="715"/>
      <c r="F586" s="715"/>
      <c r="G586" s="715"/>
      <c r="H586" s="715"/>
      <c r="AS586" s="716"/>
    </row>
    <row r="587">
      <c r="D587" s="715"/>
      <c r="E587" s="715"/>
      <c r="F587" s="715"/>
      <c r="G587" s="715"/>
      <c r="H587" s="715"/>
      <c r="AS587" s="716"/>
    </row>
    <row r="588">
      <c r="D588" s="715"/>
      <c r="E588" s="715"/>
      <c r="F588" s="715"/>
      <c r="G588" s="715"/>
      <c r="H588" s="715"/>
      <c r="AS588" s="716"/>
    </row>
    <row r="589">
      <c r="D589" s="715"/>
      <c r="E589" s="715"/>
      <c r="F589" s="715"/>
      <c r="G589" s="715"/>
      <c r="H589" s="715"/>
      <c r="AS589" s="716"/>
    </row>
    <row r="590">
      <c r="D590" s="715"/>
      <c r="E590" s="715"/>
      <c r="F590" s="715"/>
      <c r="G590" s="715"/>
      <c r="H590" s="715"/>
      <c r="AS590" s="716"/>
    </row>
    <row r="591">
      <c r="D591" s="715"/>
      <c r="E591" s="715"/>
      <c r="F591" s="715"/>
      <c r="G591" s="715"/>
      <c r="H591" s="715"/>
      <c r="AS591" s="716"/>
    </row>
    <row r="592">
      <c r="D592" s="715"/>
      <c r="E592" s="715"/>
      <c r="F592" s="715"/>
      <c r="G592" s="715"/>
      <c r="H592" s="715"/>
      <c r="AS592" s="716"/>
    </row>
    <row r="593">
      <c r="D593" s="715"/>
      <c r="E593" s="715"/>
      <c r="F593" s="715"/>
      <c r="G593" s="715"/>
      <c r="H593" s="715"/>
      <c r="AS593" s="716"/>
    </row>
    <row r="594">
      <c r="D594" s="715"/>
      <c r="E594" s="715"/>
      <c r="F594" s="715"/>
      <c r="G594" s="715"/>
      <c r="H594" s="715"/>
      <c r="AS594" s="716"/>
    </row>
    <row r="595">
      <c r="D595" s="715"/>
      <c r="E595" s="715"/>
      <c r="F595" s="715"/>
      <c r="G595" s="715"/>
      <c r="H595" s="715"/>
      <c r="AS595" s="716"/>
    </row>
    <row r="596">
      <c r="D596" s="715"/>
      <c r="E596" s="715"/>
      <c r="F596" s="715"/>
      <c r="G596" s="715"/>
      <c r="H596" s="715"/>
      <c r="AS596" s="716"/>
    </row>
    <row r="597">
      <c r="D597" s="715"/>
      <c r="E597" s="715"/>
      <c r="F597" s="715"/>
      <c r="G597" s="715"/>
      <c r="H597" s="715"/>
      <c r="AS597" s="716"/>
    </row>
    <row r="598">
      <c r="D598" s="715"/>
      <c r="E598" s="715"/>
      <c r="F598" s="715"/>
      <c r="G598" s="715"/>
      <c r="H598" s="715"/>
      <c r="AS598" s="716"/>
    </row>
    <row r="599">
      <c r="D599" s="715"/>
      <c r="E599" s="715"/>
      <c r="F599" s="715"/>
      <c r="G599" s="715"/>
      <c r="H599" s="715"/>
      <c r="AS599" s="716"/>
    </row>
    <row r="600">
      <c r="D600" s="715"/>
      <c r="E600" s="715"/>
      <c r="F600" s="715"/>
      <c r="G600" s="715"/>
      <c r="H600" s="715"/>
      <c r="AS600" s="716"/>
    </row>
    <row r="601">
      <c r="D601" s="715"/>
      <c r="E601" s="715"/>
      <c r="F601" s="715"/>
      <c r="G601" s="715"/>
      <c r="H601" s="715"/>
      <c r="AS601" s="716"/>
    </row>
    <row r="602">
      <c r="D602" s="715"/>
      <c r="E602" s="715"/>
      <c r="F602" s="715"/>
      <c r="G602" s="715"/>
      <c r="H602" s="715"/>
      <c r="AS602" s="716"/>
    </row>
    <row r="603">
      <c r="D603" s="715"/>
      <c r="E603" s="715"/>
      <c r="F603" s="715"/>
      <c r="G603" s="715"/>
      <c r="H603" s="715"/>
      <c r="AS603" s="716"/>
    </row>
    <row r="604">
      <c r="D604" s="715"/>
      <c r="E604" s="715"/>
      <c r="F604" s="715"/>
      <c r="G604" s="715"/>
      <c r="H604" s="715"/>
      <c r="AS604" s="716"/>
    </row>
    <row r="605">
      <c r="D605" s="715"/>
      <c r="E605" s="715"/>
      <c r="F605" s="715"/>
      <c r="G605" s="715"/>
      <c r="H605" s="715"/>
      <c r="AS605" s="716"/>
    </row>
    <row r="606">
      <c r="D606" s="715"/>
      <c r="E606" s="715"/>
      <c r="F606" s="715"/>
      <c r="G606" s="715"/>
      <c r="H606" s="715"/>
      <c r="AS606" s="716"/>
    </row>
    <row r="607">
      <c r="D607" s="715"/>
      <c r="E607" s="715"/>
      <c r="F607" s="715"/>
      <c r="G607" s="715"/>
      <c r="H607" s="715"/>
      <c r="AS607" s="716"/>
    </row>
    <row r="608">
      <c r="D608" s="715"/>
      <c r="E608" s="715"/>
      <c r="F608" s="715"/>
      <c r="G608" s="715"/>
      <c r="H608" s="715"/>
      <c r="AS608" s="716"/>
    </row>
    <row r="609">
      <c r="D609" s="715"/>
      <c r="E609" s="715"/>
      <c r="F609" s="715"/>
      <c r="G609" s="715"/>
      <c r="H609" s="715"/>
      <c r="AS609" s="716"/>
    </row>
    <row r="610">
      <c r="D610" s="715"/>
      <c r="E610" s="715"/>
      <c r="F610" s="715"/>
      <c r="G610" s="715"/>
      <c r="H610" s="715"/>
      <c r="AS610" s="716"/>
    </row>
    <row r="611">
      <c r="D611" s="715"/>
      <c r="E611" s="715"/>
      <c r="F611" s="715"/>
      <c r="G611" s="715"/>
      <c r="H611" s="715"/>
      <c r="AS611" s="716"/>
    </row>
    <row r="612">
      <c r="D612" s="715"/>
      <c r="E612" s="715"/>
      <c r="F612" s="715"/>
      <c r="G612" s="715"/>
      <c r="H612" s="715"/>
      <c r="AS612" s="716"/>
    </row>
    <row r="613">
      <c r="D613" s="715"/>
      <c r="E613" s="715"/>
      <c r="F613" s="715"/>
      <c r="G613" s="715"/>
      <c r="H613" s="715"/>
      <c r="AS613" s="716"/>
    </row>
    <row r="614">
      <c r="D614" s="715"/>
      <c r="E614" s="715"/>
      <c r="F614" s="715"/>
      <c r="G614" s="715"/>
      <c r="H614" s="715"/>
      <c r="AS614" s="716"/>
    </row>
    <row r="615">
      <c r="D615" s="715"/>
      <c r="E615" s="715"/>
      <c r="F615" s="715"/>
      <c r="G615" s="715"/>
      <c r="H615" s="715"/>
      <c r="AS615" s="716"/>
    </row>
    <row r="616">
      <c r="D616" s="715"/>
      <c r="E616" s="715"/>
      <c r="F616" s="715"/>
      <c r="G616" s="715"/>
      <c r="H616" s="715"/>
      <c r="AS616" s="716"/>
    </row>
    <row r="617">
      <c r="D617" s="715"/>
      <c r="E617" s="715"/>
      <c r="F617" s="715"/>
      <c r="G617" s="715"/>
      <c r="H617" s="715"/>
      <c r="AS617" s="716"/>
    </row>
    <row r="618">
      <c r="D618" s="715"/>
      <c r="E618" s="715"/>
      <c r="F618" s="715"/>
      <c r="G618" s="715"/>
      <c r="H618" s="715"/>
      <c r="AS618" s="716"/>
    </row>
    <row r="619">
      <c r="D619" s="715"/>
      <c r="E619" s="715"/>
      <c r="F619" s="715"/>
      <c r="G619" s="715"/>
      <c r="H619" s="715"/>
      <c r="AS619" s="716"/>
    </row>
    <row r="620">
      <c r="D620" s="715"/>
      <c r="E620" s="715"/>
      <c r="F620" s="715"/>
      <c r="G620" s="715"/>
      <c r="H620" s="715"/>
      <c r="AS620" s="716"/>
    </row>
    <row r="621">
      <c r="D621" s="715"/>
      <c r="E621" s="715"/>
      <c r="F621" s="715"/>
      <c r="G621" s="715"/>
      <c r="H621" s="715"/>
      <c r="AS621" s="716"/>
    </row>
    <row r="622">
      <c r="D622" s="715"/>
      <c r="E622" s="715"/>
      <c r="F622" s="715"/>
      <c r="G622" s="715"/>
      <c r="H622" s="715"/>
      <c r="AS622" s="716"/>
    </row>
    <row r="623">
      <c r="D623" s="715"/>
      <c r="E623" s="715"/>
      <c r="F623" s="715"/>
      <c r="G623" s="715"/>
      <c r="H623" s="715"/>
      <c r="AS623" s="716"/>
    </row>
    <row r="624">
      <c r="D624" s="715"/>
      <c r="E624" s="715"/>
      <c r="F624" s="715"/>
      <c r="G624" s="715"/>
      <c r="H624" s="715"/>
      <c r="AS624" s="716"/>
    </row>
    <row r="625">
      <c r="D625" s="715"/>
      <c r="E625" s="715"/>
      <c r="F625" s="715"/>
      <c r="G625" s="715"/>
      <c r="H625" s="715"/>
      <c r="AS625" s="716"/>
    </row>
    <row r="626">
      <c r="D626" s="715"/>
      <c r="E626" s="715"/>
      <c r="F626" s="715"/>
      <c r="G626" s="715"/>
      <c r="H626" s="715"/>
      <c r="AS626" s="716"/>
    </row>
    <row r="627">
      <c r="D627" s="715"/>
      <c r="E627" s="715"/>
      <c r="F627" s="715"/>
      <c r="G627" s="715"/>
      <c r="H627" s="715"/>
      <c r="AS627" s="716"/>
    </row>
    <row r="628">
      <c r="D628" s="715"/>
      <c r="E628" s="715"/>
      <c r="F628" s="715"/>
      <c r="G628" s="715"/>
      <c r="H628" s="715"/>
      <c r="AS628" s="716"/>
    </row>
    <row r="629">
      <c r="D629" s="715"/>
      <c r="E629" s="715"/>
      <c r="F629" s="715"/>
      <c r="G629" s="715"/>
      <c r="H629" s="715"/>
      <c r="AS629" s="716"/>
    </row>
    <row r="630">
      <c r="D630" s="715"/>
      <c r="E630" s="715"/>
      <c r="F630" s="715"/>
      <c r="G630" s="715"/>
      <c r="H630" s="715"/>
      <c r="AS630" s="716"/>
    </row>
    <row r="631">
      <c r="D631" s="715"/>
      <c r="E631" s="715"/>
      <c r="F631" s="715"/>
      <c r="G631" s="715"/>
      <c r="H631" s="715"/>
      <c r="AS631" s="716"/>
    </row>
    <row r="632">
      <c r="D632" s="715"/>
      <c r="E632" s="715"/>
      <c r="F632" s="715"/>
      <c r="G632" s="715"/>
      <c r="H632" s="715"/>
      <c r="AS632" s="716"/>
    </row>
    <row r="633">
      <c r="D633" s="715"/>
      <c r="E633" s="715"/>
      <c r="F633" s="715"/>
      <c r="G633" s="715"/>
      <c r="H633" s="715"/>
      <c r="AS633" s="716"/>
    </row>
    <row r="634">
      <c r="D634" s="715"/>
      <c r="E634" s="715"/>
      <c r="F634" s="715"/>
      <c r="G634" s="715"/>
      <c r="H634" s="715"/>
      <c r="AS634" s="716"/>
    </row>
    <row r="635">
      <c r="D635" s="715"/>
      <c r="E635" s="715"/>
      <c r="F635" s="715"/>
      <c r="G635" s="715"/>
      <c r="H635" s="715"/>
      <c r="AS635" s="716"/>
    </row>
    <row r="636">
      <c r="D636" s="715"/>
      <c r="E636" s="715"/>
      <c r="F636" s="715"/>
      <c r="G636" s="715"/>
      <c r="H636" s="715"/>
      <c r="AS636" s="716"/>
    </row>
    <row r="637">
      <c r="D637" s="715"/>
      <c r="E637" s="715"/>
      <c r="F637" s="715"/>
      <c r="G637" s="715"/>
      <c r="H637" s="715"/>
      <c r="AS637" s="716"/>
    </row>
    <row r="638">
      <c r="D638" s="715"/>
      <c r="E638" s="715"/>
      <c r="F638" s="715"/>
      <c r="G638" s="715"/>
      <c r="H638" s="715"/>
      <c r="AS638" s="716"/>
    </row>
    <row r="639">
      <c r="D639" s="715"/>
      <c r="E639" s="715"/>
      <c r="F639" s="715"/>
      <c r="G639" s="715"/>
      <c r="H639" s="715"/>
      <c r="AS639" s="716"/>
    </row>
    <row r="640">
      <c r="D640" s="715"/>
      <c r="E640" s="715"/>
      <c r="F640" s="715"/>
      <c r="G640" s="715"/>
      <c r="H640" s="715"/>
      <c r="AS640" s="716"/>
    </row>
    <row r="641">
      <c r="D641" s="715"/>
      <c r="E641" s="715"/>
      <c r="F641" s="715"/>
      <c r="G641" s="715"/>
      <c r="H641" s="715"/>
      <c r="AS641" s="716"/>
    </row>
    <row r="642">
      <c r="D642" s="715"/>
      <c r="E642" s="715"/>
      <c r="F642" s="715"/>
      <c r="G642" s="715"/>
      <c r="H642" s="715"/>
      <c r="AS642" s="716"/>
    </row>
    <row r="643">
      <c r="D643" s="715"/>
      <c r="E643" s="715"/>
      <c r="F643" s="715"/>
      <c r="G643" s="715"/>
      <c r="H643" s="715"/>
      <c r="AS643" s="716"/>
    </row>
    <row r="644">
      <c r="D644" s="715"/>
      <c r="E644" s="715"/>
      <c r="F644" s="715"/>
      <c r="G644" s="715"/>
      <c r="H644" s="715"/>
      <c r="AS644" s="716"/>
    </row>
    <row r="645">
      <c r="D645" s="715"/>
      <c r="E645" s="715"/>
      <c r="F645" s="715"/>
      <c r="G645" s="715"/>
      <c r="H645" s="715"/>
      <c r="AS645" s="716"/>
    </row>
    <row r="646">
      <c r="D646" s="715"/>
      <c r="E646" s="715"/>
      <c r="F646" s="715"/>
      <c r="G646" s="715"/>
      <c r="H646" s="715"/>
      <c r="AS646" s="716"/>
    </row>
    <row r="647">
      <c r="D647" s="715"/>
      <c r="E647" s="715"/>
      <c r="F647" s="715"/>
      <c r="G647" s="715"/>
      <c r="H647" s="715"/>
      <c r="AS647" s="716"/>
    </row>
    <row r="648">
      <c r="D648" s="715"/>
      <c r="E648" s="715"/>
      <c r="F648" s="715"/>
      <c r="G648" s="715"/>
      <c r="H648" s="715"/>
      <c r="AS648" s="716"/>
    </row>
    <row r="649">
      <c r="D649" s="715"/>
      <c r="E649" s="715"/>
      <c r="F649" s="715"/>
      <c r="G649" s="715"/>
      <c r="H649" s="715"/>
      <c r="AS649" s="716"/>
    </row>
    <row r="650">
      <c r="D650" s="715"/>
      <c r="E650" s="715"/>
      <c r="F650" s="715"/>
      <c r="G650" s="715"/>
      <c r="H650" s="715"/>
      <c r="AS650" s="716"/>
    </row>
    <row r="651">
      <c r="D651" s="715"/>
      <c r="E651" s="715"/>
      <c r="F651" s="715"/>
      <c r="G651" s="715"/>
      <c r="H651" s="715"/>
      <c r="AS651" s="716"/>
    </row>
    <row r="652">
      <c r="D652" s="715"/>
      <c r="E652" s="715"/>
      <c r="F652" s="715"/>
      <c r="G652" s="715"/>
      <c r="H652" s="715"/>
      <c r="AS652" s="716"/>
    </row>
    <row r="653">
      <c r="D653" s="715"/>
      <c r="E653" s="715"/>
      <c r="F653" s="715"/>
      <c r="G653" s="715"/>
      <c r="H653" s="715"/>
      <c r="AS653" s="716"/>
    </row>
    <row r="654">
      <c r="D654" s="715"/>
      <c r="E654" s="715"/>
      <c r="F654" s="715"/>
      <c r="G654" s="715"/>
      <c r="H654" s="715"/>
      <c r="AS654" s="716"/>
    </row>
    <row r="655">
      <c r="D655" s="715"/>
      <c r="E655" s="715"/>
      <c r="F655" s="715"/>
      <c r="G655" s="715"/>
      <c r="H655" s="715"/>
      <c r="AS655" s="716"/>
    </row>
    <row r="656">
      <c r="D656" s="715"/>
      <c r="E656" s="715"/>
      <c r="F656" s="715"/>
      <c r="G656" s="715"/>
      <c r="H656" s="715"/>
      <c r="AS656" s="716"/>
    </row>
    <row r="657">
      <c r="D657" s="715"/>
      <c r="E657" s="715"/>
      <c r="F657" s="715"/>
      <c r="G657" s="715"/>
      <c r="H657" s="715"/>
      <c r="AS657" s="716"/>
    </row>
    <row r="658">
      <c r="D658" s="715"/>
      <c r="E658" s="715"/>
      <c r="F658" s="715"/>
      <c r="G658" s="715"/>
      <c r="H658" s="715"/>
      <c r="AS658" s="716"/>
    </row>
    <row r="659">
      <c r="D659" s="715"/>
      <c r="E659" s="715"/>
      <c r="F659" s="715"/>
      <c r="G659" s="715"/>
      <c r="H659" s="715"/>
      <c r="AS659" s="716"/>
    </row>
    <row r="660">
      <c r="D660" s="715"/>
      <c r="E660" s="715"/>
      <c r="F660" s="715"/>
      <c r="G660" s="715"/>
      <c r="H660" s="715"/>
      <c r="AS660" s="716"/>
    </row>
    <row r="661">
      <c r="D661" s="715"/>
      <c r="E661" s="715"/>
      <c r="F661" s="715"/>
      <c r="G661" s="715"/>
      <c r="H661" s="715"/>
      <c r="AS661" s="716"/>
    </row>
    <row r="662">
      <c r="D662" s="715"/>
      <c r="E662" s="715"/>
      <c r="F662" s="715"/>
      <c r="G662" s="715"/>
      <c r="H662" s="715"/>
      <c r="AS662" s="716"/>
    </row>
    <row r="663">
      <c r="D663" s="715"/>
      <c r="E663" s="715"/>
      <c r="F663" s="715"/>
      <c r="G663" s="715"/>
      <c r="H663" s="715"/>
      <c r="AS663" s="716"/>
    </row>
    <row r="664">
      <c r="D664" s="715"/>
      <c r="E664" s="715"/>
      <c r="F664" s="715"/>
      <c r="G664" s="715"/>
      <c r="H664" s="715"/>
      <c r="AS664" s="716"/>
    </row>
    <row r="665">
      <c r="D665" s="715"/>
      <c r="E665" s="715"/>
      <c r="F665" s="715"/>
      <c r="G665" s="715"/>
      <c r="H665" s="715"/>
      <c r="AS665" s="716"/>
    </row>
    <row r="666">
      <c r="D666" s="715"/>
      <c r="E666" s="715"/>
      <c r="F666" s="715"/>
      <c r="G666" s="715"/>
      <c r="H666" s="715"/>
      <c r="AS666" s="716"/>
    </row>
    <row r="667">
      <c r="D667" s="715"/>
      <c r="E667" s="715"/>
      <c r="F667" s="715"/>
      <c r="G667" s="715"/>
      <c r="H667" s="715"/>
      <c r="AS667" s="716"/>
    </row>
    <row r="668">
      <c r="D668" s="715"/>
      <c r="E668" s="715"/>
      <c r="F668" s="715"/>
      <c r="G668" s="715"/>
      <c r="H668" s="715"/>
      <c r="AS668" s="716"/>
    </row>
    <row r="669">
      <c r="D669" s="715"/>
      <c r="E669" s="715"/>
      <c r="F669" s="715"/>
      <c r="G669" s="715"/>
      <c r="H669" s="715"/>
      <c r="AS669" s="716"/>
    </row>
    <row r="670">
      <c r="D670" s="715"/>
      <c r="E670" s="715"/>
      <c r="F670" s="715"/>
      <c r="G670" s="715"/>
      <c r="H670" s="715"/>
      <c r="AS670" s="716"/>
    </row>
    <row r="671">
      <c r="D671" s="715"/>
      <c r="E671" s="715"/>
      <c r="F671" s="715"/>
      <c r="G671" s="715"/>
      <c r="H671" s="715"/>
      <c r="AS671" s="716"/>
    </row>
    <row r="672">
      <c r="D672" s="715"/>
      <c r="E672" s="715"/>
      <c r="F672" s="715"/>
      <c r="G672" s="715"/>
      <c r="H672" s="715"/>
      <c r="AS672" s="716"/>
    </row>
    <row r="673">
      <c r="D673" s="715"/>
      <c r="E673" s="715"/>
      <c r="F673" s="715"/>
      <c r="G673" s="715"/>
      <c r="H673" s="715"/>
      <c r="AS673" s="716"/>
    </row>
    <row r="674">
      <c r="D674" s="715"/>
      <c r="E674" s="715"/>
      <c r="F674" s="715"/>
      <c r="G674" s="715"/>
      <c r="H674" s="715"/>
      <c r="AS674" s="716"/>
    </row>
    <row r="675">
      <c r="D675" s="715"/>
      <c r="E675" s="715"/>
      <c r="F675" s="715"/>
      <c r="G675" s="715"/>
      <c r="H675" s="715"/>
      <c r="AS675" s="716"/>
    </row>
    <row r="676">
      <c r="D676" s="715"/>
      <c r="E676" s="715"/>
      <c r="F676" s="715"/>
      <c r="G676" s="715"/>
      <c r="H676" s="715"/>
      <c r="AS676" s="716"/>
    </row>
    <row r="677">
      <c r="D677" s="715"/>
      <c r="E677" s="715"/>
      <c r="F677" s="715"/>
      <c r="G677" s="715"/>
      <c r="H677" s="715"/>
      <c r="AS677" s="716"/>
    </row>
    <row r="678">
      <c r="D678" s="715"/>
      <c r="E678" s="715"/>
      <c r="F678" s="715"/>
      <c r="G678" s="715"/>
      <c r="H678" s="715"/>
      <c r="AS678" s="716"/>
    </row>
    <row r="679">
      <c r="D679" s="715"/>
      <c r="E679" s="715"/>
      <c r="F679" s="715"/>
      <c r="G679" s="715"/>
      <c r="H679" s="715"/>
      <c r="AS679" s="716"/>
    </row>
    <row r="680">
      <c r="D680" s="715"/>
      <c r="E680" s="715"/>
      <c r="F680" s="715"/>
      <c r="G680" s="715"/>
      <c r="H680" s="715"/>
      <c r="AS680" s="716"/>
    </row>
    <row r="681">
      <c r="D681" s="715"/>
      <c r="E681" s="715"/>
      <c r="F681" s="715"/>
      <c r="G681" s="715"/>
      <c r="H681" s="715"/>
      <c r="AS681" s="716"/>
    </row>
    <row r="682">
      <c r="D682" s="715"/>
      <c r="E682" s="715"/>
      <c r="F682" s="715"/>
      <c r="G682" s="715"/>
      <c r="H682" s="715"/>
      <c r="AS682" s="716"/>
    </row>
    <row r="683">
      <c r="D683" s="715"/>
      <c r="E683" s="715"/>
      <c r="F683" s="715"/>
      <c r="G683" s="715"/>
      <c r="H683" s="715"/>
      <c r="AS683" s="716"/>
    </row>
    <row r="684">
      <c r="D684" s="715"/>
      <c r="E684" s="715"/>
      <c r="F684" s="715"/>
      <c r="G684" s="715"/>
      <c r="H684" s="715"/>
      <c r="AS684" s="716"/>
    </row>
    <row r="685">
      <c r="D685" s="715"/>
      <c r="E685" s="715"/>
      <c r="F685" s="715"/>
      <c r="G685" s="715"/>
      <c r="H685" s="715"/>
      <c r="AS685" s="716"/>
    </row>
    <row r="686">
      <c r="D686" s="715"/>
      <c r="E686" s="715"/>
      <c r="F686" s="715"/>
      <c r="G686" s="715"/>
      <c r="H686" s="715"/>
      <c r="AS686" s="716"/>
    </row>
    <row r="687">
      <c r="D687" s="715"/>
      <c r="E687" s="715"/>
      <c r="F687" s="715"/>
      <c r="G687" s="715"/>
      <c r="H687" s="715"/>
      <c r="AS687" s="716"/>
    </row>
    <row r="688">
      <c r="D688" s="715"/>
      <c r="E688" s="715"/>
      <c r="F688" s="715"/>
      <c r="G688" s="715"/>
      <c r="H688" s="715"/>
      <c r="AS688" s="716"/>
    </row>
    <row r="689">
      <c r="D689" s="715"/>
      <c r="E689" s="715"/>
      <c r="F689" s="715"/>
      <c r="G689" s="715"/>
      <c r="H689" s="715"/>
      <c r="AS689" s="716"/>
    </row>
    <row r="690">
      <c r="D690" s="715"/>
      <c r="E690" s="715"/>
      <c r="F690" s="715"/>
      <c r="G690" s="715"/>
      <c r="H690" s="715"/>
      <c r="AS690" s="716"/>
    </row>
    <row r="691">
      <c r="D691" s="715"/>
      <c r="E691" s="715"/>
      <c r="F691" s="715"/>
      <c r="G691" s="715"/>
      <c r="H691" s="715"/>
      <c r="AS691" s="716"/>
    </row>
    <row r="692">
      <c r="D692" s="715"/>
      <c r="E692" s="715"/>
      <c r="F692" s="715"/>
      <c r="G692" s="715"/>
      <c r="H692" s="715"/>
      <c r="AS692" s="716"/>
    </row>
    <row r="693">
      <c r="D693" s="715"/>
      <c r="E693" s="715"/>
      <c r="F693" s="715"/>
      <c r="G693" s="715"/>
      <c r="H693" s="715"/>
      <c r="AS693" s="716"/>
    </row>
    <row r="694">
      <c r="D694" s="715"/>
      <c r="E694" s="715"/>
      <c r="F694" s="715"/>
      <c r="G694" s="715"/>
      <c r="H694" s="715"/>
      <c r="AS694" s="716"/>
    </row>
    <row r="695">
      <c r="D695" s="715"/>
      <c r="E695" s="715"/>
      <c r="F695" s="715"/>
      <c r="G695" s="715"/>
      <c r="H695" s="715"/>
      <c r="AS695" s="716"/>
    </row>
    <row r="696">
      <c r="D696" s="715"/>
      <c r="E696" s="715"/>
      <c r="F696" s="715"/>
      <c r="G696" s="715"/>
      <c r="H696" s="715"/>
      <c r="AS696" s="716"/>
    </row>
    <row r="697">
      <c r="D697" s="715"/>
      <c r="E697" s="715"/>
      <c r="F697" s="715"/>
      <c r="G697" s="715"/>
      <c r="H697" s="715"/>
      <c r="AS697" s="716"/>
    </row>
    <row r="698">
      <c r="D698" s="715"/>
      <c r="E698" s="715"/>
      <c r="F698" s="715"/>
      <c r="G698" s="715"/>
      <c r="H698" s="715"/>
      <c r="AS698" s="716"/>
    </row>
    <row r="699">
      <c r="D699" s="715"/>
      <c r="E699" s="715"/>
      <c r="F699" s="715"/>
      <c r="G699" s="715"/>
      <c r="H699" s="715"/>
      <c r="AS699" s="716"/>
    </row>
    <row r="700">
      <c r="D700" s="715"/>
      <c r="E700" s="715"/>
      <c r="F700" s="715"/>
      <c r="G700" s="715"/>
      <c r="H700" s="715"/>
      <c r="AS700" s="716"/>
    </row>
    <row r="701">
      <c r="D701" s="715"/>
      <c r="E701" s="715"/>
      <c r="F701" s="715"/>
      <c r="G701" s="715"/>
      <c r="H701" s="715"/>
      <c r="AS701" s="716"/>
    </row>
    <row r="702">
      <c r="D702" s="715"/>
      <c r="E702" s="715"/>
      <c r="F702" s="715"/>
      <c r="G702" s="715"/>
      <c r="H702" s="715"/>
      <c r="AS702" s="716"/>
    </row>
    <row r="703">
      <c r="D703" s="715"/>
      <c r="E703" s="715"/>
      <c r="F703" s="715"/>
      <c r="G703" s="715"/>
      <c r="H703" s="715"/>
      <c r="AS703" s="716"/>
    </row>
    <row r="704">
      <c r="D704" s="715"/>
      <c r="E704" s="715"/>
      <c r="F704" s="715"/>
      <c r="G704" s="715"/>
      <c r="H704" s="715"/>
      <c r="AS704" s="716"/>
    </row>
    <row r="705">
      <c r="D705" s="715"/>
      <c r="E705" s="715"/>
      <c r="F705" s="715"/>
      <c r="G705" s="715"/>
      <c r="H705" s="715"/>
      <c r="AS705" s="716"/>
    </row>
    <row r="706">
      <c r="D706" s="715"/>
      <c r="E706" s="715"/>
      <c r="F706" s="715"/>
      <c r="G706" s="715"/>
      <c r="H706" s="715"/>
      <c r="AS706" s="716"/>
    </row>
    <row r="707">
      <c r="D707" s="715"/>
      <c r="E707" s="715"/>
      <c r="F707" s="715"/>
      <c r="G707" s="715"/>
      <c r="H707" s="715"/>
      <c r="AS707" s="716"/>
    </row>
    <row r="708">
      <c r="D708" s="715"/>
      <c r="E708" s="715"/>
      <c r="F708" s="715"/>
      <c r="G708" s="715"/>
      <c r="H708" s="715"/>
      <c r="AS708" s="716"/>
    </row>
    <row r="709">
      <c r="D709" s="715"/>
      <c r="E709" s="715"/>
      <c r="F709" s="715"/>
      <c r="G709" s="715"/>
      <c r="H709" s="715"/>
      <c r="AS709" s="716"/>
    </row>
    <row r="710">
      <c r="D710" s="715"/>
      <c r="E710" s="715"/>
      <c r="F710" s="715"/>
      <c r="G710" s="715"/>
      <c r="H710" s="715"/>
      <c r="AS710" s="716"/>
    </row>
    <row r="711">
      <c r="D711" s="715"/>
      <c r="E711" s="715"/>
      <c r="F711" s="715"/>
      <c r="G711" s="715"/>
      <c r="H711" s="715"/>
      <c r="AS711" s="716"/>
    </row>
    <row r="712">
      <c r="D712" s="715"/>
      <c r="E712" s="715"/>
      <c r="F712" s="715"/>
      <c r="G712" s="715"/>
      <c r="H712" s="715"/>
      <c r="AS712" s="716"/>
    </row>
    <row r="713">
      <c r="D713" s="715"/>
      <c r="E713" s="715"/>
      <c r="F713" s="715"/>
      <c r="G713" s="715"/>
      <c r="H713" s="715"/>
      <c r="AS713" s="716"/>
    </row>
    <row r="714">
      <c r="D714" s="715"/>
      <c r="E714" s="715"/>
      <c r="F714" s="715"/>
      <c r="G714" s="715"/>
      <c r="H714" s="715"/>
      <c r="AS714" s="716"/>
    </row>
    <row r="715">
      <c r="D715" s="715"/>
      <c r="E715" s="715"/>
      <c r="F715" s="715"/>
      <c r="G715" s="715"/>
      <c r="H715" s="715"/>
      <c r="AS715" s="716"/>
    </row>
    <row r="716">
      <c r="D716" s="715"/>
      <c r="E716" s="715"/>
      <c r="F716" s="715"/>
      <c r="G716" s="715"/>
      <c r="H716" s="715"/>
      <c r="AS716" s="716"/>
    </row>
    <row r="717">
      <c r="D717" s="715"/>
      <c r="E717" s="715"/>
      <c r="F717" s="715"/>
      <c r="G717" s="715"/>
      <c r="H717" s="715"/>
      <c r="AS717" s="716"/>
    </row>
    <row r="718">
      <c r="D718" s="715"/>
      <c r="E718" s="715"/>
      <c r="F718" s="715"/>
      <c r="G718" s="715"/>
      <c r="H718" s="715"/>
      <c r="AS718" s="716"/>
    </row>
    <row r="719">
      <c r="D719" s="715"/>
      <c r="E719" s="715"/>
      <c r="F719" s="715"/>
      <c r="G719" s="715"/>
      <c r="H719" s="715"/>
      <c r="AS719" s="716"/>
    </row>
    <row r="720">
      <c r="D720" s="715"/>
      <c r="E720" s="715"/>
      <c r="F720" s="715"/>
      <c r="G720" s="715"/>
      <c r="H720" s="715"/>
      <c r="AS720" s="716"/>
    </row>
    <row r="721">
      <c r="D721" s="715"/>
      <c r="E721" s="715"/>
      <c r="F721" s="715"/>
      <c r="G721" s="715"/>
      <c r="H721" s="715"/>
      <c r="AS721" s="716"/>
    </row>
    <row r="722">
      <c r="D722" s="715"/>
      <c r="E722" s="715"/>
      <c r="F722" s="715"/>
      <c r="G722" s="715"/>
      <c r="H722" s="715"/>
      <c r="AS722" s="716"/>
    </row>
    <row r="723">
      <c r="D723" s="715"/>
      <c r="E723" s="715"/>
      <c r="F723" s="715"/>
      <c r="G723" s="715"/>
      <c r="H723" s="715"/>
      <c r="AS723" s="716"/>
    </row>
    <row r="724">
      <c r="D724" s="715"/>
      <c r="E724" s="715"/>
      <c r="F724" s="715"/>
      <c r="G724" s="715"/>
      <c r="H724" s="715"/>
      <c r="AS724" s="716"/>
    </row>
    <row r="725">
      <c r="D725" s="715"/>
      <c r="E725" s="715"/>
      <c r="F725" s="715"/>
      <c r="G725" s="715"/>
      <c r="H725" s="715"/>
      <c r="AS725" s="716"/>
    </row>
    <row r="726">
      <c r="D726" s="715"/>
      <c r="E726" s="715"/>
      <c r="F726" s="715"/>
      <c r="G726" s="715"/>
      <c r="H726" s="715"/>
      <c r="AS726" s="716"/>
    </row>
    <row r="727">
      <c r="D727" s="715"/>
      <c r="E727" s="715"/>
      <c r="F727" s="715"/>
      <c r="G727" s="715"/>
      <c r="H727" s="715"/>
      <c r="AS727" s="716"/>
    </row>
    <row r="728">
      <c r="D728" s="715"/>
      <c r="E728" s="715"/>
      <c r="F728" s="715"/>
      <c r="G728" s="715"/>
      <c r="H728" s="715"/>
      <c r="AS728" s="716"/>
    </row>
    <row r="729">
      <c r="D729" s="715"/>
      <c r="E729" s="715"/>
      <c r="F729" s="715"/>
      <c r="G729" s="715"/>
      <c r="H729" s="715"/>
      <c r="AS729" s="716"/>
    </row>
    <row r="730">
      <c r="D730" s="715"/>
      <c r="E730" s="715"/>
      <c r="F730" s="715"/>
      <c r="G730" s="715"/>
      <c r="H730" s="715"/>
      <c r="AS730" s="716"/>
    </row>
    <row r="731">
      <c r="D731" s="715"/>
      <c r="E731" s="715"/>
      <c r="F731" s="715"/>
      <c r="G731" s="715"/>
      <c r="H731" s="715"/>
      <c r="AS731" s="716"/>
    </row>
    <row r="732">
      <c r="D732" s="715"/>
      <c r="E732" s="715"/>
      <c r="F732" s="715"/>
      <c r="G732" s="715"/>
      <c r="H732" s="715"/>
      <c r="AS732" s="716"/>
    </row>
    <row r="733">
      <c r="D733" s="715"/>
      <c r="E733" s="715"/>
      <c r="F733" s="715"/>
      <c r="G733" s="715"/>
      <c r="H733" s="715"/>
      <c r="AS733" s="716"/>
    </row>
    <row r="734">
      <c r="D734" s="715"/>
      <c r="E734" s="715"/>
      <c r="F734" s="715"/>
      <c r="G734" s="715"/>
      <c r="H734" s="715"/>
      <c r="AS734" s="716"/>
    </row>
    <row r="735">
      <c r="D735" s="715"/>
      <c r="E735" s="715"/>
      <c r="F735" s="715"/>
      <c r="G735" s="715"/>
      <c r="H735" s="715"/>
      <c r="AS735" s="716"/>
    </row>
    <row r="736">
      <c r="D736" s="715"/>
      <c r="E736" s="715"/>
      <c r="F736" s="715"/>
      <c r="G736" s="715"/>
      <c r="H736" s="715"/>
      <c r="AS736" s="716"/>
    </row>
    <row r="737">
      <c r="D737" s="715"/>
      <c r="E737" s="715"/>
      <c r="F737" s="715"/>
      <c r="G737" s="715"/>
      <c r="H737" s="715"/>
      <c r="AS737" s="716"/>
    </row>
    <row r="738">
      <c r="D738" s="715"/>
      <c r="E738" s="715"/>
      <c r="F738" s="715"/>
      <c r="G738" s="715"/>
      <c r="H738" s="715"/>
      <c r="AS738" s="716"/>
    </row>
    <row r="739">
      <c r="D739" s="715"/>
      <c r="E739" s="715"/>
      <c r="F739" s="715"/>
      <c r="G739" s="715"/>
      <c r="H739" s="715"/>
      <c r="AS739" s="716"/>
    </row>
    <row r="740">
      <c r="D740" s="715"/>
      <c r="E740" s="715"/>
      <c r="F740" s="715"/>
      <c r="G740" s="715"/>
      <c r="H740" s="715"/>
      <c r="AS740" s="716"/>
    </row>
    <row r="741">
      <c r="D741" s="715"/>
      <c r="E741" s="715"/>
      <c r="F741" s="715"/>
      <c r="G741" s="715"/>
      <c r="H741" s="715"/>
      <c r="AS741" s="716"/>
    </row>
    <row r="742">
      <c r="D742" s="715"/>
      <c r="E742" s="715"/>
      <c r="F742" s="715"/>
      <c r="G742" s="715"/>
      <c r="H742" s="715"/>
      <c r="AS742" s="716"/>
    </row>
    <row r="743">
      <c r="D743" s="715"/>
      <c r="E743" s="715"/>
      <c r="F743" s="715"/>
      <c r="G743" s="715"/>
      <c r="H743" s="715"/>
      <c r="AS743" s="716"/>
    </row>
    <row r="744">
      <c r="D744" s="715"/>
      <c r="E744" s="715"/>
      <c r="F744" s="715"/>
      <c r="G744" s="715"/>
      <c r="H744" s="715"/>
      <c r="AS744" s="716"/>
    </row>
    <row r="745">
      <c r="D745" s="715"/>
      <c r="E745" s="715"/>
      <c r="F745" s="715"/>
      <c r="G745" s="715"/>
      <c r="H745" s="715"/>
      <c r="AS745" s="716"/>
    </row>
    <row r="746">
      <c r="D746" s="715"/>
      <c r="E746" s="715"/>
      <c r="F746" s="715"/>
      <c r="G746" s="715"/>
      <c r="H746" s="715"/>
      <c r="AS746" s="716"/>
    </row>
    <row r="747">
      <c r="D747" s="715"/>
      <c r="E747" s="715"/>
      <c r="F747" s="715"/>
      <c r="G747" s="715"/>
      <c r="H747" s="715"/>
      <c r="AS747" s="716"/>
    </row>
    <row r="748">
      <c r="D748" s="715"/>
      <c r="E748" s="715"/>
      <c r="F748" s="715"/>
      <c r="G748" s="715"/>
      <c r="H748" s="715"/>
      <c r="AS748" s="716"/>
    </row>
    <row r="749">
      <c r="D749" s="715"/>
      <c r="E749" s="715"/>
      <c r="F749" s="715"/>
      <c r="G749" s="715"/>
      <c r="H749" s="715"/>
      <c r="AS749" s="716"/>
    </row>
    <row r="750">
      <c r="D750" s="715"/>
      <c r="E750" s="715"/>
      <c r="F750" s="715"/>
      <c r="G750" s="715"/>
      <c r="H750" s="715"/>
      <c r="AS750" s="716"/>
    </row>
    <row r="751">
      <c r="D751" s="715"/>
      <c r="E751" s="715"/>
      <c r="F751" s="715"/>
      <c r="G751" s="715"/>
      <c r="H751" s="715"/>
      <c r="AS751" s="716"/>
    </row>
    <row r="752">
      <c r="D752" s="715"/>
      <c r="E752" s="715"/>
      <c r="F752" s="715"/>
      <c r="G752" s="715"/>
      <c r="H752" s="715"/>
      <c r="AS752" s="716"/>
    </row>
    <row r="753">
      <c r="D753" s="715"/>
      <c r="E753" s="715"/>
      <c r="F753" s="715"/>
      <c r="G753" s="715"/>
      <c r="H753" s="715"/>
      <c r="AS753" s="716"/>
    </row>
    <row r="754">
      <c r="D754" s="715"/>
      <c r="E754" s="715"/>
      <c r="F754" s="715"/>
      <c r="G754" s="715"/>
      <c r="H754" s="715"/>
      <c r="AS754" s="716"/>
    </row>
    <row r="755">
      <c r="D755" s="715"/>
      <c r="E755" s="715"/>
      <c r="F755" s="715"/>
      <c r="G755" s="715"/>
      <c r="H755" s="715"/>
      <c r="AS755" s="716"/>
    </row>
    <row r="756">
      <c r="D756" s="715"/>
      <c r="E756" s="715"/>
      <c r="F756" s="715"/>
      <c r="G756" s="715"/>
      <c r="H756" s="715"/>
      <c r="AS756" s="716"/>
    </row>
    <row r="757">
      <c r="D757" s="715"/>
      <c r="E757" s="715"/>
      <c r="F757" s="715"/>
      <c r="G757" s="715"/>
      <c r="H757" s="715"/>
      <c r="AS757" s="716"/>
    </row>
    <row r="758">
      <c r="D758" s="715"/>
      <c r="E758" s="715"/>
      <c r="F758" s="715"/>
      <c r="G758" s="715"/>
      <c r="H758" s="715"/>
      <c r="AS758" s="716"/>
    </row>
    <row r="759">
      <c r="D759" s="715"/>
      <c r="E759" s="715"/>
      <c r="F759" s="715"/>
      <c r="G759" s="715"/>
      <c r="H759" s="715"/>
      <c r="AS759" s="716"/>
    </row>
    <row r="760">
      <c r="D760" s="715"/>
      <c r="E760" s="715"/>
      <c r="F760" s="715"/>
      <c r="G760" s="715"/>
      <c r="H760" s="715"/>
      <c r="AS760" s="716"/>
    </row>
    <row r="761">
      <c r="D761" s="715"/>
      <c r="E761" s="715"/>
      <c r="F761" s="715"/>
      <c r="G761" s="715"/>
      <c r="H761" s="715"/>
      <c r="AS761" s="716"/>
    </row>
    <row r="762">
      <c r="D762" s="715"/>
      <c r="E762" s="715"/>
      <c r="F762" s="715"/>
      <c r="G762" s="715"/>
      <c r="H762" s="715"/>
      <c r="AS762" s="716"/>
    </row>
    <row r="763">
      <c r="D763" s="715"/>
      <c r="E763" s="715"/>
      <c r="F763" s="715"/>
      <c r="G763" s="715"/>
      <c r="H763" s="715"/>
      <c r="AS763" s="716"/>
    </row>
    <row r="764">
      <c r="D764" s="715"/>
      <c r="E764" s="715"/>
      <c r="F764" s="715"/>
      <c r="G764" s="715"/>
      <c r="H764" s="715"/>
      <c r="AS764" s="716"/>
    </row>
    <row r="765">
      <c r="D765" s="715"/>
      <c r="E765" s="715"/>
      <c r="F765" s="715"/>
      <c r="G765" s="715"/>
      <c r="H765" s="715"/>
      <c r="AS765" s="716"/>
    </row>
    <row r="766">
      <c r="D766" s="715"/>
      <c r="E766" s="715"/>
      <c r="F766" s="715"/>
      <c r="G766" s="715"/>
      <c r="H766" s="715"/>
      <c r="AS766" s="716"/>
    </row>
    <row r="767">
      <c r="D767" s="715"/>
      <c r="E767" s="715"/>
      <c r="F767" s="715"/>
      <c r="G767" s="715"/>
      <c r="H767" s="715"/>
      <c r="AS767" s="716"/>
    </row>
    <row r="768">
      <c r="D768" s="715"/>
      <c r="E768" s="715"/>
      <c r="F768" s="715"/>
      <c r="G768" s="715"/>
      <c r="H768" s="715"/>
      <c r="AS768" s="716"/>
    </row>
    <row r="769">
      <c r="D769" s="715"/>
      <c r="E769" s="715"/>
      <c r="F769" s="715"/>
      <c r="G769" s="715"/>
      <c r="H769" s="715"/>
      <c r="AS769" s="716"/>
    </row>
    <row r="770">
      <c r="D770" s="715"/>
      <c r="E770" s="715"/>
      <c r="F770" s="715"/>
      <c r="G770" s="715"/>
      <c r="H770" s="715"/>
      <c r="AS770" s="716"/>
    </row>
    <row r="771">
      <c r="D771" s="715"/>
      <c r="E771" s="715"/>
      <c r="F771" s="715"/>
      <c r="G771" s="715"/>
      <c r="H771" s="715"/>
      <c r="AS771" s="716"/>
    </row>
    <row r="772">
      <c r="D772" s="715"/>
      <c r="E772" s="715"/>
      <c r="F772" s="715"/>
      <c r="G772" s="715"/>
      <c r="H772" s="715"/>
      <c r="AS772" s="716"/>
    </row>
    <row r="773">
      <c r="D773" s="715"/>
      <c r="E773" s="715"/>
      <c r="F773" s="715"/>
      <c r="G773" s="715"/>
      <c r="H773" s="715"/>
      <c r="AS773" s="716"/>
    </row>
    <row r="774">
      <c r="D774" s="715"/>
      <c r="E774" s="715"/>
      <c r="F774" s="715"/>
      <c r="G774" s="715"/>
      <c r="H774" s="715"/>
      <c r="AS774" s="716"/>
    </row>
    <row r="775">
      <c r="D775" s="715"/>
      <c r="E775" s="715"/>
      <c r="F775" s="715"/>
      <c r="G775" s="715"/>
      <c r="H775" s="715"/>
      <c r="AS775" s="716"/>
    </row>
    <row r="776">
      <c r="D776" s="715"/>
      <c r="E776" s="715"/>
      <c r="F776" s="715"/>
      <c r="G776" s="715"/>
      <c r="H776" s="715"/>
      <c r="AS776" s="716"/>
    </row>
    <row r="777">
      <c r="D777" s="715"/>
      <c r="E777" s="715"/>
      <c r="F777" s="715"/>
      <c r="G777" s="715"/>
      <c r="H777" s="715"/>
      <c r="AS777" s="716"/>
    </row>
    <row r="778">
      <c r="D778" s="715"/>
      <c r="E778" s="715"/>
      <c r="F778" s="715"/>
      <c r="G778" s="715"/>
      <c r="H778" s="715"/>
      <c r="AS778" s="716"/>
    </row>
    <row r="779">
      <c r="D779" s="715"/>
      <c r="E779" s="715"/>
      <c r="F779" s="715"/>
      <c r="G779" s="715"/>
      <c r="H779" s="715"/>
      <c r="AS779" s="716"/>
    </row>
    <row r="780">
      <c r="D780" s="715"/>
      <c r="E780" s="715"/>
      <c r="F780" s="715"/>
      <c r="G780" s="715"/>
      <c r="H780" s="715"/>
      <c r="AS780" s="716"/>
    </row>
    <row r="781">
      <c r="D781" s="715"/>
      <c r="E781" s="715"/>
      <c r="F781" s="715"/>
      <c r="G781" s="715"/>
      <c r="H781" s="715"/>
      <c r="AS781" s="716"/>
    </row>
    <row r="782">
      <c r="D782" s="715"/>
      <c r="E782" s="715"/>
      <c r="F782" s="715"/>
      <c r="G782" s="715"/>
      <c r="H782" s="715"/>
      <c r="AS782" s="716"/>
    </row>
    <row r="783">
      <c r="D783" s="715"/>
      <c r="E783" s="715"/>
      <c r="F783" s="715"/>
      <c r="G783" s="715"/>
      <c r="H783" s="715"/>
      <c r="AS783" s="716"/>
    </row>
    <row r="784">
      <c r="D784" s="715"/>
      <c r="E784" s="715"/>
      <c r="F784" s="715"/>
      <c r="G784" s="715"/>
      <c r="H784" s="715"/>
      <c r="AS784" s="716"/>
    </row>
    <row r="785">
      <c r="D785" s="715"/>
      <c r="E785" s="715"/>
      <c r="F785" s="715"/>
      <c r="G785" s="715"/>
      <c r="H785" s="715"/>
      <c r="AS785" s="716"/>
    </row>
    <row r="786">
      <c r="D786" s="715"/>
      <c r="E786" s="715"/>
      <c r="F786" s="715"/>
      <c r="G786" s="715"/>
      <c r="H786" s="715"/>
      <c r="AS786" s="716"/>
    </row>
    <row r="787">
      <c r="D787" s="715"/>
      <c r="E787" s="715"/>
      <c r="F787" s="715"/>
      <c r="G787" s="715"/>
      <c r="H787" s="715"/>
      <c r="AS787" s="716"/>
    </row>
    <row r="788">
      <c r="D788" s="715"/>
      <c r="E788" s="715"/>
      <c r="F788" s="715"/>
      <c r="G788" s="715"/>
      <c r="H788" s="715"/>
      <c r="AS788" s="716"/>
    </row>
    <row r="789">
      <c r="D789" s="715"/>
      <c r="E789" s="715"/>
      <c r="F789" s="715"/>
      <c r="G789" s="715"/>
      <c r="H789" s="715"/>
      <c r="AS789" s="716"/>
    </row>
    <row r="790">
      <c r="D790" s="715"/>
      <c r="E790" s="715"/>
      <c r="F790" s="715"/>
      <c r="G790" s="715"/>
      <c r="H790" s="715"/>
      <c r="AS790" s="716"/>
    </row>
    <row r="791">
      <c r="D791" s="715"/>
      <c r="E791" s="715"/>
      <c r="F791" s="715"/>
      <c r="G791" s="715"/>
      <c r="H791" s="715"/>
      <c r="AS791" s="716"/>
    </row>
    <row r="792">
      <c r="D792" s="715"/>
      <c r="E792" s="715"/>
      <c r="F792" s="715"/>
      <c r="G792" s="715"/>
      <c r="H792" s="715"/>
      <c r="AS792" s="716"/>
    </row>
    <row r="793">
      <c r="D793" s="715"/>
      <c r="E793" s="715"/>
      <c r="F793" s="715"/>
      <c r="G793" s="715"/>
      <c r="H793" s="715"/>
      <c r="AS793" s="716"/>
    </row>
    <row r="794">
      <c r="D794" s="715"/>
      <c r="E794" s="715"/>
      <c r="F794" s="715"/>
      <c r="G794" s="715"/>
      <c r="H794" s="715"/>
      <c r="AS794" s="716"/>
    </row>
    <row r="795">
      <c r="D795" s="715"/>
      <c r="E795" s="715"/>
      <c r="F795" s="715"/>
      <c r="G795" s="715"/>
      <c r="H795" s="715"/>
      <c r="AS795" s="716"/>
    </row>
    <row r="796">
      <c r="D796" s="715"/>
      <c r="E796" s="715"/>
      <c r="F796" s="715"/>
      <c r="G796" s="715"/>
      <c r="H796" s="715"/>
      <c r="AS796" s="716"/>
    </row>
    <row r="797">
      <c r="D797" s="715"/>
      <c r="E797" s="715"/>
      <c r="F797" s="715"/>
      <c r="G797" s="715"/>
      <c r="H797" s="715"/>
      <c r="AS797" s="716"/>
    </row>
    <row r="798">
      <c r="D798" s="715"/>
      <c r="E798" s="715"/>
      <c r="F798" s="715"/>
      <c r="G798" s="715"/>
      <c r="H798" s="715"/>
      <c r="AS798" s="716"/>
    </row>
    <row r="799">
      <c r="D799" s="715"/>
      <c r="E799" s="715"/>
      <c r="F799" s="715"/>
      <c r="G799" s="715"/>
      <c r="H799" s="715"/>
      <c r="AS799" s="716"/>
    </row>
    <row r="800">
      <c r="D800" s="715"/>
      <c r="E800" s="715"/>
      <c r="F800" s="715"/>
      <c r="G800" s="715"/>
      <c r="H800" s="715"/>
      <c r="AS800" s="716"/>
    </row>
    <row r="801">
      <c r="D801" s="715"/>
      <c r="E801" s="715"/>
      <c r="F801" s="715"/>
      <c r="G801" s="715"/>
      <c r="H801" s="715"/>
      <c r="AS801" s="716"/>
    </row>
    <row r="802">
      <c r="D802" s="715"/>
      <c r="E802" s="715"/>
      <c r="F802" s="715"/>
      <c r="G802" s="715"/>
      <c r="H802" s="715"/>
      <c r="AS802" s="716"/>
    </row>
    <row r="803">
      <c r="D803" s="715"/>
      <c r="E803" s="715"/>
      <c r="F803" s="715"/>
      <c r="G803" s="715"/>
      <c r="H803" s="715"/>
      <c r="AS803" s="716"/>
    </row>
    <row r="804">
      <c r="D804" s="715"/>
      <c r="E804" s="715"/>
      <c r="F804" s="715"/>
      <c r="G804" s="715"/>
      <c r="H804" s="715"/>
      <c r="AS804" s="716"/>
    </row>
    <row r="805">
      <c r="D805" s="715"/>
      <c r="E805" s="715"/>
      <c r="F805" s="715"/>
      <c r="G805" s="715"/>
      <c r="H805" s="715"/>
      <c r="AS805" s="716"/>
    </row>
    <row r="806">
      <c r="D806" s="715"/>
      <c r="E806" s="715"/>
      <c r="F806" s="715"/>
      <c r="G806" s="715"/>
      <c r="H806" s="715"/>
      <c r="AS806" s="716"/>
    </row>
    <row r="807">
      <c r="D807" s="715"/>
      <c r="E807" s="715"/>
      <c r="F807" s="715"/>
      <c r="G807" s="715"/>
      <c r="H807" s="715"/>
      <c r="AS807" s="716"/>
    </row>
    <row r="808">
      <c r="D808" s="715"/>
      <c r="E808" s="715"/>
      <c r="F808" s="715"/>
      <c r="G808" s="715"/>
      <c r="H808" s="715"/>
      <c r="AS808" s="716"/>
    </row>
    <row r="809">
      <c r="D809" s="715"/>
      <c r="E809" s="715"/>
      <c r="F809" s="715"/>
      <c r="G809" s="715"/>
      <c r="H809" s="715"/>
      <c r="AS809" s="716"/>
    </row>
    <row r="810">
      <c r="D810" s="715"/>
      <c r="E810" s="715"/>
      <c r="F810" s="715"/>
      <c r="G810" s="715"/>
      <c r="H810" s="715"/>
      <c r="AS810" s="716"/>
    </row>
    <row r="811">
      <c r="D811" s="715"/>
      <c r="E811" s="715"/>
      <c r="F811" s="715"/>
      <c r="G811" s="715"/>
      <c r="H811" s="715"/>
      <c r="AS811" s="716"/>
    </row>
    <row r="812">
      <c r="D812" s="715"/>
      <c r="E812" s="715"/>
      <c r="F812" s="715"/>
      <c r="G812" s="715"/>
      <c r="H812" s="715"/>
      <c r="AS812" s="716"/>
    </row>
    <row r="813">
      <c r="D813" s="715"/>
      <c r="E813" s="715"/>
      <c r="F813" s="715"/>
      <c r="G813" s="715"/>
      <c r="H813" s="715"/>
      <c r="AS813" s="716"/>
    </row>
    <row r="814">
      <c r="D814" s="715"/>
      <c r="E814" s="715"/>
      <c r="F814" s="715"/>
      <c r="G814" s="715"/>
      <c r="H814" s="715"/>
      <c r="AS814" s="716"/>
    </row>
    <row r="815">
      <c r="D815" s="715"/>
      <c r="E815" s="715"/>
      <c r="F815" s="715"/>
      <c r="G815" s="715"/>
      <c r="H815" s="715"/>
      <c r="AS815" s="716"/>
    </row>
    <row r="816">
      <c r="D816" s="715"/>
      <c r="E816" s="715"/>
      <c r="F816" s="715"/>
      <c r="G816" s="715"/>
      <c r="H816" s="715"/>
      <c r="AS816" s="716"/>
    </row>
    <row r="817">
      <c r="D817" s="715"/>
      <c r="E817" s="715"/>
      <c r="F817" s="715"/>
      <c r="G817" s="715"/>
      <c r="H817" s="715"/>
      <c r="AS817" s="716"/>
    </row>
    <row r="818">
      <c r="D818" s="715"/>
      <c r="E818" s="715"/>
      <c r="F818" s="715"/>
      <c r="G818" s="715"/>
      <c r="H818" s="715"/>
      <c r="AS818" s="716"/>
    </row>
    <row r="819">
      <c r="D819" s="715"/>
      <c r="E819" s="715"/>
      <c r="F819" s="715"/>
      <c r="G819" s="715"/>
      <c r="H819" s="715"/>
      <c r="AS819" s="716"/>
    </row>
    <row r="820">
      <c r="D820" s="715"/>
      <c r="E820" s="715"/>
      <c r="F820" s="715"/>
      <c r="G820" s="715"/>
      <c r="H820" s="715"/>
      <c r="AS820" s="716"/>
    </row>
    <row r="821">
      <c r="D821" s="715"/>
      <c r="E821" s="715"/>
      <c r="F821" s="715"/>
      <c r="G821" s="715"/>
      <c r="H821" s="715"/>
      <c r="AS821" s="716"/>
    </row>
    <row r="822">
      <c r="D822" s="715"/>
      <c r="E822" s="715"/>
      <c r="F822" s="715"/>
      <c r="G822" s="715"/>
      <c r="H822" s="715"/>
      <c r="AS822" s="716"/>
    </row>
    <row r="823">
      <c r="D823" s="715"/>
      <c r="E823" s="715"/>
      <c r="F823" s="715"/>
      <c r="G823" s="715"/>
      <c r="H823" s="715"/>
      <c r="AS823" s="716"/>
    </row>
    <row r="824">
      <c r="D824" s="715"/>
      <c r="E824" s="715"/>
      <c r="F824" s="715"/>
      <c r="G824" s="715"/>
      <c r="H824" s="715"/>
      <c r="AS824" s="716"/>
    </row>
    <row r="825">
      <c r="D825" s="715"/>
      <c r="E825" s="715"/>
      <c r="F825" s="715"/>
      <c r="G825" s="715"/>
      <c r="H825" s="715"/>
      <c r="AS825" s="716"/>
    </row>
    <row r="826">
      <c r="D826" s="715"/>
      <c r="E826" s="715"/>
      <c r="F826" s="715"/>
      <c r="G826" s="715"/>
      <c r="H826" s="715"/>
      <c r="AS826" s="716"/>
    </row>
    <row r="827">
      <c r="D827" s="715"/>
      <c r="E827" s="715"/>
      <c r="F827" s="715"/>
      <c r="G827" s="715"/>
      <c r="H827" s="715"/>
      <c r="AS827" s="716"/>
    </row>
    <row r="828">
      <c r="D828" s="715"/>
      <c r="E828" s="715"/>
      <c r="F828" s="715"/>
      <c r="G828" s="715"/>
      <c r="H828" s="715"/>
      <c r="AS828" s="716"/>
    </row>
    <row r="829">
      <c r="D829" s="715"/>
      <c r="E829" s="715"/>
      <c r="F829" s="715"/>
      <c r="G829" s="715"/>
      <c r="H829" s="715"/>
      <c r="AS829" s="716"/>
    </row>
    <row r="830">
      <c r="D830" s="715"/>
      <c r="E830" s="715"/>
      <c r="F830" s="715"/>
      <c r="G830" s="715"/>
      <c r="H830" s="715"/>
      <c r="AS830" s="716"/>
    </row>
    <row r="831">
      <c r="D831" s="715"/>
      <c r="E831" s="715"/>
      <c r="F831" s="715"/>
      <c r="G831" s="715"/>
      <c r="H831" s="715"/>
      <c r="AS831" s="716"/>
    </row>
    <row r="832">
      <c r="D832" s="715"/>
      <c r="E832" s="715"/>
      <c r="F832" s="715"/>
      <c r="G832" s="715"/>
      <c r="H832" s="715"/>
      <c r="AS832" s="716"/>
    </row>
    <row r="833">
      <c r="D833" s="715"/>
      <c r="E833" s="715"/>
      <c r="F833" s="715"/>
      <c r="G833" s="715"/>
      <c r="H833" s="715"/>
      <c r="AS833" s="716"/>
    </row>
    <row r="834">
      <c r="D834" s="715"/>
      <c r="E834" s="715"/>
      <c r="F834" s="715"/>
      <c r="G834" s="715"/>
      <c r="H834" s="715"/>
      <c r="AS834" s="716"/>
    </row>
    <row r="835">
      <c r="D835" s="715"/>
      <c r="E835" s="715"/>
      <c r="F835" s="715"/>
      <c r="G835" s="715"/>
      <c r="H835" s="715"/>
      <c r="AS835" s="716"/>
    </row>
    <row r="836">
      <c r="D836" s="715"/>
      <c r="E836" s="715"/>
      <c r="F836" s="715"/>
      <c r="G836" s="715"/>
      <c r="H836" s="715"/>
      <c r="AS836" s="716"/>
    </row>
    <row r="837">
      <c r="D837" s="715"/>
      <c r="E837" s="715"/>
      <c r="F837" s="715"/>
      <c r="G837" s="715"/>
      <c r="H837" s="715"/>
      <c r="AS837" s="716"/>
    </row>
    <row r="838">
      <c r="D838" s="715"/>
      <c r="E838" s="715"/>
      <c r="F838" s="715"/>
      <c r="G838" s="715"/>
      <c r="H838" s="715"/>
      <c r="AS838" s="716"/>
    </row>
    <row r="839">
      <c r="D839" s="715"/>
      <c r="E839" s="715"/>
      <c r="F839" s="715"/>
      <c r="G839" s="715"/>
      <c r="H839" s="715"/>
      <c r="AS839" s="716"/>
    </row>
    <row r="840">
      <c r="D840" s="715"/>
      <c r="E840" s="715"/>
      <c r="F840" s="715"/>
      <c r="G840" s="715"/>
      <c r="H840" s="715"/>
      <c r="AS840" s="716"/>
    </row>
    <row r="841">
      <c r="D841" s="715"/>
      <c r="E841" s="715"/>
      <c r="F841" s="715"/>
      <c r="G841" s="715"/>
      <c r="H841" s="715"/>
      <c r="AS841" s="716"/>
    </row>
    <row r="842">
      <c r="D842" s="715"/>
      <c r="E842" s="715"/>
      <c r="F842" s="715"/>
      <c r="G842" s="715"/>
      <c r="H842" s="715"/>
      <c r="AS842" s="716"/>
    </row>
    <row r="843">
      <c r="D843" s="715"/>
      <c r="E843" s="715"/>
      <c r="F843" s="715"/>
      <c r="G843" s="715"/>
      <c r="H843" s="715"/>
      <c r="AS843" s="716"/>
    </row>
    <row r="844">
      <c r="D844" s="715"/>
      <c r="E844" s="715"/>
      <c r="F844" s="715"/>
      <c r="G844" s="715"/>
      <c r="H844" s="715"/>
      <c r="AS844" s="716"/>
    </row>
    <row r="845">
      <c r="D845" s="715"/>
      <c r="E845" s="715"/>
      <c r="F845" s="715"/>
      <c r="G845" s="715"/>
      <c r="H845" s="715"/>
      <c r="AS845" s="716"/>
    </row>
    <row r="846">
      <c r="D846" s="715"/>
      <c r="E846" s="715"/>
      <c r="F846" s="715"/>
      <c r="G846" s="715"/>
      <c r="H846" s="715"/>
      <c r="AS846" s="716"/>
    </row>
    <row r="847">
      <c r="D847" s="715"/>
      <c r="E847" s="715"/>
      <c r="F847" s="715"/>
      <c r="G847" s="715"/>
      <c r="H847" s="715"/>
      <c r="AS847" s="716"/>
    </row>
    <row r="848">
      <c r="D848" s="715"/>
      <c r="E848" s="715"/>
      <c r="F848" s="715"/>
      <c r="G848" s="715"/>
      <c r="H848" s="715"/>
      <c r="AS848" s="716"/>
    </row>
    <row r="849">
      <c r="D849" s="715"/>
      <c r="E849" s="715"/>
      <c r="F849" s="715"/>
      <c r="G849" s="715"/>
      <c r="H849" s="715"/>
      <c r="AS849" s="716"/>
    </row>
    <row r="850">
      <c r="D850" s="715"/>
      <c r="E850" s="715"/>
      <c r="F850" s="715"/>
      <c r="G850" s="715"/>
      <c r="H850" s="715"/>
      <c r="AS850" s="716"/>
    </row>
    <row r="851">
      <c r="D851" s="715"/>
      <c r="E851" s="715"/>
      <c r="F851" s="715"/>
      <c r="G851" s="715"/>
      <c r="H851" s="715"/>
      <c r="AS851" s="716"/>
    </row>
    <row r="852">
      <c r="D852" s="715"/>
      <c r="E852" s="715"/>
      <c r="F852" s="715"/>
      <c r="G852" s="715"/>
      <c r="H852" s="715"/>
      <c r="AS852" s="716"/>
    </row>
    <row r="853">
      <c r="D853" s="715"/>
      <c r="E853" s="715"/>
      <c r="F853" s="715"/>
      <c r="G853" s="715"/>
      <c r="H853" s="715"/>
      <c r="AS853" s="716"/>
    </row>
    <row r="854">
      <c r="D854" s="715"/>
      <c r="E854" s="715"/>
      <c r="F854" s="715"/>
      <c r="G854" s="715"/>
      <c r="H854" s="715"/>
      <c r="AS854" s="716"/>
    </row>
    <row r="855">
      <c r="D855" s="715"/>
      <c r="E855" s="715"/>
      <c r="F855" s="715"/>
      <c r="G855" s="715"/>
      <c r="H855" s="715"/>
      <c r="AS855" s="716"/>
    </row>
    <row r="856">
      <c r="D856" s="715"/>
      <c r="E856" s="715"/>
      <c r="F856" s="715"/>
      <c r="G856" s="715"/>
      <c r="H856" s="715"/>
      <c r="AS856" s="716"/>
    </row>
    <row r="857">
      <c r="D857" s="715"/>
      <c r="E857" s="715"/>
      <c r="F857" s="715"/>
      <c r="G857" s="715"/>
      <c r="H857" s="715"/>
      <c r="AS857" s="716"/>
    </row>
    <row r="858">
      <c r="D858" s="715"/>
      <c r="E858" s="715"/>
      <c r="F858" s="715"/>
      <c r="G858" s="715"/>
      <c r="H858" s="715"/>
      <c r="AS858" s="716"/>
    </row>
    <row r="859">
      <c r="D859" s="715"/>
      <c r="E859" s="715"/>
      <c r="F859" s="715"/>
      <c r="G859" s="715"/>
      <c r="H859" s="715"/>
      <c r="AS859" s="716"/>
    </row>
    <row r="860">
      <c r="D860" s="715"/>
      <c r="E860" s="715"/>
      <c r="F860" s="715"/>
      <c r="G860" s="715"/>
      <c r="H860" s="715"/>
      <c r="AS860" s="716"/>
    </row>
    <row r="861">
      <c r="D861" s="715"/>
      <c r="E861" s="715"/>
      <c r="F861" s="715"/>
      <c r="G861" s="715"/>
      <c r="H861" s="715"/>
      <c r="AS861" s="716"/>
    </row>
    <row r="862">
      <c r="D862" s="715"/>
      <c r="E862" s="715"/>
      <c r="F862" s="715"/>
      <c r="G862" s="715"/>
      <c r="H862" s="715"/>
      <c r="AS862" s="716"/>
    </row>
    <row r="863">
      <c r="D863" s="715"/>
      <c r="E863" s="715"/>
      <c r="F863" s="715"/>
      <c r="G863" s="715"/>
      <c r="H863" s="715"/>
      <c r="AS863" s="716"/>
    </row>
    <row r="864">
      <c r="D864" s="715"/>
      <c r="E864" s="715"/>
      <c r="F864" s="715"/>
      <c r="G864" s="715"/>
      <c r="H864" s="715"/>
      <c r="AS864" s="716"/>
    </row>
    <row r="865">
      <c r="D865" s="715"/>
      <c r="E865" s="715"/>
      <c r="F865" s="715"/>
      <c r="G865" s="715"/>
      <c r="H865" s="715"/>
      <c r="AS865" s="716"/>
    </row>
    <row r="866">
      <c r="D866" s="715"/>
      <c r="E866" s="715"/>
      <c r="F866" s="715"/>
      <c r="G866" s="715"/>
      <c r="H866" s="715"/>
      <c r="AS866" s="716"/>
    </row>
    <row r="867">
      <c r="D867" s="715"/>
      <c r="E867" s="715"/>
      <c r="F867" s="715"/>
      <c r="G867" s="715"/>
      <c r="H867" s="715"/>
      <c r="AS867" s="716"/>
    </row>
    <row r="868">
      <c r="D868" s="715"/>
      <c r="E868" s="715"/>
      <c r="F868" s="715"/>
      <c r="G868" s="715"/>
      <c r="H868" s="715"/>
      <c r="AS868" s="716"/>
    </row>
    <row r="869">
      <c r="D869" s="715"/>
      <c r="E869" s="715"/>
      <c r="F869" s="715"/>
      <c r="G869" s="715"/>
      <c r="H869" s="715"/>
      <c r="AS869" s="716"/>
    </row>
    <row r="870">
      <c r="D870" s="715"/>
      <c r="E870" s="715"/>
      <c r="F870" s="715"/>
      <c r="G870" s="715"/>
      <c r="H870" s="715"/>
      <c r="AS870" s="716"/>
    </row>
    <row r="871">
      <c r="D871" s="715"/>
      <c r="E871" s="715"/>
      <c r="F871" s="715"/>
      <c r="G871" s="715"/>
      <c r="H871" s="715"/>
      <c r="AS871" s="716"/>
    </row>
    <row r="872">
      <c r="D872" s="715"/>
      <c r="E872" s="715"/>
      <c r="F872" s="715"/>
      <c r="G872" s="715"/>
      <c r="H872" s="715"/>
      <c r="AS872" s="716"/>
    </row>
    <row r="873">
      <c r="D873" s="715"/>
      <c r="E873" s="715"/>
      <c r="F873" s="715"/>
      <c r="G873" s="715"/>
      <c r="H873" s="715"/>
      <c r="AS873" s="716"/>
    </row>
    <row r="874">
      <c r="D874" s="715"/>
      <c r="E874" s="715"/>
      <c r="F874" s="715"/>
      <c r="G874" s="715"/>
      <c r="H874" s="715"/>
      <c r="AS874" s="716"/>
    </row>
    <row r="875">
      <c r="D875" s="715"/>
      <c r="E875" s="715"/>
      <c r="F875" s="715"/>
      <c r="G875" s="715"/>
      <c r="H875" s="715"/>
      <c r="AS875" s="716"/>
    </row>
    <row r="876">
      <c r="D876" s="715"/>
      <c r="E876" s="715"/>
      <c r="F876" s="715"/>
      <c r="G876" s="715"/>
      <c r="H876" s="715"/>
      <c r="AS876" s="716"/>
    </row>
    <row r="877">
      <c r="D877" s="715"/>
      <c r="E877" s="715"/>
      <c r="F877" s="715"/>
      <c r="G877" s="715"/>
      <c r="H877" s="715"/>
      <c r="AS877" s="716"/>
    </row>
    <row r="878">
      <c r="D878" s="715"/>
      <c r="E878" s="715"/>
      <c r="F878" s="715"/>
      <c r="G878" s="715"/>
      <c r="H878" s="715"/>
      <c r="AS878" s="716"/>
    </row>
    <row r="879">
      <c r="D879" s="715"/>
      <c r="E879" s="715"/>
      <c r="F879" s="715"/>
      <c r="G879" s="715"/>
      <c r="H879" s="715"/>
      <c r="AS879" s="716"/>
    </row>
    <row r="880">
      <c r="D880" s="715"/>
      <c r="E880" s="715"/>
      <c r="F880" s="715"/>
      <c r="G880" s="715"/>
      <c r="H880" s="715"/>
      <c r="AS880" s="716"/>
    </row>
    <row r="881">
      <c r="D881" s="715"/>
      <c r="E881" s="715"/>
      <c r="F881" s="715"/>
      <c r="G881" s="715"/>
      <c r="H881" s="715"/>
      <c r="AS881" s="716"/>
    </row>
    <row r="882">
      <c r="D882" s="715"/>
      <c r="E882" s="715"/>
      <c r="F882" s="715"/>
      <c r="G882" s="715"/>
      <c r="H882" s="715"/>
      <c r="AS882" s="716"/>
    </row>
    <row r="883">
      <c r="D883" s="715"/>
      <c r="E883" s="715"/>
      <c r="F883" s="715"/>
      <c r="G883" s="715"/>
      <c r="H883" s="715"/>
      <c r="AS883" s="716"/>
    </row>
    <row r="884">
      <c r="D884" s="715"/>
      <c r="E884" s="715"/>
      <c r="F884" s="715"/>
      <c r="G884" s="715"/>
      <c r="H884" s="715"/>
      <c r="AS884" s="716"/>
    </row>
    <row r="885">
      <c r="D885" s="715"/>
      <c r="E885" s="715"/>
      <c r="F885" s="715"/>
      <c r="G885" s="715"/>
      <c r="H885" s="715"/>
      <c r="AS885" s="716"/>
    </row>
    <row r="886">
      <c r="D886" s="715"/>
      <c r="E886" s="715"/>
      <c r="F886" s="715"/>
      <c r="G886" s="715"/>
      <c r="H886" s="715"/>
      <c r="AS886" s="716"/>
    </row>
    <row r="887">
      <c r="D887" s="715"/>
      <c r="E887" s="715"/>
      <c r="F887" s="715"/>
      <c r="G887" s="715"/>
      <c r="H887" s="715"/>
      <c r="AS887" s="716"/>
    </row>
    <row r="888">
      <c r="D888" s="715"/>
      <c r="E888" s="715"/>
      <c r="F888" s="715"/>
      <c r="G888" s="715"/>
      <c r="H888" s="715"/>
      <c r="AS888" s="716"/>
    </row>
    <row r="889">
      <c r="D889" s="715"/>
      <c r="E889" s="715"/>
      <c r="F889" s="715"/>
      <c r="G889" s="715"/>
      <c r="H889" s="715"/>
      <c r="AS889" s="716"/>
    </row>
    <row r="890">
      <c r="D890" s="715"/>
      <c r="E890" s="715"/>
      <c r="F890" s="715"/>
      <c r="G890" s="715"/>
      <c r="H890" s="715"/>
      <c r="AS890" s="716"/>
    </row>
    <row r="891">
      <c r="D891" s="715"/>
      <c r="E891" s="715"/>
      <c r="F891" s="715"/>
      <c r="G891" s="715"/>
      <c r="H891" s="715"/>
      <c r="AS891" s="716"/>
    </row>
    <row r="892">
      <c r="D892" s="715"/>
      <c r="E892" s="715"/>
      <c r="F892" s="715"/>
      <c r="G892" s="715"/>
      <c r="H892" s="715"/>
      <c r="AS892" s="716"/>
    </row>
    <row r="893">
      <c r="D893" s="715"/>
      <c r="E893" s="715"/>
      <c r="F893" s="715"/>
      <c r="G893" s="715"/>
      <c r="H893" s="715"/>
      <c r="AS893" s="716"/>
    </row>
    <row r="894">
      <c r="D894" s="715"/>
      <c r="E894" s="715"/>
      <c r="F894" s="715"/>
      <c r="G894" s="715"/>
      <c r="H894" s="715"/>
      <c r="AS894" s="716"/>
    </row>
    <row r="895">
      <c r="D895" s="715"/>
      <c r="E895" s="715"/>
      <c r="F895" s="715"/>
      <c r="G895" s="715"/>
      <c r="H895" s="715"/>
      <c r="AS895" s="716"/>
    </row>
    <row r="896">
      <c r="D896" s="715"/>
      <c r="E896" s="715"/>
      <c r="F896" s="715"/>
      <c r="G896" s="715"/>
      <c r="H896" s="715"/>
      <c r="AS896" s="716"/>
    </row>
    <row r="897">
      <c r="D897" s="715"/>
      <c r="E897" s="715"/>
      <c r="F897" s="715"/>
      <c r="G897" s="715"/>
      <c r="H897" s="715"/>
      <c r="AS897" s="716"/>
    </row>
    <row r="898">
      <c r="D898" s="715"/>
      <c r="E898" s="715"/>
      <c r="F898" s="715"/>
      <c r="G898" s="715"/>
      <c r="H898" s="715"/>
      <c r="AS898" s="716"/>
    </row>
    <row r="899">
      <c r="D899" s="715"/>
      <c r="E899" s="715"/>
      <c r="F899" s="715"/>
      <c r="G899" s="715"/>
      <c r="H899" s="715"/>
      <c r="AS899" s="716"/>
    </row>
    <row r="900">
      <c r="D900" s="715"/>
      <c r="E900" s="715"/>
      <c r="F900" s="715"/>
      <c r="G900" s="715"/>
      <c r="H900" s="715"/>
      <c r="AS900" s="716"/>
    </row>
    <row r="901">
      <c r="D901" s="715"/>
      <c r="E901" s="715"/>
      <c r="F901" s="715"/>
      <c r="G901" s="715"/>
      <c r="H901" s="715"/>
      <c r="AS901" s="716"/>
    </row>
    <row r="902">
      <c r="D902" s="715"/>
      <c r="E902" s="715"/>
      <c r="F902" s="715"/>
      <c r="G902" s="715"/>
      <c r="H902" s="715"/>
      <c r="AS902" s="716"/>
    </row>
    <row r="903">
      <c r="D903" s="715"/>
      <c r="E903" s="715"/>
      <c r="F903" s="715"/>
      <c r="G903" s="715"/>
      <c r="H903" s="715"/>
      <c r="AS903" s="716"/>
    </row>
    <row r="904">
      <c r="D904" s="715"/>
      <c r="E904" s="715"/>
      <c r="F904" s="715"/>
      <c r="G904" s="715"/>
      <c r="H904" s="715"/>
      <c r="AS904" s="716"/>
    </row>
    <row r="905">
      <c r="D905" s="715"/>
      <c r="E905" s="715"/>
      <c r="F905" s="715"/>
      <c r="G905" s="715"/>
      <c r="H905" s="715"/>
      <c r="AS905" s="716"/>
    </row>
    <row r="906">
      <c r="D906" s="715"/>
      <c r="E906" s="715"/>
      <c r="F906" s="715"/>
      <c r="G906" s="715"/>
      <c r="H906" s="715"/>
      <c r="AS906" s="716"/>
    </row>
    <row r="907">
      <c r="D907" s="715"/>
      <c r="E907" s="715"/>
      <c r="F907" s="715"/>
      <c r="G907" s="715"/>
      <c r="H907" s="715"/>
      <c r="AS907" s="716"/>
    </row>
    <row r="908">
      <c r="D908" s="715"/>
      <c r="E908" s="715"/>
      <c r="F908" s="715"/>
      <c r="G908" s="715"/>
      <c r="H908" s="715"/>
      <c r="AS908" s="716"/>
    </row>
    <row r="909">
      <c r="D909" s="715"/>
      <c r="E909" s="715"/>
      <c r="F909" s="715"/>
      <c r="G909" s="715"/>
      <c r="H909" s="715"/>
      <c r="AS909" s="716"/>
    </row>
    <row r="910">
      <c r="D910" s="715"/>
      <c r="E910" s="715"/>
      <c r="F910" s="715"/>
      <c r="G910" s="715"/>
      <c r="H910" s="715"/>
      <c r="AS910" s="716"/>
    </row>
    <row r="911">
      <c r="D911" s="715"/>
      <c r="E911" s="715"/>
      <c r="F911" s="715"/>
      <c r="G911" s="715"/>
      <c r="H911" s="715"/>
      <c r="AS911" s="716"/>
    </row>
    <row r="912">
      <c r="D912" s="715"/>
      <c r="E912" s="715"/>
      <c r="F912" s="715"/>
      <c r="G912" s="715"/>
      <c r="H912" s="715"/>
      <c r="AS912" s="716"/>
    </row>
    <row r="913">
      <c r="D913" s="715"/>
      <c r="E913" s="715"/>
      <c r="F913" s="715"/>
      <c r="G913" s="715"/>
      <c r="H913" s="715"/>
      <c r="AS913" s="716"/>
    </row>
    <row r="914">
      <c r="D914" s="715"/>
      <c r="E914" s="715"/>
      <c r="F914" s="715"/>
      <c r="G914" s="715"/>
      <c r="H914" s="715"/>
      <c r="AS914" s="716"/>
    </row>
    <row r="915">
      <c r="D915" s="715"/>
      <c r="E915" s="715"/>
      <c r="F915" s="715"/>
      <c r="G915" s="715"/>
      <c r="H915" s="715"/>
      <c r="AS915" s="716"/>
    </row>
    <row r="916">
      <c r="D916" s="715"/>
      <c r="E916" s="715"/>
      <c r="F916" s="715"/>
      <c r="G916" s="715"/>
      <c r="H916" s="715"/>
      <c r="AS916" s="716"/>
    </row>
    <row r="917">
      <c r="D917" s="715"/>
      <c r="E917" s="715"/>
      <c r="F917" s="715"/>
      <c r="G917" s="715"/>
      <c r="H917" s="715"/>
      <c r="AS917" s="716"/>
    </row>
    <row r="918">
      <c r="D918" s="715"/>
      <c r="E918" s="715"/>
      <c r="F918" s="715"/>
      <c r="G918" s="715"/>
      <c r="H918" s="715"/>
      <c r="AS918" s="716"/>
    </row>
    <row r="919">
      <c r="D919" s="715"/>
      <c r="E919" s="715"/>
      <c r="F919" s="715"/>
      <c r="G919" s="715"/>
      <c r="H919" s="715"/>
      <c r="AS919" s="716"/>
    </row>
    <row r="920">
      <c r="D920" s="715"/>
      <c r="E920" s="715"/>
      <c r="F920" s="715"/>
      <c r="G920" s="715"/>
      <c r="H920" s="715"/>
      <c r="AS920" s="716"/>
    </row>
    <row r="921">
      <c r="D921" s="715"/>
      <c r="E921" s="715"/>
      <c r="F921" s="715"/>
      <c r="G921" s="715"/>
      <c r="H921" s="715"/>
      <c r="AS921" s="716"/>
    </row>
    <row r="922">
      <c r="D922" s="715"/>
      <c r="E922" s="715"/>
      <c r="F922" s="715"/>
      <c r="G922" s="715"/>
      <c r="H922" s="715"/>
      <c r="AS922" s="716"/>
    </row>
    <row r="923">
      <c r="D923" s="715"/>
      <c r="E923" s="715"/>
      <c r="F923" s="715"/>
      <c r="G923" s="715"/>
      <c r="H923" s="715"/>
      <c r="AS923" s="716"/>
    </row>
    <row r="924">
      <c r="D924" s="715"/>
      <c r="E924" s="715"/>
      <c r="F924" s="715"/>
      <c r="G924" s="715"/>
      <c r="H924" s="715"/>
      <c r="AS924" s="716"/>
    </row>
    <row r="925">
      <c r="D925" s="715"/>
      <c r="E925" s="715"/>
      <c r="F925" s="715"/>
      <c r="G925" s="715"/>
      <c r="H925" s="715"/>
      <c r="AS925" s="716"/>
    </row>
    <row r="926">
      <c r="D926" s="715"/>
      <c r="E926" s="715"/>
      <c r="F926" s="715"/>
      <c r="G926" s="715"/>
      <c r="H926" s="715"/>
      <c r="AS926" s="716"/>
    </row>
    <row r="927">
      <c r="D927" s="715"/>
      <c r="E927" s="715"/>
      <c r="F927" s="715"/>
      <c r="G927" s="715"/>
      <c r="H927" s="715"/>
      <c r="AS927" s="716"/>
    </row>
    <row r="928">
      <c r="D928" s="715"/>
      <c r="E928" s="715"/>
      <c r="F928" s="715"/>
      <c r="G928" s="715"/>
      <c r="H928" s="715"/>
      <c r="AS928" s="716"/>
    </row>
    <row r="929">
      <c r="D929" s="715"/>
      <c r="E929" s="715"/>
      <c r="F929" s="715"/>
      <c r="G929" s="715"/>
      <c r="H929" s="715"/>
      <c r="AS929" s="716"/>
    </row>
    <row r="930">
      <c r="D930" s="715"/>
      <c r="E930" s="715"/>
      <c r="F930" s="715"/>
      <c r="G930" s="715"/>
      <c r="H930" s="715"/>
      <c r="AS930" s="716"/>
    </row>
    <row r="931">
      <c r="D931" s="715"/>
      <c r="E931" s="715"/>
      <c r="F931" s="715"/>
      <c r="G931" s="715"/>
      <c r="H931" s="715"/>
      <c r="AS931" s="716"/>
    </row>
    <row r="932">
      <c r="D932" s="715"/>
      <c r="E932" s="715"/>
      <c r="F932" s="715"/>
      <c r="G932" s="715"/>
      <c r="H932" s="715"/>
      <c r="AS932" s="716"/>
    </row>
    <row r="933">
      <c r="D933" s="715"/>
      <c r="E933" s="715"/>
      <c r="F933" s="715"/>
      <c r="G933" s="715"/>
      <c r="H933" s="715"/>
      <c r="AS933" s="716"/>
    </row>
    <row r="934">
      <c r="D934" s="715"/>
      <c r="E934" s="715"/>
      <c r="F934" s="715"/>
      <c r="G934" s="715"/>
      <c r="H934" s="715"/>
      <c r="AS934" s="716"/>
    </row>
    <row r="935">
      <c r="D935" s="715"/>
      <c r="E935" s="715"/>
      <c r="F935" s="715"/>
      <c r="G935" s="715"/>
      <c r="H935" s="715"/>
      <c r="AS935" s="716"/>
    </row>
    <row r="936">
      <c r="D936" s="715"/>
      <c r="E936" s="715"/>
      <c r="F936" s="715"/>
      <c r="G936" s="715"/>
      <c r="H936" s="715"/>
      <c r="AS936" s="716"/>
    </row>
    <row r="937">
      <c r="D937" s="715"/>
      <c r="E937" s="715"/>
      <c r="F937" s="715"/>
      <c r="G937" s="715"/>
      <c r="H937" s="715"/>
      <c r="AS937" s="716"/>
    </row>
    <row r="938">
      <c r="D938" s="715"/>
      <c r="E938" s="715"/>
      <c r="F938" s="715"/>
      <c r="G938" s="715"/>
      <c r="H938" s="715"/>
      <c r="AS938" s="716"/>
    </row>
    <row r="939">
      <c r="D939" s="715"/>
      <c r="E939" s="715"/>
      <c r="F939" s="715"/>
      <c r="G939" s="715"/>
      <c r="H939" s="715"/>
      <c r="AS939" s="716"/>
    </row>
    <row r="940">
      <c r="D940" s="715"/>
      <c r="E940" s="715"/>
      <c r="F940" s="715"/>
      <c r="G940" s="715"/>
      <c r="H940" s="715"/>
      <c r="AS940" s="716"/>
    </row>
    <row r="941">
      <c r="D941" s="715"/>
      <c r="E941" s="715"/>
      <c r="F941" s="715"/>
      <c r="G941" s="715"/>
      <c r="H941" s="715"/>
      <c r="AS941" s="716"/>
    </row>
    <row r="942">
      <c r="D942" s="715"/>
      <c r="E942" s="715"/>
      <c r="F942" s="715"/>
      <c r="G942" s="715"/>
      <c r="H942" s="715"/>
      <c r="AS942" s="716"/>
    </row>
    <row r="943">
      <c r="D943" s="715"/>
      <c r="E943" s="715"/>
      <c r="F943" s="715"/>
      <c r="G943" s="715"/>
      <c r="H943" s="715"/>
      <c r="AS943" s="716"/>
    </row>
    <row r="944">
      <c r="D944" s="715"/>
      <c r="E944" s="715"/>
      <c r="F944" s="715"/>
      <c r="G944" s="715"/>
      <c r="H944" s="715"/>
      <c r="AS944" s="716"/>
    </row>
    <row r="945">
      <c r="D945" s="715"/>
      <c r="E945" s="715"/>
      <c r="F945" s="715"/>
      <c r="G945" s="715"/>
      <c r="H945" s="715"/>
      <c r="AS945" s="716"/>
    </row>
    <row r="946">
      <c r="D946" s="715"/>
      <c r="E946" s="715"/>
      <c r="F946" s="715"/>
      <c r="G946" s="715"/>
      <c r="H946" s="715"/>
      <c r="AS946" s="716"/>
    </row>
    <row r="947">
      <c r="D947" s="715"/>
      <c r="E947" s="715"/>
      <c r="F947" s="715"/>
      <c r="G947" s="715"/>
      <c r="H947" s="715"/>
      <c r="AS947" s="716"/>
    </row>
    <row r="948">
      <c r="D948" s="715"/>
      <c r="E948" s="715"/>
      <c r="F948" s="715"/>
      <c r="G948" s="715"/>
      <c r="H948" s="715"/>
      <c r="AS948" s="716"/>
    </row>
    <row r="949">
      <c r="D949" s="715"/>
      <c r="E949" s="715"/>
      <c r="F949" s="715"/>
      <c r="G949" s="715"/>
      <c r="H949" s="715"/>
      <c r="AS949" s="716"/>
    </row>
    <row r="950">
      <c r="D950" s="715"/>
      <c r="E950" s="715"/>
      <c r="F950" s="715"/>
      <c r="G950" s="715"/>
      <c r="H950" s="715"/>
      <c r="AS950" s="716"/>
    </row>
    <row r="951">
      <c r="D951" s="715"/>
      <c r="E951" s="715"/>
      <c r="F951" s="715"/>
      <c r="G951" s="715"/>
      <c r="H951" s="715"/>
      <c r="AS951" s="716"/>
    </row>
    <row r="952">
      <c r="D952" s="715"/>
      <c r="E952" s="715"/>
      <c r="F952" s="715"/>
      <c r="G952" s="715"/>
      <c r="H952" s="715"/>
      <c r="AS952" s="716"/>
    </row>
    <row r="953">
      <c r="D953" s="715"/>
      <c r="E953" s="715"/>
      <c r="F953" s="715"/>
      <c r="G953" s="715"/>
      <c r="H953" s="715"/>
      <c r="AS953" s="716"/>
    </row>
    <row r="954">
      <c r="D954" s="715"/>
      <c r="E954" s="715"/>
      <c r="F954" s="715"/>
      <c r="G954" s="715"/>
      <c r="H954" s="715"/>
      <c r="AS954" s="716"/>
    </row>
    <row r="955">
      <c r="D955" s="715"/>
      <c r="E955" s="715"/>
      <c r="F955" s="715"/>
      <c r="G955" s="715"/>
      <c r="H955" s="715"/>
      <c r="AS955" s="716"/>
    </row>
    <row r="956">
      <c r="D956" s="715"/>
      <c r="E956" s="715"/>
      <c r="F956" s="715"/>
      <c r="G956" s="715"/>
      <c r="H956" s="715"/>
      <c r="AS956" s="716"/>
    </row>
    <row r="957">
      <c r="D957" s="715"/>
      <c r="E957" s="715"/>
      <c r="F957" s="715"/>
      <c r="G957" s="715"/>
      <c r="H957" s="715"/>
      <c r="AS957" s="716"/>
    </row>
    <row r="958">
      <c r="D958" s="715"/>
      <c r="E958" s="715"/>
      <c r="F958" s="715"/>
      <c r="G958" s="715"/>
      <c r="H958" s="715"/>
      <c r="AS958" s="716"/>
    </row>
    <row r="959">
      <c r="D959" s="715"/>
      <c r="E959" s="715"/>
      <c r="F959" s="715"/>
      <c r="G959" s="715"/>
      <c r="H959" s="715"/>
      <c r="AS959" s="716"/>
    </row>
    <row r="960">
      <c r="D960" s="715"/>
      <c r="E960" s="715"/>
      <c r="F960" s="715"/>
      <c r="G960" s="715"/>
      <c r="H960" s="715"/>
      <c r="AS960" s="716"/>
    </row>
    <row r="961">
      <c r="D961" s="715"/>
      <c r="E961" s="715"/>
      <c r="F961" s="715"/>
      <c r="G961" s="715"/>
      <c r="H961" s="715"/>
      <c r="AS961" s="716"/>
    </row>
    <row r="962">
      <c r="D962" s="715"/>
      <c r="E962" s="715"/>
      <c r="F962" s="715"/>
      <c r="G962" s="715"/>
      <c r="H962" s="715"/>
      <c r="AS962" s="716"/>
    </row>
    <row r="963">
      <c r="D963" s="715"/>
      <c r="E963" s="715"/>
      <c r="F963" s="715"/>
      <c r="G963" s="715"/>
      <c r="H963" s="715"/>
      <c r="AS963" s="716"/>
    </row>
    <row r="964">
      <c r="D964" s="715"/>
      <c r="E964" s="715"/>
      <c r="F964" s="715"/>
      <c r="G964" s="715"/>
      <c r="H964" s="715"/>
      <c r="AS964" s="716"/>
    </row>
    <row r="965">
      <c r="D965" s="715"/>
      <c r="E965" s="715"/>
      <c r="F965" s="715"/>
      <c r="G965" s="715"/>
      <c r="H965" s="715"/>
      <c r="AS965" s="716"/>
    </row>
    <row r="966">
      <c r="D966" s="715"/>
      <c r="E966" s="715"/>
      <c r="F966" s="715"/>
      <c r="G966" s="715"/>
      <c r="H966" s="715"/>
      <c r="AS966" s="716"/>
    </row>
    <row r="967">
      <c r="D967" s="715"/>
      <c r="E967" s="715"/>
      <c r="F967" s="715"/>
      <c r="G967" s="715"/>
      <c r="H967" s="715"/>
      <c r="AS967" s="716"/>
    </row>
    <row r="968">
      <c r="D968" s="715"/>
      <c r="E968" s="715"/>
      <c r="F968" s="715"/>
      <c r="G968" s="715"/>
      <c r="H968" s="715"/>
      <c r="AS968" s="716"/>
    </row>
    <row r="969">
      <c r="D969" s="715"/>
      <c r="E969" s="715"/>
      <c r="F969" s="715"/>
      <c r="G969" s="715"/>
      <c r="H969" s="715"/>
      <c r="AS969" s="716"/>
    </row>
    <row r="970">
      <c r="D970" s="715"/>
      <c r="E970" s="715"/>
      <c r="F970" s="715"/>
      <c r="G970" s="715"/>
      <c r="H970" s="715"/>
      <c r="AS970" s="716"/>
    </row>
    <row r="971">
      <c r="D971" s="715"/>
      <c r="E971" s="715"/>
      <c r="F971" s="715"/>
      <c r="G971" s="715"/>
      <c r="H971" s="715"/>
      <c r="AS971" s="716"/>
    </row>
    <row r="972">
      <c r="D972" s="715"/>
      <c r="E972" s="715"/>
      <c r="F972" s="715"/>
      <c r="G972" s="715"/>
      <c r="H972" s="715"/>
      <c r="AS972" s="716"/>
    </row>
    <row r="973">
      <c r="D973" s="715"/>
      <c r="E973" s="715"/>
      <c r="F973" s="715"/>
      <c r="G973" s="715"/>
      <c r="H973" s="715"/>
      <c r="AS973" s="716"/>
    </row>
    <row r="974">
      <c r="D974" s="715"/>
      <c r="E974" s="715"/>
      <c r="F974" s="715"/>
      <c r="G974" s="715"/>
      <c r="H974" s="715"/>
      <c r="AS974" s="716"/>
    </row>
    <row r="975">
      <c r="D975" s="715"/>
      <c r="E975" s="715"/>
      <c r="F975" s="715"/>
      <c r="G975" s="715"/>
      <c r="H975" s="715"/>
      <c r="AS975" s="716"/>
    </row>
    <row r="976">
      <c r="D976" s="715"/>
      <c r="E976" s="715"/>
      <c r="F976" s="715"/>
      <c r="G976" s="715"/>
      <c r="H976" s="715"/>
      <c r="AS976" s="716"/>
    </row>
    <row r="977">
      <c r="D977" s="715"/>
      <c r="E977" s="715"/>
      <c r="F977" s="715"/>
      <c r="G977" s="715"/>
      <c r="H977" s="715"/>
      <c r="AS977" s="716"/>
    </row>
    <row r="978">
      <c r="D978" s="715"/>
      <c r="E978" s="715"/>
      <c r="F978" s="715"/>
      <c r="G978" s="715"/>
      <c r="H978" s="715"/>
      <c r="AS978" s="716"/>
    </row>
    <row r="979">
      <c r="D979" s="715"/>
      <c r="E979" s="715"/>
      <c r="F979" s="715"/>
      <c r="G979" s="715"/>
      <c r="H979" s="715"/>
      <c r="AS979" s="716"/>
    </row>
    <row r="980">
      <c r="D980" s="715"/>
      <c r="E980" s="715"/>
      <c r="F980" s="715"/>
      <c r="G980" s="715"/>
      <c r="H980" s="715"/>
      <c r="AS980" s="716"/>
    </row>
    <row r="981">
      <c r="D981" s="715"/>
      <c r="E981" s="715"/>
      <c r="F981" s="715"/>
      <c r="G981" s="715"/>
      <c r="H981" s="715"/>
      <c r="AS981" s="716"/>
    </row>
    <row r="982">
      <c r="D982" s="715"/>
      <c r="E982" s="715"/>
      <c r="F982" s="715"/>
      <c r="G982" s="715"/>
      <c r="H982" s="715"/>
      <c r="AS982" s="716"/>
    </row>
    <row r="983">
      <c r="D983" s="715"/>
      <c r="E983" s="715"/>
      <c r="F983" s="715"/>
      <c r="G983" s="715"/>
      <c r="H983" s="715"/>
      <c r="AS983" s="716"/>
    </row>
    <row r="984">
      <c r="D984" s="715"/>
      <c r="E984" s="715"/>
      <c r="F984" s="715"/>
      <c r="G984" s="715"/>
      <c r="H984" s="715"/>
      <c r="AS984" s="716"/>
    </row>
    <row r="985">
      <c r="D985" s="715"/>
      <c r="E985" s="715"/>
      <c r="F985" s="715"/>
      <c r="G985" s="715"/>
      <c r="H985" s="715"/>
      <c r="AS985" s="716"/>
    </row>
    <row r="986">
      <c r="D986" s="715"/>
      <c r="E986" s="715"/>
      <c r="F986" s="715"/>
      <c r="G986" s="715"/>
      <c r="H986" s="715"/>
      <c r="AS986" s="716"/>
    </row>
    <row r="987">
      <c r="D987" s="715"/>
      <c r="E987" s="715"/>
      <c r="F987" s="715"/>
      <c r="G987" s="715"/>
      <c r="H987" s="715"/>
      <c r="AS987" s="716"/>
    </row>
    <row r="988">
      <c r="D988" s="715"/>
      <c r="E988" s="715"/>
      <c r="F988" s="715"/>
      <c r="G988" s="715"/>
      <c r="H988" s="715"/>
      <c r="AS988" s="716"/>
    </row>
    <row r="989">
      <c r="D989" s="715"/>
      <c r="E989" s="715"/>
      <c r="F989" s="715"/>
      <c r="G989" s="715"/>
      <c r="H989" s="715"/>
      <c r="AS989" s="716"/>
    </row>
    <row r="990">
      <c r="D990" s="715"/>
      <c r="E990" s="715"/>
      <c r="F990" s="715"/>
      <c r="G990" s="715"/>
      <c r="H990" s="715"/>
      <c r="AS990" s="716"/>
    </row>
    <row r="991">
      <c r="D991" s="715"/>
      <c r="E991" s="715"/>
      <c r="F991" s="715"/>
      <c r="G991" s="715"/>
      <c r="H991" s="715"/>
      <c r="AS991" s="716"/>
    </row>
    <row r="992">
      <c r="D992" s="715"/>
      <c r="E992" s="715"/>
      <c r="F992" s="715"/>
      <c r="G992" s="715"/>
      <c r="H992" s="715"/>
      <c r="AS992" s="716"/>
    </row>
    <row r="993">
      <c r="D993" s="715"/>
      <c r="E993" s="715"/>
      <c r="F993" s="715"/>
      <c r="G993" s="715"/>
      <c r="H993" s="715"/>
      <c r="AS993" s="716"/>
    </row>
    <row r="994">
      <c r="D994" s="715"/>
      <c r="E994" s="715"/>
      <c r="F994" s="715"/>
      <c r="G994" s="715"/>
      <c r="H994" s="715"/>
      <c r="AS994" s="716"/>
    </row>
    <row r="995">
      <c r="D995" s="715"/>
      <c r="E995" s="715"/>
      <c r="F995" s="715"/>
      <c r="G995" s="715"/>
      <c r="H995" s="715"/>
      <c r="AS995" s="716"/>
    </row>
    <row r="996">
      <c r="D996" s="715"/>
      <c r="E996" s="715"/>
      <c r="F996" s="715"/>
      <c r="G996" s="715"/>
      <c r="H996" s="715"/>
      <c r="AS996" s="716"/>
    </row>
    <row r="997">
      <c r="D997" s="715"/>
      <c r="E997" s="715"/>
      <c r="F997" s="715"/>
      <c r="G997" s="715"/>
      <c r="H997" s="715"/>
      <c r="AS997" s="716"/>
    </row>
    <row r="998">
      <c r="D998" s="715"/>
      <c r="E998" s="715"/>
      <c r="F998" s="715"/>
      <c r="G998" s="715"/>
      <c r="H998" s="715"/>
      <c r="AS998" s="716"/>
    </row>
    <row r="999">
      <c r="D999" s="715"/>
      <c r="E999" s="715"/>
      <c r="F999" s="715"/>
      <c r="G999" s="715"/>
      <c r="H999" s="715"/>
      <c r="AS999" s="716"/>
    </row>
    <row r="1000">
      <c r="D1000" s="715"/>
      <c r="E1000" s="715"/>
      <c r="F1000" s="715"/>
      <c r="G1000" s="715"/>
      <c r="H1000" s="715"/>
      <c r="AS1000" s="716"/>
    </row>
    <row r="1001">
      <c r="D1001" s="715"/>
      <c r="E1001" s="715"/>
      <c r="F1001" s="715"/>
      <c r="G1001" s="715"/>
      <c r="H1001" s="715"/>
      <c r="AS1001" s="716"/>
    </row>
    <row r="1002">
      <c r="D1002" s="715"/>
      <c r="E1002" s="715"/>
      <c r="F1002" s="715"/>
      <c r="G1002" s="715"/>
      <c r="H1002" s="715"/>
      <c r="AS1002" s="716"/>
    </row>
    <row r="1003">
      <c r="D1003" s="715"/>
      <c r="E1003" s="715"/>
      <c r="F1003" s="715"/>
      <c r="G1003" s="715"/>
      <c r="H1003" s="715"/>
      <c r="AS1003" s="716"/>
    </row>
    <row r="1004">
      <c r="D1004" s="715"/>
      <c r="E1004" s="715"/>
      <c r="F1004" s="715"/>
      <c r="G1004" s="715"/>
      <c r="H1004" s="715"/>
      <c r="AS1004" s="716"/>
    </row>
    <row r="1005">
      <c r="D1005" s="715"/>
      <c r="E1005" s="715"/>
      <c r="F1005" s="715"/>
      <c r="G1005" s="715"/>
      <c r="H1005" s="715"/>
      <c r="AS1005" s="716"/>
    </row>
    <row r="1006">
      <c r="D1006" s="715"/>
      <c r="E1006" s="715"/>
      <c r="F1006" s="715"/>
      <c r="G1006" s="715"/>
      <c r="H1006" s="715"/>
      <c r="AS1006" s="716"/>
    </row>
    <row r="1007">
      <c r="D1007" s="715"/>
      <c r="E1007" s="715"/>
      <c r="F1007" s="715"/>
      <c r="G1007" s="715"/>
      <c r="H1007" s="715"/>
      <c r="AS1007" s="716"/>
    </row>
    <row r="1008">
      <c r="D1008" s="715"/>
      <c r="E1008" s="715"/>
      <c r="F1008" s="715"/>
      <c r="G1008" s="715"/>
      <c r="H1008" s="715"/>
      <c r="AS1008" s="716"/>
    </row>
    <row r="1009">
      <c r="D1009" s="715"/>
      <c r="E1009" s="715"/>
      <c r="F1009" s="715"/>
      <c r="G1009" s="715"/>
      <c r="H1009" s="715"/>
      <c r="AS1009" s="716"/>
    </row>
    <row r="1010">
      <c r="D1010" s="715"/>
      <c r="E1010" s="715"/>
      <c r="F1010" s="715"/>
      <c r="G1010" s="715"/>
      <c r="H1010" s="715"/>
      <c r="AS1010" s="716"/>
    </row>
    <row r="1011">
      <c r="D1011" s="715"/>
      <c r="E1011" s="715"/>
      <c r="F1011" s="715"/>
      <c r="G1011" s="715"/>
      <c r="H1011" s="715"/>
      <c r="AS1011" s="716"/>
    </row>
    <row r="1012">
      <c r="D1012" s="715"/>
      <c r="E1012" s="715"/>
      <c r="F1012" s="715"/>
      <c r="G1012" s="715"/>
      <c r="H1012" s="715"/>
      <c r="AS1012" s="716"/>
    </row>
    <row r="1013">
      <c r="D1013" s="715"/>
      <c r="E1013" s="715"/>
      <c r="F1013" s="715"/>
      <c r="G1013" s="715"/>
      <c r="H1013" s="715"/>
      <c r="AS1013" s="716"/>
    </row>
    <row r="1014">
      <c r="D1014" s="715"/>
      <c r="E1014" s="715"/>
      <c r="F1014" s="715"/>
      <c r="G1014" s="715"/>
      <c r="H1014" s="715"/>
      <c r="AS1014" s="716"/>
    </row>
    <row r="1015">
      <c r="D1015" s="715"/>
      <c r="E1015" s="715"/>
      <c r="F1015" s="715"/>
      <c r="G1015" s="715"/>
      <c r="H1015" s="715"/>
      <c r="AS1015" s="716"/>
    </row>
    <row r="1016">
      <c r="D1016" s="715"/>
      <c r="E1016" s="715"/>
      <c r="F1016" s="715"/>
      <c r="G1016" s="715"/>
      <c r="H1016" s="715"/>
      <c r="AS1016" s="716"/>
    </row>
    <row r="1017">
      <c r="D1017" s="715"/>
      <c r="E1017" s="715"/>
      <c r="F1017" s="715"/>
      <c r="G1017" s="715"/>
      <c r="H1017" s="715"/>
      <c r="AS1017" s="716"/>
    </row>
    <row r="1018">
      <c r="D1018" s="715"/>
      <c r="E1018" s="715"/>
      <c r="F1018" s="715"/>
      <c r="G1018" s="715"/>
      <c r="H1018" s="715"/>
      <c r="AS1018" s="716"/>
    </row>
    <row r="1019">
      <c r="D1019" s="715"/>
      <c r="E1019" s="715"/>
      <c r="F1019" s="715"/>
      <c r="G1019" s="715"/>
      <c r="H1019" s="715"/>
      <c r="AS1019" s="716"/>
    </row>
    <row r="1020">
      <c r="D1020" s="715"/>
      <c r="E1020" s="715"/>
      <c r="F1020" s="715"/>
      <c r="G1020" s="715"/>
      <c r="H1020" s="715"/>
      <c r="AS1020" s="716"/>
    </row>
    <row r="1021">
      <c r="D1021" s="715"/>
      <c r="E1021" s="715"/>
      <c r="F1021" s="715"/>
      <c r="G1021" s="715"/>
      <c r="H1021" s="715"/>
      <c r="AS1021" s="716"/>
    </row>
    <row r="1022">
      <c r="D1022" s="715"/>
      <c r="E1022" s="715"/>
      <c r="F1022" s="715"/>
      <c r="G1022" s="715"/>
      <c r="H1022" s="715"/>
      <c r="AS1022" s="716"/>
    </row>
    <row r="1023">
      <c r="D1023" s="715"/>
      <c r="E1023" s="715"/>
      <c r="F1023" s="715"/>
      <c r="G1023" s="715"/>
      <c r="H1023" s="715"/>
      <c r="AS1023" s="716"/>
    </row>
    <row r="1024">
      <c r="D1024" s="715"/>
      <c r="E1024" s="715"/>
      <c r="F1024" s="715"/>
      <c r="G1024" s="715"/>
      <c r="H1024" s="715"/>
      <c r="AS1024" s="716"/>
    </row>
    <row r="1025">
      <c r="D1025" s="715"/>
      <c r="E1025" s="715"/>
      <c r="F1025" s="715"/>
      <c r="G1025" s="715"/>
      <c r="H1025" s="715"/>
      <c r="AS1025" s="716"/>
    </row>
    <row r="1026">
      <c r="D1026" s="715"/>
      <c r="E1026" s="715"/>
      <c r="F1026" s="715"/>
      <c r="G1026" s="715"/>
      <c r="H1026" s="715"/>
      <c r="AS1026" s="716"/>
    </row>
    <row r="1027">
      <c r="D1027" s="715"/>
      <c r="E1027" s="715"/>
      <c r="F1027" s="715"/>
      <c r="G1027" s="715"/>
      <c r="H1027" s="715"/>
      <c r="AS1027" s="716"/>
    </row>
    <row r="1028">
      <c r="D1028" s="715"/>
      <c r="E1028" s="715"/>
      <c r="F1028" s="715"/>
      <c r="G1028" s="715"/>
      <c r="H1028" s="715"/>
      <c r="AS1028" s="716"/>
    </row>
    <row r="1029">
      <c r="D1029" s="715"/>
      <c r="E1029" s="715"/>
      <c r="F1029" s="715"/>
      <c r="G1029" s="715"/>
      <c r="H1029" s="715"/>
      <c r="AS1029" s="716"/>
    </row>
    <row r="1030">
      <c r="D1030" s="715"/>
      <c r="E1030" s="715"/>
      <c r="F1030" s="715"/>
      <c r="G1030" s="715"/>
      <c r="H1030" s="715"/>
      <c r="AS1030" s="716"/>
    </row>
    <row r="1031">
      <c r="D1031" s="715"/>
      <c r="E1031" s="715"/>
      <c r="F1031" s="715"/>
      <c r="G1031" s="715"/>
      <c r="H1031" s="715"/>
      <c r="AS1031" s="716"/>
    </row>
    <row r="1032">
      <c r="D1032" s="715"/>
      <c r="E1032" s="715"/>
      <c r="F1032" s="715"/>
      <c r="G1032" s="715"/>
      <c r="H1032" s="715"/>
      <c r="AS1032" s="716"/>
    </row>
    <row r="1033">
      <c r="D1033" s="715"/>
      <c r="E1033" s="715"/>
      <c r="F1033" s="715"/>
      <c r="G1033" s="715"/>
      <c r="H1033" s="715"/>
      <c r="AS1033" s="716"/>
    </row>
    <row r="1034">
      <c r="D1034" s="715"/>
      <c r="E1034" s="715"/>
      <c r="F1034" s="715"/>
      <c r="G1034" s="715"/>
      <c r="H1034" s="715"/>
      <c r="AS1034" s="716"/>
    </row>
    <row r="1035">
      <c r="D1035" s="715"/>
      <c r="E1035" s="715"/>
      <c r="F1035" s="715"/>
      <c r="G1035" s="715"/>
      <c r="H1035" s="715"/>
      <c r="AS1035" s="716"/>
    </row>
    <row r="1036">
      <c r="D1036" s="715"/>
      <c r="E1036" s="715"/>
      <c r="F1036" s="715"/>
      <c r="G1036" s="715"/>
      <c r="H1036" s="715"/>
      <c r="AS1036" s="716"/>
    </row>
    <row r="1037">
      <c r="D1037" s="715"/>
      <c r="E1037" s="715"/>
      <c r="F1037" s="715"/>
      <c r="G1037" s="715"/>
      <c r="H1037" s="715"/>
      <c r="AS1037" s="716"/>
    </row>
    <row r="1038">
      <c r="D1038" s="715"/>
      <c r="E1038" s="715"/>
      <c r="F1038" s="715"/>
      <c r="G1038" s="715"/>
      <c r="H1038" s="715"/>
      <c r="AS1038" s="716"/>
    </row>
    <row r="1039">
      <c r="D1039" s="715"/>
      <c r="E1039" s="715"/>
      <c r="F1039" s="715"/>
      <c r="G1039" s="715"/>
      <c r="H1039" s="715"/>
      <c r="AS1039" s="716"/>
    </row>
    <row r="1040">
      <c r="D1040" s="715"/>
      <c r="E1040" s="715"/>
      <c r="F1040" s="715"/>
      <c r="G1040" s="715"/>
      <c r="H1040" s="715"/>
      <c r="AS1040" s="716"/>
    </row>
    <row r="1041">
      <c r="D1041" s="715"/>
      <c r="E1041" s="715"/>
      <c r="F1041" s="715"/>
      <c r="G1041" s="715"/>
      <c r="H1041" s="715"/>
      <c r="AS1041" s="716"/>
    </row>
    <row r="1042">
      <c r="D1042" s="715"/>
      <c r="E1042" s="715"/>
      <c r="F1042" s="715"/>
      <c r="G1042" s="715"/>
      <c r="H1042" s="715"/>
      <c r="AS1042" s="716"/>
    </row>
    <row r="1043">
      <c r="D1043" s="715"/>
      <c r="E1043" s="715"/>
      <c r="F1043" s="715"/>
      <c r="G1043" s="715"/>
      <c r="H1043" s="715"/>
      <c r="AS1043" s="716"/>
    </row>
    <row r="1044">
      <c r="D1044" s="715"/>
      <c r="E1044" s="715"/>
      <c r="F1044" s="715"/>
      <c r="G1044" s="715"/>
      <c r="H1044" s="715"/>
      <c r="AS1044" s="716"/>
    </row>
    <row r="1045">
      <c r="D1045" s="715"/>
      <c r="E1045" s="715"/>
      <c r="F1045" s="715"/>
      <c r="G1045" s="715"/>
      <c r="H1045" s="715"/>
      <c r="AS1045" s="716"/>
    </row>
    <row r="1046">
      <c r="D1046" s="715"/>
      <c r="E1046" s="715"/>
      <c r="F1046" s="715"/>
      <c r="G1046" s="715"/>
      <c r="H1046" s="715"/>
      <c r="AS1046" s="716"/>
    </row>
    <row r="1047">
      <c r="D1047" s="715"/>
      <c r="E1047" s="715"/>
      <c r="F1047" s="715"/>
      <c r="G1047" s="715"/>
      <c r="H1047" s="715"/>
      <c r="AS1047" s="716"/>
    </row>
    <row r="1048">
      <c r="D1048" s="715"/>
      <c r="E1048" s="715"/>
      <c r="F1048" s="715"/>
      <c r="G1048" s="715"/>
      <c r="H1048" s="715"/>
      <c r="AS1048" s="716"/>
    </row>
    <row r="1049">
      <c r="D1049" s="715"/>
      <c r="E1049" s="715"/>
      <c r="F1049" s="715"/>
      <c r="G1049" s="715"/>
      <c r="H1049" s="715"/>
      <c r="AS1049" s="716"/>
    </row>
    <row r="1050">
      <c r="D1050" s="715"/>
      <c r="E1050" s="715"/>
      <c r="F1050" s="715"/>
      <c r="G1050" s="715"/>
      <c r="H1050" s="715"/>
      <c r="AS1050" s="716"/>
    </row>
    <row r="1051">
      <c r="D1051" s="715"/>
      <c r="E1051" s="715"/>
      <c r="F1051" s="715"/>
      <c r="G1051" s="715"/>
      <c r="H1051" s="715"/>
      <c r="AS1051" s="716"/>
    </row>
    <row r="1052">
      <c r="D1052" s="715"/>
      <c r="E1052" s="715"/>
      <c r="F1052" s="715"/>
      <c r="G1052" s="715"/>
      <c r="H1052" s="715"/>
      <c r="AS1052" s="716"/>
    </row>
    <row r="1053">
      <c r="D1053" s="715"/>
      <c r="E1053" s="715"/>
      <c r="F1053" s="715"/>
      <c r="G1053" s="715"/>
      <c r="H1053" s="715"/>
      <c r="AS1053" s="716"/>
    </row>
    <row r="1054">
      <c r="D1054" s="715"/>
      <c r="E1054" s="715"/>
      <c r="F1054" s="715"/>
      <c r="G1054" s="715"/>
      <c r="H1054" s="715"/>
      <c r="AS1054" s="716"/>
    </row>
    <row r="1055">
      <c r="D1055" s="715"/>
      <c r="E1055" s="715"/>
      <c r="F1055" s="715"/>
      <c r="G1055" s="715"/>
      <c r="H1055" s="715"/>
      <c r="AS1055" s="716"/>
    </row>
    <row r="1056">
      <c r="D1056" s="715"/>
      <c r="E1056" s="715"/>
      <c r="F1056" s="715"/>
      <c r="G1056" s="715"/>
      <c r="H1056" s="715"/>
      <c r="AS1056" s="716"/>
    </row>
    <row r="1057">
      <c r="D1057" s="715"/>
      <c r="E1057" s="715"/>
      <c r="F1057" s="715"/>
      <c r="G1057" s="715"/>
      <c r="H1057" s="715"/>
      <c r="AS1057" s="716"/>
    </row>
    <row r="1058">
      <c r="D1058" s="715"/>
      <c r="E1058" s="715"/>
      <c r="F1058" s="715"/>
      <c r="G1058" s="715"/>
      <c r="H1058" s="715"/>
      <c r="AS1058" s="716"/>
    </row>
    <row r="1059">
      <c r="D1059" s="715"/>
      <c r="E1059" s="715"/>
      <c r="F1059" s="715"/>
      <c r="G1059" s="715"/>
      <c r="H1059" s="715"/>
      <c r="AS1059" s="716"/>
    </row>
    <row r="1060">
      <c r="D1060" s="715"/>
      <c r="E1060" s="715"/>
      <c r="F1060" s="715"/>
      <c r="G1060" s="715"/>
      <c r="H1060" s="715"/>
      <c r="AS1060" s="716"/>
    </row>
    <row r="1061">
      <c r="D1061" s="715"/>
      <c r="E1061" s="715"/>
      <c r="F1061" s="715"/>
      <c r="G1061" s="715"/>
      <c r="H1061" s="715"/>
      <c r="AS1061" s="716"/>
    </row>
    <row r="1062">
      <c r="D1062" s="715"/>
      <c r="E1062" s="715"/>
      <c r="F1062" s="715"/>
      <c r="G1062" s="715"/>
      <c r="H1062" s="715"/>
      <c r="AS1062" s="716"/>
    </row>
    <row r="1063">
      <c r="D1063" s="715"/>
      <c r="E1063" s="715"/>
      <c r="F1063" s="715"/>
      <c r="G1063" s="715"/>
      <c r="H1063" s="715"/>
      <c r="AS1063" s="716"/>
    </row>
    <row r="1064">
      <c r="D1064" s="715"/>
      <c r="E1064" s="715"/>
      <c r="F1064" s="715"/>
      <c r="G1064" s="715"/>
      <c r="H1064" s="715"/>
      <c r="AS1064" s="716"/>
    </row>
    <row r="1065">
      <c r="D1065" s="715"/>
      <c r="E1065" s="715"/>
      <c r="F1065" s="715"/>
      <c r="G1065" s="715"/>
      <c r="H1065" s="715"/>
      <c r="AS1065" s="716"/>
    </row>
    <row r="1066">
      <c r="D1066" s="715"/>
      <c r="E1066" s="715"/>
      <c r="F1066" s="715"/>
      <c r="G1066" s="715"/>
      <c r="H1066" s="715"/>
      <c r="AS1066" s="716"/>
    </row>
    <row r="1067">
      <c r="D1067" s="715"/>
      <c r="E1067" s="715"/>
      <c r="F1067" s="715"/>
      <c r="G1067" s="715"/>
      <c r="H1067" s="715"/>
      <c r="AS1067" s="716"/>
    </row>
    <row r="1068">
      <c r="D1068" s="715"/>
      <c r="E1068" s="715"/>
      <c r="F1068" s="715"/>
      <c r="G1068" s="715"/>
      <c r="H1068" s="715"/>
      <c r="AS1068" s="716"/>
    </row>
    <row r="1069">
      <c r="D1069" s="715"/>
      <c r="E1069" s="715"/>
      <c r="F1069" s="715"/>
      <c r="G1069" s="715"/>
      <c r="H1069" s="715"/>
      <c r="AS1069" s="716"/>
    </row>
    <row r="1070">
      <c r="D1070" s="715"/>
      <c r="E1070" s="715"/>
      <c r="F1070" s="715"/>
      <c r="G1070" s="715"/>
      <c r="H1070" s="715"/>
      <c r="AS1070" s="716"/>
    </row>
    <row r="1071">
      <c r="D1071" s="715"/>
      <c r="E1071" s="715"/>
      <c r="F1071" s="715"/>
      <c r="G1071" s="715"/>
      <c r="H1071" s="715"/>
      <c r="AS1071" s="716"/>
    </row>
    <row r="1072">
      <c r="D1072" s="715"/>
      <c r="E1072" s="715"/>
      <c r="F1072" s="715"/>
      <c r="G1072" s="715"/>
      <c r="H1072" s="715"/>
      <c r="AS1072" s="716"/>
    </row>
    <row r="1073">
      <c r="D1073" s="715"/>
      <c r="E1073" s="715"/>
      <c r="F1073" s="715"/>
      <c r="G1073" s="715"/>
      <c r="H1073" s="715"/>
      <c r="AS1073" s="716"/>
    </row>
    <row r="1074">
      <c r="D1074" s="715"/>
      <c r="E1074" s="715"/>
      <c r="F1074" s="715"/>
      <c r="G1074" s="715"/>
      <c r="H1074" s="715"/>
      <c r="AS1074" s="716"/>
    </row>
    <row r="1075">
      <c r="D1075" s="715"/>
      <c r="E1075" s="715"/>
      <c r="F1075" s="715"/>
      <c r="G1075" s="715"/>
      <c r="H1075" s="715"/>
      <c r="AS1075" s="716"/>
    </row>
    <row r="1076">
      <c r="D1076" s="715"/>
      <c r="E1076" s="715"/>
      <c r="F1076" s="715"/>
      <c r="G1076" s="715"/>
      <c r="H1076" s="715"/>
      <c r="AS1076" s="716"/>
    </row>
    <row r="1077">
      <c r="D1077" s="715"/>
      <c r="E1077" s="715"/>
      <c r="F1077" s="715"/>
      <c r="G1077" s="715"/>
      <c r="H1077" s="715"/>
      <c r="AS1077" s="716"/>
    </row>
    <row r="1078">
      <c r="D1078" s="715"/>
      <c r="E1078" s="715"/>
      <c r="F1078" s="715"/>
      <c r="G1078" s="715"/>
      <c r="H1078" s="715"/>
      <c r="AS1078" s="716"/>
    </row>
    <row r="1079">
      <c r="D1079" s="715"/>
      <c r="E1079" s="715"/>
      <c r="F1079" s="715"/>
      <c r="G1079" s="715"/>
      <c r="H1079" s="715"/>
      <c r="AS1079" s="716"/>
    </row>
    <row r="1080">
      <c r="D1080" s="715"/>
      <c r="E1080" s="715"/>
      <c r="F1080" s="715"/>
      <c r="G1080" s="715"/>
      <c r="H1080" s="715"/>
      <c r="AS1080" s="716"/>
    </row>
    <row r="1081">
      <c r="D1081" s="715"/>
      <c r="E1081" s="715"/>
      <c r="F1081" s="715"/>
      <c r="G1081" s="715"/>
      <c r="H1081" s="715"/>
      <c r="AS1081" s="716"/>
    </row>
    <row r="1082">
      <c r="D1082" s="715"/>
      <c r="E1082" s="715"/>
      <c r="F1082" s="715"/>
      <c r="G1082" s="715"/>
      <c r="H1082" s="715"/>
      <c r="AS1082" s="716"/>
    </row>
    <row r="1083">
      <c r="D1083" s="715"/>
      <c r="E1083" s="715"/>
      <c r="F1083" s="715"/>
      <c r="G1083" s="715"/>
      <c r="H1083" s="715"/>
      <c r="AS1083" s="716"/>
    </row>
    <row r="1084">
      <c r="D1084" s="715"/>
      <c r="E1084" s="715"/>
      <c r="F1084" s="715"/>
      <c r="G1084" s="715"/>
      <c r="H1084" s="715"/>
      <c r="AS1084" s="716"/>
    </row>
    <row r="1085">
      <c r="D1085" s="715"/>
      <c r="E1085" s="715"/>
      <c r="F1085" s="715"/>
      <c r="G1085" s="715"/>
      <c r="H1085" s="715"/>
      <c r="AS1085" s="716"/>
    </row>
    <row r="1086">
      <c r="D1086" s="715"/>
      <c r="E1086" s="715"/>
      <c r="F1086" s="715"/>
      <c r="G1086" s="715"/>
      <c r="H1086" s="715"/>
      <c r="AS1086" s="716"/>
    </row>
    <row r="1087">
      <c r="D1087" s="715"/>
      <c r="E1087" s="715"/>
      <c r="F1087" s="715"/>
      <c r="G1087" s="715"/>
      <c r="H1087" s="715"/>
      <c r="AS1087" s="716"/>
    </row>
    <row r="1088">
      <c r="D1088" s="715"/>
      <c r="E1088" s="715"/>
      <c r="F1088" s="715"/>
      <c r="G1088" s="715"/>
      <c r="H1088" s="715"/>
      <c r="AS1088" s="716"/>
    </row>
    <row r="1089">
      <c r="D1089" s="715"/>
      <c r="E1089" s="715"/>
      <c r="F1089" s="715"/>
      <c r="G1089" s="715"/>
      <c r="H1089" s="715"/>
      <c r="AS1089" s="716"/>
    </row>
    <row r="1090">
      <c r="D1090" s="715"/>
      <c r="E1090" s="715"/>
      <c r="F1090" s="715"/>
      <c r="G1090" s="715"/>
      <c r="H1090" s="715"/>
      <c r="AS1090" s="716"/>
    </row>
    <row r="1091">
      <c r="D1091" s="715"/>
      <c r="E1091" s="715"/>
      <c r="F1091" s="715"/>
      <c r="G1091" s="715"/>
      <c r="H1091" s="715"/>
      <c r="AS1091" s="716"/>
    </row>
    <row r="1092">
      <c r="D1092" s="715"/>
      <c r="E1092" s="715"/>
      <c r="F1092" s="715"/>
      <c r="G1092" s="715"/>
      <c r="H1092" s="715"/>
      <c r="AS1092" s="716"/>
    </row>
    <row r="1093">
      <c r="D1093" s="715"/>
      <c r="E1093" s="715"/>
      <c r="F1093" s="715"/>
      <c r="G1093" s="715"/>
      <c r="H1093" s="715"/>
      <c r="AS1093" s="716"/>
    </row>
    <row r="1094">
      <c r="D1094" s="715"/>
      <c r="E1094" s="715"/>
      <c r="F1094" s="715"/>
      <c r="G1094" s="715"/>
      <c r="H1094" s="715"/>
      <c r="AS1094" s="716"/>
    </row>
    <row r="1095">
      <c r="D1095" s="715"/>
      <c r="E1095" s="715"/>
      <c r="F1095" s="715"/>
      <c r="G1095" s="715"/>
      <c r="H1095" s="715"/>
      <c r="AS1095" s="716"/>
    </row>
    <row r="1096">
      <c r="D1096" s="715"/>
      <c r="E1096" s="715"/>
      <c r="F1096" s="715"/>
      <c r="G1096" s="715"/>
      <c r="H1096" s="715"/>
      <c r="AS1096" s="716"/>
    </row>
    <row r="1097">
      <c r="D1097" s="715"/>
      <c r="E1097" s="715"/>
      <c r="F1097" s="715"/>
      <c r="G1097" s="715"/>
      <c r="H1097" s="715"/>
      <c r="AS1097" s="716"/>
    </row>
    <row r="1098">
      <c r="D1098" s="715"/>
      <c r="E1098" s="715"/>
      <c r="F1098" s="715"/>
      <c r="G1098" s="715"/>
      <c r="H1098" s="715"/>
      <c r="AS1098" s="716"/>
    </row>
    <row r="1099">
      <c r="D1099" s="715"/>
      <c r="E1099" s="715"/>
      <c r="F1099" s="715"/>
      <c r="G1099" s="715"/>
      <c r="H1099" s="715"/>
      <c r="AS1099" s="716"/>
    </row>
    <row r="1100">
      <c r="D1100" s="715"/>
      <c r="E1100" s="715"/>
      <c r="F1100" s="715"/>
      <c r="G1100" s="715"/>
      <c r="H1100" s="715"/>
      <c r="AS1100" s="716"/>
    </row>
    <row r="1101">
      <c r="D1101" s="715"/>
      <c r="E1101" s="715"/>
      <c r="F1101" s="715"/>
      <c r="G1101" s="715"/>
      <c r="H1101" s="715"/>
      <c r="AS1101" s="716"/>
    </row>
    <row r="1102">
      <c r="D1102" s="715"/>
      <c r="E1102" s="715"/>
      <c r="F1102" s="715"/>
      <c r="G1102" s="715"/>
      <c r="H1102" s="715"/>
      <c r="AS1102" s="716"/>
    </row>
    <row r="1103">
      <c r="D1103" s="715"/>
      <c r="E1103" s="715"/>
      <c r="F1103" s="715"/>
      <c r="G1103" s="715"/>
      <c r="H1103" s="715"/>
      <c r="AS1103" s="716"/>
    </row>
    <row r="1104">
      <c r="D1104" s="715"/>
      <c r="E1104" s="715"/>
      <c r="F1104" s="715"/>
      <c r="G1104" s="715"/>
      <c r="H1104" s="715"/>
      <c r="AS1104" s="716"/>
    </row>
    <row r="1105">
      <c r="D1105" s="715"/>
      <c r="E1105" s="715"/>
      <c r="F1105" s="715"/>
      <c r="G1105" s="715"/>
      <c r="H1105" s="715"/>
      <c r="AS1105" s="716"/>
    </row>
    <row r="1106">
      <c r="D1106" s="715"/>
      <c r="E1106" s="715"/>
      <c r="F1106" s="715"/>
      <c r="G1106" s="715"/>
      <c r="H1106" s="715"/>
      <c r="AS1106" s="716"/>
    </row>
    <row r="1107">
      <c r="D1107" s="715"/>
      <c r="E1107" s="715"/>
      <c r="F1107" s="715"/>
      <c r="G1107" s="715"/>
      <c r="H1107" s="715"/>
      <c r="AS1107" s="716"/>
    </row>
    <row r="1108">
      <c r="D1108" s="715"/>
      <c r="E1108" s="715"/>
      <c r="F1108" s="715"/>
      <c r="G1108" s="715"/>
      <c r="H1108" s="715"/>
      <c r="AS1108" s="716"/>
    </row>
    <row r="1109">
      <c r="D1109" s="715"/>
      <c r="E1109" s="715"/>
      <c r="F1109" s="715"/>
      <c r="G1109" s="715"/>
      <c r="H1109" s="715"/>
      <c r="AS1109" s="716"/>
    </row>
    <row r="1110">
      <c r="D1110" s="715"/>
      <c r="E1110" s="715"/>
      <c r="F1110" s="715"/>
      <c r="G1110" s="715"/>
      <c r="H1110" s="715"/>
      <c r="AS1110" s="716"/>
    </row>
    <row r="1111">
      <c r="D1111" s="715"/>
      <c r="E1111" s="715"/>
      <c r="F1111" s="715"/>
      <c r="G1111" s="715"/>
      <c r="H1111" s="715"/>
      <c r="AS1111" s="716"/>
    </row>
    <row r="1112">
      <c r="D1112" s="715"/>
      <c r="E1112" s="715"/>
      <c r="F1112" s="715"/>
      <c r="G1112" s="715"/>
      <c r="H1112" s="715"/>
      <c r="AS1112" s="716"/>
    </row>
    <row r="1113">
      <c r="D1113" s="715"/>
      <c r="E1113" s="715"/>
      <c r="F1113" s="715"/>
      <c r="G1113" s="715"/>
      <c r="H1113" s="715"/>
      <c r="AS1113" s="716"/>
    </row>
    <row r="1114">
      <c r="D1114" s="715"/>
      <c r="E1114" s="715"/>
      <c r="F1114" s="715"/>
      <c r="G1114" s="715"/>
      <c r="H1114" s="715"/>
      <c r="AS1114" s="716"/>
    </row>
    <row r="1115">
      <c r="D1115" s="715"/>
      <c r="E1115" s="715"/>
      <c r="F1115" s="715"/>
      <c r="G1115" s="715"/>
      <c r="H1115" s="715"/>
      <c r="AS1115" s="716"/>
    </row>
    <row r="1116">
      <c r="D1116" s="715"/>
      <c r="E1116" s="715"/>
      <c r="F1116" s="715"/>
      <c r="G1116" s="715"/>
      <c r="H1116" s="715"/>
      <c r="AS1116" s="716"/>
    </row>
    <row r="1117">
      <c r="D1117" s="715"/>
      <c r="E1117" s="715"/>
      <c r="F1117" s="715"/>
      <c r="G1117" s="715"/>
      <c r="H1117" s="715"/>
      <c r="AS1117" s="716"/>
    </row>
    <row r="1118">
      <c r="D1118" s="715"/>
      <c r="E1118" s="715"/>
      <c r="F1118" s="715"/>
      <c r="G1118" s="715"/>
      <c r="H1118" s="715"/>
      <c r="AS1118" s="716"/>
    </row>
    <row r="1119">
      <c r="D1119" s="715"/>
      <c r="E1119" s="715"/>
      <c r="F1119" s="715"/>
      <c r="G1119" s="715"/>
      <c r="H1119" s="715"/>
      <c r="AS1119" s="716"/>
    </row>
    <row r="1120">
      <c r="D1120" s="715"/>
      <c r="E1120" s="715"/>
      <c r="F1120" s="715"/>
      <c r="G1120" s="715"/>
      <c r="H1120" s="715"/>
      <c r="AS1120" s="716"/>
    </row>
    <row r="1121">
      <c r="D1121" s="715"/>
      <c r="E1121" s="715"/>
      <c r="F1121" s="715"/>
      <c r="G1121" s="715"/>
      <c r="H1121" s="715"/>
      <c r="AS1121" s="716"/>
    </row>
    <row r="1122">
      <c r="D1122" s="715"/>
      <c r="E1122" s="715"/>
      <c r="F1122" s="715"/>
      <c r="G1122" s="715"/>
      <c r="H1122" s="715"/>
      <c r="AS1122" s="716"/>
    </row>
    <row r="1123">
      <c r="D1123" s="715"/>
      <c r="E1123" s="715"/>
      <c r="F1123" s="715"/>
      <c r="G1123" s="715"/>
      <c r="H1123" s="715"/>
      <c r="AS1123" s="716"/>
    </row>
    <row r="1124">
      <c r="D1124" s="715"/>
      <c r="E1124" s="715"/>
      <c r="F1124" s="715"/>
      <c r="G1124" s="715"/>
      <c r="H1124" s="715"/>
      <c r="AS1124" s="716"/>
    </row>
    <row r="1125">
      <c r="D1125" s="715"/>
      <c r="E1125" s="715"/>
      <c r="F1125" s="715"/>
      <c r="G1125" s="715"/>
      <c r="H1125" s="715"/>
      <c r="AS1125" s="716"/>
    </row>
    <row r="1126">
      <c r="D1126" s="715"/>
      <c r="E1126" s="715"/>
      <c r="F1126" s="715"/>
      <c r="G1126" s="715"/>
      <c r="H1126" s="715"/>
      <c r="AS1126" s="716"/>
    </row>
    <row r="1127">
      <c r="D1127" s="715"/>
      <c r="E1127" s="715"/>
      <c r="F1127" s="715"/>
      <c r="G1127" s="715"/>
      <c r="H1127" s="715"/>
      <c r="AS1127" s="716"/>
    </row>
    <row r="1128">
      <c r="D1128" s="715"/>
      <c r="E1128" s="715"/>
      <c r="F1128" s="715"/>
      <c r="G1128" s="715"/>
      <c r="H1128" s="715"/>
      <c r="AS1128" s="716"/>
    </row>
    <row r="1129">
      <c r="D1129" s="715"/>
      <c r="E1129" s="715"/>
      <c r="F1129" s="715"/>
      <c r="G1129" s="715"/>
      <c r="H1129" s="715"/>
      <c r="AS1129" s="716"/>
    </row>
    <row r="1130">
      <c r="D1130" s="715"/>
      <c r="E1130" s="715"/>
      <c r="F1130" s="715"/>
      <c r="G1130" s="715"/>
      <c r="H1130" s="715"/>
      <c r="AS1130" s="716"/>
    </row>
    <row r="1131">
      <c r="D1131" s="715"/>
      <c r="E1131" s="715"/>
      <c r="F1131" s="715"/>
      <c r="G1131" s="715"/>
      <c r="H1131" s="715"/>
      <c r="AS1131" s="716"/>
    </row>
    <row r="1132">
      <c r="D1132" s="715"/>
      <c r="E1132" s="715"/>
      <c r="F1132" s="715"/>
      <c r="G1132" s="715"/>
      <c r="H1132" s="715"/>
      <c r="AS1132" s="716"/>
    </row>
    <row r="1133">
      <c r="D1133" s="715"/>
      <c r="E1133" s="715"/>
      <c r="F1133" s="715"/>
      <c r="G1133" s="715"/>
      <c r="H1133" s="715"/>
      <c r="AS1133" s="716"/>
    </row>
    <row r="1134">
      <c r="D1134" s="715"/>
      <c r="E1134" s="715"/>
      <c r="F1134" s="715"/>
      <c r="G1134" s="715"/>
      <c r="H1134" s="715"/>
      <c r="AS1134" s="716"/>
    </row>
    <row r="1135">
      <c r="D1135" s="715"/>
      <c r="E1135" s="715"/>
      <c r="F1135" s="715"/>
      <c r="G1135" s="715"/>
      <c r="H1135" s="715"/>
      <c r="AS1135" s="716"/>
    </row>
    <row r="1136">
      <c r="D1136" s="715"/>
      <c r="E1136" s="715"/>
      <c r="F1136" s="715"/>
      <c r="G1136" s="715"/>
      <c r="H1136" s="715"/>
      <c r="AS1136" s="716"/>
    </row>
    <row r="1137">
      <c r="D1137" s="715"/>
      <c r="E1137" s="715"/>
      <c r="F1137" s="715"/>
      <c r="G1137" s="715"/>
      <c r="H1137" s="715"/>
      <c r="AS1137" s="716"/>
    </row>
    <row r="1138">
      <c r="D1138" s="715"/>
      <c r="E1138" s="715"/>
      <c r="F1138" s="715"/>
      <c r="G1138" s="715"/>
      <c r="H1138" s="715"/>
      <c r="AS1138" s="716"/>
    </row>
    <row r="1139">
      <c r="D1139" s="715"/>
      <c r="E1139" s="715"/>
      <c r="F1139" s="715"/>
      <c r="G1139" s="715"/>
      <c r="H1139" s="715"/>
      <c r="AS1139" s="716"/>
    </row>
    <row r="1140">
      <c r="D1140" s="715"/>
      <c r="E1140" s="715"/>
      <c r="F1140" s="715"/>
      <c r="G1140" s="715"/>
      <c r="H1140" s="715"/>
      <c r="AS1140" s="716"/>
    </row>
    <row r="1141">
      <c r="D1141" s="715"/>
      <c r="E1141" s="715"/>
      <c r="F1141" s="715"/>
      <c r="G1141" s="715"/>
      <c r="H1141" s="715"/>
      <c r="AS1141" s="716"/>
    </row>
    <row r="1142">
      <c r="D1142" s="715"/>
      <c r="E1142" s="715"/>
      <c r="F1142" s="715"/>
      <c r="G1142" s="715"/>
      <c r="H1142" s="715"/>
      <c r="AS1142" s="716"/>
    </row>
    <row r="1143">
      <c r="D1143" s="715"/>
      <c r="E1143" s="715"/>
      <c r="F1143" s="715"/>
      <c r="G1143" s="715"/>
      <c r="H1143" s="715"/>
      <c r="AS1143" s="716"/>
    </row>
    <row r="1144">
      <c r="D1144" s="715"/>
      <c r="E1144" s="715"/>
      <c r="F1144" s="715"/>
      <c r="G1144" s="715"/>
      <c r="H1144" s="715"/>
      <c r="AS1144" s="716"/>
    </row>
    <row r="1145">
      <c r="D1145" s="715"/>
      <c r="E1145" s="715"/>
      <c r="F1145" s="715"/>
      <c r="G1145" s="715"/>
      <c r="H1145" s="715"/>
      <c r="AS1145" s="716"/>
    </row>
    <row r="1146">
      <c r="D1146" s="715"/>
      <c r="E1146" s="715"/>
      <c r="F1146" s="715"/>
      <c r="G1146" s="715"/>
      <c r="H1146" s="715"/>
      <c r="AS1146" s="716"/>
    </row>
    <row r="1147">
      <c r="D1147" s="715"/>
      <c r="E1147" s="715"/>
      <c r="F1147" s="715"/>
      <c r="G1147" s="715"/>
      <c r="H1147" s="715"/>
      <c r="AS1147" s="716"/>
    </row>
    <row r="1148">
      <c r="D1148" s="715"/>
      <c r="E1148" s="715"/>
      <c r="F1148" s="715"/>
      <c r="G1148" s="715"/>
      <c r="H1148" s="715"/>
      <c r="AS1148" s="716"/>
    </row>
    <row r="1149">
      <c r="D1149" s="715"/>
      <c r="E1149" s="715"/>
      <c r="F1149" s="715"/>
      <c r="G1149" s="715"/>
      <c r="H1149" s="715"/>
      <c r="AS1149" s="716"/>
    </row>
    <row r="1150">
      <c r="D1150" s="715"/>
      <c r="E1150" s="715"/>
      <c r="F1150" s="715"/>
      <c r="G1150" s="715"/>
      <c r="H1150" s="715"/>
      <c r="AS1150" s="716"/>
    </row>
    <row r="1151">
      <c r="D1151" s="715"/>
      <c r="E1151" s="715"/>
      <c r="F1151" s="715"/>
      <c r="G1151" s="715"/>
      <c r="H1151" s="715"/>
      <c r="AS1151" s="716"/>
    </row>
    <row r="1152">
      <c r="D1152" s="715"/>
      <c r="E1152" s="715"/>
      <c r="F1152" s="715"/>
      <c r="G1152" s="715"/>
      <c r="H1152" s="715"/>
      <c r="AS1152" s="716"/>
    </row>
    <row r="1153">
      <c r="D1153" s="715"/>
      <c r="E1153" s="715"/>
      <c r="F1153" s="715"/>
      <c r="G1153" s="715"/>
      <c r="H1153" s="715"/>
      <c r="AS1153" s="716"/>
    </row>
    <row r="1154">
      <c r="D1154" s="715"/>
      <c r="E1154" s="715"/>
      <c r="F1154" s="715"/>
      <c r="G1154" s="715"/>
      <c r="H1154" s="715"/>
      <c r="AS1154" s="716"/>
    </row>
    <row r="1155">
      <c r="D1155" s="715"/>
      <c r="E1155" s="715"/>
      <c r="F1155" s="715"/>
      <c r="G1155" s="715"/>
      <c r="H1155" s="715"/>
      <c r="AS1155" s="716"/>
    </row>
    <row r="1156">
      <c r="D1156" s="715"/>
      <c r="E1156" s="715"/>
      <c r="F1156" s="715"/>
      <c r="G1156" s="715"/>
      <c r="H1156" s="715"/>
      <c r="AS1156" s="716"/>
    </row>
    <row r="1157">
      <c r="D1157" s="715"/>
      <c r="E1157" s="715"/>
      <c r="F1157" s="715"/>
      <c r="G1157" s="715"/>
      <c r="H1157" s="715"/>
      <c r="AS1157" s="716"/>
    </row>
    <row r="1158">
      <c r="D1158" s="715"/>
      <c r="E1158" s="715"/>
      <c r="F1158" s="715"/>
      <c r="G1158" s="715"/>
      <c r="H1158" s="715"/>
      <c r="AS1158" s="716"/>
    </row>
    <row r="1159">
      <c r="D1159" s="715"/>
      <c r="E1159" s="715"/>
      <c r="F1159" s="715"/>
      <c r="G1159" s="715"/>
      <c r="H1159" s="715"/>
      <c r="AS1159" s="716"/>
    </row>
    <row r="1160">
      <c r="D1160" s="715"/>
      <c r="E1160" s="715"/>
      <c r="F1160" s="715"/>
      <c r="G1160" s="715"/>
      <c r="H1160" s="715"/>
      <c r="AS1160" s="716"/>
    </row>
    <row r="1161">
      <c r="D1161" s="715"/>
      <c r="E1161" s="715"/>
      <c r="F1161" s="715"/>
      <c r="G1161" s="715"/>
      <c r="H1161" s="715"/>
      <c r="AS1161" s="716"/>
    </row>
    <row r="1162">
      <c r="D1162" s="715"/>
      <c r="E1162" s="715"/>
      <c r="F1162" s="715"/>
      <c r="G1162" s="715"/>
      <c r="H1162" s="715"/>
      <c r="AS1162" s="716"/>
    </row>
    <row r="1163">
      <c r="D1163" s="715"/>
      <c r="E1163" s="715"/>
      <c r="F1163" s="715"/>
      <c r="G1163" s="715"/>
      <c r="H1163" s="715"/>
      <c r="AS1163" s="716"/>
    </row>
    <row r="1164">
      <c r="D1164" s="715"/>
      <c r="E1164" s="715"/>
      <c r="F1164" s="715"/>
      <c r="G1164" s="715"/>
      <c r="H1164" s="715"/>
      <c r="AS1164" s="716"/>
    </row>
    <row r="1165">
      <c r="D1165" s="715"/>
      <c r="E1165" s="715"/>
      <c r="F1165" s="715"/>
      <c r="G1165" s="715"/>
      <c r="H1165" s="715"/>
      <c r="AS1165" s="716"/>
    </row>
    <row r="1166">
      <c r="D1166" s="715"/>
      <c r="E1166" s="715"/>
      <c r="F1166" s="715"/>
      <c r="G1166" s="715"/>
      <c r="H1166" s="715"/>
      <c r="AS1166" s="716"/>
    </row>
    <row r="1167">
      <c r="D1167" s="715"/>
      <c r="E1167" s="715"/>
      <c r="F1167" s="715"/>
      <c r="G1167" s="715"/>
      <c r="H1167" s="715"/>
      <c r="AS1167" s="716"/>
    </row>
    <row r="1168">
      <c r="D1168" s="715"/>
      <c r="E1168" s="715"/>
      <c r="F1168" s="715"/>
      <c r="G1168" s="715"/>
      <c r="H1168" s="715"/>
      <c r="AS1168" s="716"/>
    </row>
    <row r="1169">
      <c r="D1169" s="715"/>
      <c r="E1169" s="715"/>
      <c r="F1169" s="715"/>
      <c r="G1169" s="715"/>
      <c r="H1169" s="715"/>
      <c r="AS1169" s="716"/>
    </row>
    <row r="1170">
      <c r="D1170" s="715"/>
      <c r="E1170" s="715"/>
      <c r="F1170" s="715"/>
      <c r="G1170" s="715"/>
      <c r="H1170" s="715"/>
      <c r="AS1170" s="716"/>
    </row>
    <row r="1171">
      <c r="D1171" s="715"/>
      <c r="E1171" s="715"/>
      <c r="F1171" s="715"/>
      <c r="G1171" s="715"/>
      <c r="H1171" s="715"/>
      <c r="AS1171" s="716"/>
    </row>
    <row r="1172">
      <c r="D1172" s="715"/>
      <c r="E1172" s="715"/>
      <c r="F1172" s="715"/>
      <c r="G1172" s="715"/>
      <c r="H1172" s="715"/>
      <c r="AS1172" s="716"/>
    </row>
    <row r="1173">
      <c r="D1173" s="715"/>
      <c r="E1173" s="715"/>
      <c r="F1173" s="715"/>
      <c r="G1173" s="715"/>
      <c r="H1173" s="715"/>
      <c r="AS1173" s="716"/>
    </row>
    <row r="1174">
      <c r="D1174" s="715"/>
      <c r="E1174" s="715"/>
      <c r="F1174" s="715"/>
      <c r="G1174" s="715"/>
      <c r="H1174" s="715"/>
      <c r="AS1174" s="716"/>
    </row>
    <row r="1175">
      <c r="D1175" s="715"/>
      <c r="E1175" s="715"/>
      <c r="F1175" s="715"/>
      <c r="G1175" s="715"/>
      <c r="H1175" s="715"/>
      <c r="AS1175" s="716"/>
    </row>
    <row r="1176">
      <c r="D1176" s="715"/>
      <c r="E1176" s="715"/>
      <c r="F1176" s="715"/>
      <c r="G1176" s="715"/>
      <c r="H1176" s="715"/>
      <c r="AS1176" s="716"/>
    </row>
    <row r="1177">
      <c r="D1177" s="715"/>
      <c r="E1177" s="715"/>
      <c r="F1177" s="715"/>
      <c r="G1177" s="715"/>
      <c r="H1177" s="715"/>
      <c r="AS1177" s="716"/>
    </row>
    <row r="1178">
      <c r="D1178" s="715"/>
      <c r="E1178" s="715"/>
      <c r="F1178" s="715"/>
      <c r="G1178" s="715"/>
      <c r="H1178" s="715"/>
      <c r="AS1178" s="716"/>
    </row>
    <row r="1179">
      <c r="D1179" s="715"/>
      <c r="E1179" s="715"/>
      <c r="F1179" s="715"/>
      <c r="G1179" s="715"/>
      <c r="H1179" s="715"/>
      <c r="AS1179" s="716"/>
    </row>
    <row r="1180">
      <c r="D1180" s="715"/>
      <c r="E1180" s="715"/>
      <c r="F1180" s="715"/>
      <c r="G1180" s="715"/>
      <c r="H1180" s="715"/>
      <c r="AS1180" s="716"/>
    </row>
    <row r="1181">
      <c r="D1181" s="715"/>
      <c r="E1181" s="715"/>
      <c r="F1181" s="715"/>
      <c r="G1181" s="715"/>
      <c r="H1181" s="715"/>
      <c r="AS1181" s="716"/>
    </row>
    <row r="1182">
      <c r="D1182" s="715"/>
      <c r="E1182" s="715"/>
      <c r="F1182" s="715"/>
      <c r="G1182" s="715"/>
      <c r="H1182" s="715"/>
      <c r="AS1182" s="716"/>
    </row>
    <row r="1183">
      <c r="D1183" s="715"/>
      <c r="E1183" s="715"/>
      <c r="F1183" s="715"/>
      <c r="G1183" s="715"/>
      <c r="H1183" s="715"/>
      <c r="AS1183" s="716"/>
    </row>
    <row r="1184">
      <c r="D1184" s="715"/>
      <c r="E1184" s="715"/>
      <c r="F1184" s="715"/>
      <c r="G1184" s="715"/>
      <c r="H1184" s="715"/>
      <c r="AS1184" s="716"/>
    </row>
    <row r="1185">
      <c r="D1185" s="715"/>
      <c r="E1185" s="715"/>
      <c r="F1185" s="715"/>
      <c r="G1185" s="715"/>
      <c r="H1185" s="715"/>
      <c r="AS1185" s="716"/>
    </row>
    <row r="1186">
      <c r="D1186" s="715"/>
      <c r="E1186" s="715"/>
      <c r="F1186" s="715"/>
      <c r="G1186" s="715"/>
      <c r="H1186" s="715"/>
      <c r="AS1186" s="716"/>
    </row>
    <row r="1187">
      <c r="D1187" s="715"/>
      <c r="E1187" s="715"/>
      <c r="F1187" s="715"/>
      <c r="G1187" s="715"/>
      <c r="H1187" s="715"/>
      <c r="AS1187" s="716"/>
    </row>
    <row r="1188">
      <c r="D1188" s="715"/>
      <c r="E1188" s="715"/>
      <c r="F1188" s="715"/>
      <c r="G1188" s="715"/>
      <c r="H1188" s="715"/>
      <c r="AS1188" s="716"/>
    </row>
    <row r="1189">
      <c r="D1189" s="715"/>
      <c r="E1189" s="715"/>
      <c r="F1189" s="715"/>
      <c r="G1189" s="715"/>
      <c r="H1189" s="715"/>
      <c r="AS1189" s="716"/>
    </row>
    <row r="1190">
      <c r="D1190" s="715"/>
      <c r="E1190" s="715"/>
      <c r="F1190" s="715"/>
      <c r="G1190" s="715"/>
      <c r="H1190" s="715"/>
      <c r="AS1190" s="716"/>
    </row>
    <row r="1191">
      <c r="D1191" s="715"/>
      <c r="E1191" s="715"/>
      <c r="F1191" s="715"/>
      <c r="G1191" s="715"/>
      <c r="H1191" s="715"/>
      <c r="AS1191" s="716"/>
    </row>
    <row r="1192">
      <c r="D1192" s="715"/>
      <c r="E1192" s="715"/>
      <c r="F1192" s="715"/>
      <c r="G1192" s="715"/>
      <c r="H1192" s="715"/>
      <c r="AS1192" s="716"/>
    </row>
    <row r="1193">
      <c r="D1193" s="715"/>
      <c r="E1193" s="715"/>
      <c r="F1193" s="715"/>
      <c r="G1193" s="715"/>
      <c r="H1193" s="715"/>
      <c r="AS1193" s="716"/>
    </row>
    <row r="1194">
      <c r="D1194" s="715"/>
      <c r="E1194" s="715"/>
      <c r="F1194" s="715"/>
      <c r="G1194" s="715"/>
      <c r="H1194" s="715"/>
      <c r="AS1194" s="716"/>
    </row>
    <row r="1195">
      <c r="D1195" s="715"/>
      <c r="E1195" s="715"/>
      <c r="F1195" s="715"/>
      <c r="G1195" s="715"/>
      <c r="H1195" s="715"/>
      <c r="AS1195" s="716"/>
    </row>
    <row r="1196">
      <c r="D1196" s="715"/>
      <c r="E1196" s="715"/>
      <c r="F1196" s="715"/>
      <c r="G1196" s="715"/>
      <c r="H1196" s="715"/>
      <c r="AS1196" s="716"/>
    </row>
    <row r="1197">
      <c r="D1197" s="715"/>
      <c r="E1197" s="715"/>
      <c r="F1197" s="715"/>
      <c r="G1197" s="715"/>
      <c r="H1197" s="715"/>
      <c r="AS1197" s="716"/>
    </row>
    <row r="1198">
      <c r="D1198" s="715"/>
      <c r="E1198" s="715"/>
      <c r="F1198" s="715"/>
      <c r="G1198" s="715"/>
      <c r="H1198" s="715"/>
      <c r="AS1198" s="716"/>
    </row>
    <row r="1199">
      <c r="D1199" s="715"/>
      <c r="E1199" s="715"/>
      <c r="F1199" s="715"/>
      <c r="G1199" s="715"/>
      <c r="H1199" s="715"/>
      <c r="AS1199" s="716"/>
    </row>
    <row r="1200">
      <c r="D1200" s="715"/>
      <c r="E1200" s="715"/>
      <c r="F1200" s="715"/>
      <c r="G1200" s="715"/>
      <c r="H1200" s="715"/>
      <c r="AS1200" s="716"/>
    </row>
    <row r="1201">
      <c r="D1201" s="715"/>
      <c r="E1201" s="715"/>
      <c r="F1201" s="715"/>
      <c r="G1201" s="715"/>
      <c r="H1201" s="715"/>
      <c r="AS1201" s="716"/>
    </row>
    <row r="1202">
      <c r="D1202" s="715"/>
      <c r="E1202" s="715"/>
      <c r="F1202" s="715"/>
      <c r="G1202" s="715"/>
      <c r="H1202" s="715"/>
      <c r="AS1202" s="716"/>
    </row>
    <row r="1203">
      <c r="D1203" s="715"/>
      <c r="E1203" s="715"/>
      <c r="F1203" s="715"/>
      <c r="G1203" s="715"/>
      <c r="H1203" s="715"/>
      <c r="AS1203" s="716"/>
    </row>
    <row r="1204">
      <c r="D1204" s="715"/>
      <c r="E1204" s="715"/>
      <c r="F1204" s="715"/>
      <c r="G1204" s="715"/>
      <c r="H1204" s="715"/>
      <c r="AS1204" s="716"/>
    </row>
    <row r="1205">
      <c r="D1205" s="715"/>
      <c r="E1205" s="715"/>
      <c r="F1205" s="715"/>
      <c r="G1205" s="715"/>
      <c r="H1205" s="715"/>
      <c r="AS1205" s="716"/>
    </row>
    <row r="1206">
      <c r="D1206" s="715"/>
      <c r="E1206" s="715"/>
      <c r="F1206" s="715"/>
      <c r="G1206" s="715"/>
      <c r="H1206" s="715"/>
      <c r="AS1206" s="716"/>
    </row>
    <row r="1207">
      <c r="D1207" s="715"/>
      <c r="E1207" s="715"/>
      <c r="F1207" s="715"/>
      <c r="G1207" s="715"/>
      <c r="H1207" s="715"/>
      <c r="AS1207" s="716"/>
    </row>
    <row r="1208">
      <c r="D1208" s="715"/>
      <c r="E1208" s="715"/>
      <c r="F1208" s="715"/>
      <c r="G1208" s="715"/>
      <c r="H1208" s="715"/>
      <c r="AS1208" s="716"/>
    </row>
    <row r="1209">
      <c r="D1209" s="715"/>
      <c r="E1209" s="715"/>
      <c r="F1209" s="715"/>
      <c r="G1209" s="715"/>
      <c r="H1209" s="715"/>
      <c r="AS1209" s="716"/>
    </row>
    <row r="1210">
      <c r="D1210" s="715"/>
      <c r="E1210" s="715"/>
      <c r="F1210" s="715"/>
      <c r="G1210" s="715"/>
      <c r="H1210" s="715"/>
      <c r="AS1210" s="716"/>
    </row>
    <row r="1211">
      <c r="D1211" s="715"/>
      <c r="E1211" s="715"/>
      <c r="F1211" s="715"/>
      <c r="G1211" s="715"/>
      <c r="H1211" s="715"/>
      <c r="AS1211" s="716"/>
    </row>
    <row r="1212">
      <c r="D1212" s="715"/>
      <c r="E1212" s="715"/>
      <c r="F1212" s="715"/>
      <c r="G1212" s="715"/>
      <c r="H1212" s="715"/>
      <c r="AS1212" s="716"/>
    </row>
    <row r="1213">
      <c r="D1213" s="715"/>
      <c r="E1213" s="715"/>
      <c r="F1213" s="715"/>
      <c r="G1213" s="715"/>
      <c r="H1213" s="715"/>
      <c r="AS1213" s="716"/>
    </row>
    <row r="1214">
      <c r="D1214" s="715"/>
      <c r="E1214" s="715"/>
      <c r="F1214" s="715"/>
      <c r="G1214" s="715"/>
      <c r="H1214" s="715"/>
      <c r="AS1214" s="716"/>
    </row>
    <row r="1215">
      <c r="D1215" s="715"/>
      <c r="E1215" s="715"/>
      <c r="F1215" s="715"/>
      <c r="G1215" s="715"/>
      <c r="H1215" s="715"/>
      <c r="AS1215" s="716"/>
    </row>
    <row r="1216">
      <c r="D1216" s="715"/>
      <c r="E1216" s="715"/>
      <c r="F1216" s="715"/>
      <c r="G1216" s="715"/>
      <c r="H1216" s="715"/>
      <c r="AS1216" s="716"/>
    </row>
    <row r="1217">
      <c r="D1217" s="715"/>
      <c r="E1217" s="715"/>
      <c r="F1217" s="715"/>
      <c r="G1217" s="715"/>
      <c r="H1217" s="715"/>
      <c r="AS1217" s="716"/>
    </row>
    <row r="1218">
      <c r="D1218" s="715"/>
      <c r="E1218" s="715"/>
      <c r="F1218" s="715"/>
      <c r="G1218" s="715"/>
      <c r="H1218" s="715"/>
      <c r="AS1218" s="716"/>
    </row>
    <row r="1219">
      <c r="D1219" s="715"/>
      <c r="E1219" s="715"/>
      <c r="F1219" s="715"/>
      <c r="G1219" s="715"/>
      <c r="H1219" s="715"/>
      <c r="AS1219" s="716"/>
    </row>
    <row r="1220">
      <c r="D1220" s="715"/>
      <c r="E1220" s="715"/>
      <c r="F1220" s="715"/>
      <c r="G1220" s="715"/>
      <c r="H1220" s="715"/>
      <c r="AS1220" s="716"/>
    </row>
    <row r="1221">
      <c r="D1221" s="715"/>
      <c r="E1221" s="715"/>
      <c r="F1221" s="715"/>
      <c r="G1221" s="715"/>
      <c r="H1221" s="715"/>
      <c r="AS1221" s="716"/>
    </row>
    <row r="1222">
      <c r="D1222" s="715"/>
      <c r="E1222" s="715"/>
      <c r="F1222" s="715"/>
      <c r="G1222" s="715"/>
      <c r="H1222" s="715"/>
      <c r="AS1222" s="716"/>
    </row>
    <row r="1223">
      <c r="D1223" s="715"/>
      <c r="E1223" s="715"/>
      <c r="F1223" s="715"/>
      <c r="G1223" s="715"/>
      <c r="H1223" s="715"/>
      <c r="AS1223" s="716"/>
    </row>
    <row r="1224">
      <c r="D1224" s="715"/>
      <c r="E1224" s="715"/>
      <c r="F1224" s="715"/>
      <c r="G1224" s="715"/>
      <c r="H1224" s="715"/>
      <c r="AS1224" s="716"/>
    </row>
    <row r="1225">
      <c r="D1225" s="715"/>
      <c r="E1225" s="715"/>
      <c r="F1225" s="715"/>
      <c r="G1225" s="715"/>
      <c r="H1225" s="715"/>
      <c r="AS1225" s="716"/>
    </row>
    <row r="1226">
      <c r="D1226" s="715"/>
      <c r="E1226" s="715"/>
      <c r="F1226" s="715"/>
      <c r="G1226" s="715"/>
      <c r="H1226" s="715"/>
      <c r="AS1226" s="716"/>
    </row>
    <row r="1227">
      <c r="D1227" s="715"/>
      <c r="E1227" s="715"/>
      <c r="F1227" s="715"/>
      <c r="G1227" s="715"/>
      <c r="H1227" s="715"/>
      <c r="AS1227" s="716"/>
    </row>
    <row r="1228">
      <c r="D1228" s="715"/>
      <c r="E1228" s="715"/>
      <c r="F1228" s="715"/>
      <c r="G1228" s="715"/>
      <c r="H1228" s="715"/>
      <c r="AS1228" s="716"/>
    </row>
    <row r="1229">
      <c r="D1229" s="715"/>
      <c r="E1229" s="715"/>
      <c r="F1229" s="715"/>
      <c r="G1229" s="715"/>
      <c r="H1229" s="715"/>
      <c r="AS1229" s="716"/>
    </row>
    <row r="1230">
      <c r="D1230" s="715"/>
      <c r="E1230" s="715"/>
      <c r="F1230" s="715"/>
      <c r="G1230" s="715"/>
      <c r="H1230" s="715"/>
      <c r="AS1230" s="716"/>
    </row>
    <row r="1231">
      <c r="D1231" s="715"/>
      <c r="E1231" s="715"/>
      <c r="F1231" s="715"/>
      <c r="G1231" s="715"/>
      <c r="H1231" s="715"/>
      <c r="AS1231" s="716"/>
    </row>
    <row r="1232">
      <c r="D1232" s="715"/>
      <c r="E1232" s="715"/>
      <c r="F1232" s="715"/>
      <c r="G1232" s="715"/>
      <c r="H1232" s="715"/>
      <c r="AS1232" s="716"/>
    </row>
    <row r="1233">
      <c r="D1233" s="715"/>
      <c r="E1233" s="715"/>
      <c r="F1233" s="715"/>
      <c r="G1233" s="715"/>
      <c r="H1233" s="715"/>
      <c r="AS1233" s="716"/>
    </row>
    <row r="1234">
      <c r="D1234" s="715"/>
      <c r="E1234" s="715"/>
      <c r="F1234" s="715"/>
      <c r="G1234" s="715"/>
      <c r="H1234" s="715"/>
      <c r="AS1234" s="716"/>
    </row>
    <row r="1235">
      <c r="D1235" s="715"/>
      <c r="E1235" s="715"/>
      <c r="F1235" s="715"/>
      <c r="G1235" s="715"/>
      <c r="H1235" s="715"/>
      <c r="AS1235" s="716"/>
    </row>
    <row r="1236">
      <c r="D1236" s="715"/>
      <c r="E1236" s="715"/>
      <c r="F1236" s="715"/>
      <c r="G1236" s="715"/>
      <c r="H1236" s="715"/>
      <c r="AS1236" s="716"/>
    </row>
    <row r="1237">
      <c r="D1237" s="715"/>
      <c r="E1237" s="715"/>
      <c r="F1237" s="715"/>
      <c r="G1237" s="715"/>
      <c r="H1237" s="715"/>
      <c r="AS1237" s="716"/>
    </row>
    <row r="1238">
      <c r="D1238" s="715"/>
      <c r="E1238" s="715"/>
      <c r="F1238" s="715"/>
      <c r="G1238" s="715"/>
      <c r="H1238" s="715"/>
      <c r="AS1238" s="716"/>
    </row>
    <row r="1239">
      <c r="D1239" s="715"/>
      <c r="E1239" s="715"/>
      <c r="F1239" s="715"/>
      <c r="G1239" s="715"/>
      <c r="H1239" s="715"/>
      <c r="AS1239" s="716"/>
    </row>
    <row r="1240">
      <c r="D1240" s="715"/>
      <c r="E1240" s="715"/>
      <c r="F1240" s="715"/>
      <c r="G1240" s="715"/>
      <c r="H1240" s="715"/>
      <c r="AS1240" s="716"/>
    </row>
    <row r="1241">
      <c r="D1241" s="715"/>
      <c r="E1241" s="715"/>
      <c r="F1241" s="715"/>
      <c r="G1241" s="715"/>
      <c r="H1241" s="715"/>
      <c r="AS1241" s="716"/>
    </row>
    <row r="1242">
      <c r="D1242" s="715"/>
      <c r="E1242" s="715"/>
      <c r="F1242" s="715"/>
      <c r="G1242" s="715"/>
      <c r="H1242" s="715"/>
      <c r="AS1242" s="716"/>
    </row>
    <row r="1243">
      <c r="D1243" s="715"/>
      <c r="E1243" s="715"/>
      <c r="F1243" s="715"/>
      <c r="G1243" s="715"/>
      <c r="H1243" s="715"/>
      <c r="AS1243" s="716"/>
    </row>
    <row r="1244">
      <c r="D1244" s="715"/>
      <c r="E1244" s="715"/>
      <c r="F1244" s="715"/>
      <c r="G1244" s="715"/>
      <c r="H1244" s="715"/>
      <c r="AS1244" s="716"/>
    </row>
    <row r="1245">
      <c r="D1245" s="715"/>
      <c r="E1245" s="715"/>
      <c r="F1245" s="715"/>
      <c r="G1245" s="715"/>
      <c r="H1245" s="715"/>
      <c r="AS1245" s="716"/>
    </row>
    <row r="1246">
      <c r="D1246" s="715"/>
      <c r="E1246" s="715"/>
      <c r="F1246" s="715"/>
      <c r="G1246" s="715"/>
      <c r="H1246" s="715"/>
      <c r="AS1246" s="716"/>
    </row>
    <row r="1247">
      <c r="D1247" s="715"/>
      <c r="E1247" s="715"/>
      <c r="F1247" s="715"/>
      <c r="G1247" s="715"/>
      <c r="H1247" s="715"/>
      <c r="AS1247" s="716"/>
    </row>
    <row r="1248">
      <c r="D1248" s="715"/>
      <c r="E1248" s="715"/>
      <c r="F1248" s="715"/>
      <c r="G1248" s="715"/>
      <c r="H1248" s="715"/>
      <c r="AS1248" s="716"/>
    </row>
    <row r="1249">
      <c r="D1249" s="715"/>
      <c r="E1249" s="715"/>
      <c r="F1249" s="715"/>
      <c r="G1249" s="715"/>
      <c r="H1249" s="715"/>
      <c r="AS1249" s="716"/>
    </row>
    <row r="1250">
      <c r="D1250" s="715"/>
      <c r="E1250" s="715"/>
      <c r="F1250" s="715"/>
      <c r="G1250" s="715"/>
      <c r="H1250" s="715"/>
      <c r="AS1250" s="716"/>
    </row>
    <row r="1251">
      <c r="D1251" s="715"/>
      <c r="E1251" s="715"/>
      <c r="F1251" s="715"/>
      <c r="G1251" s="715"/>
      <c r="H1251" s="715"/>
      <c r="AS1251" s="716"/>
    </row>
    <row r="1252">
      <c r="D1252" s="715"/>
      <c r="E1252" s="715"/>
      <c r="F1252" s="715"/>
      <c r="G1252" s="715"/>
      <c r="H1252" s="715"/>
      <c r="AS1252" s="716"/>
    </row>
    <row r="1253">
      <c r="D1253" s="715"/>
      <c r="E1253" s="715"/>
      <c r="F1253" s="715"/>
      <c r="G1253" s="715"/>
      <c r="H1253" s="715"/>
      <c r="AS1253" s="716"/>
    </row>
    <row r="1254">
      <c r="D1254" s="715"/>
      <c r="E1254" s="715"/>
      <c r="F1254" s="715"/>
      <c r="G1254" s="715"/>
      <c r="H1254" s="715"/>
      <c r="AS1254" s="716"/>
    </row>
    <row r="1255">
      <c r="D1255" s="715"/>
      <c r="E1255" s="715"/>
      <c r="F1255" s="715"/>
      <c r="G1255" s="715"/>
      <c r="H1255" s="715"/>
      <c r="AS1255" s="716"/>
    </row>
    <row r="1256">
      <c r="D1256" s="715"/>
      <c r="E1256" s="715"/>
      <c r="F1256" s="715"/>
      <c r="G1256" s="715"/>
      <c r="H1256" s="715"/>
      <c r="AS1256" s="716"/>
    </row>
    <row r="1257">
      <c r="D1257" s="715"/>
      <c r="E1257" s="715"/>
      <c r="F1257" s="715"/>
      <c r="G1257" s="715"/>
      <c r="H1257" s="715"/>
      <c r="AS1257" s="716"/>
    </row>
    <row r="1258">
      <c r="D1258" s="715"/>
      <c r="E1258" s="715"/>
      <c r="F1258" s="715"/>
      <c r="G1258" s="715"/>
      <c r="H1258" s="715"/>
      <c r="AS1258" s="716"/>
    </row>
    <row r="1259">
      <c r="D1259" s="715"/>
      <c r="E1259" s="715"/>
      <c r="F1259" s="715"/>
      <c r="G1259" s="715"/>
      <c r="H1259" s="715"/>
      <c r="AS1259" s="716"/>
    </row>
    <row r="1260">
      <c r="D1260" s="715"/>
      <c r="E1260" s="715"/>
      <c r="F1260" s="715"/>
      <c r="G1260" s="715"/>
      <c r="H1260" s="715"/>
      <c r="AS1260" s="716"/>
    </row>
    <row r="1261">
      <c r="D1261" s="715"/>
      <c r="E1261" s="715"/>
      <c r="F1261" s="715"/>
      <c r="G1261" s="715"/>
      <c r="H1261" s="715"/>
      <c r="AS1261" s="716"/>
    </row>
    <row r="1262">
      <c r="D1262" s="715"/>
      <c r="E1262" s="715"/>
      <c r="F1262" s="715"/>
      <c r="G1262" s="715"/>
      <c r="H1262" s="715"/>
      <c r="AS1262" s="716"/>
    </row>
    <row r="1263">
      <c r="D1263" s="715"/>
      <c r="E1263" s="715"/>
      <c r="F1263" s="715"/>
      <c r="G1263" s="715"/>
      <c r="H1263" s="715"/>
      <c r="AS1263" s="716"/>
    </row>
    <row r="1264">
      <c r="D1264" s="715"/>
      <c r="E1264" s="715"/>
      <c r="F1264" s="715"/>
      <c r="G1264" s="715"/>
      <c r="H1264" s="715"/>
      <c r="AS1264" s="716"/>
    </row>
    <row r="1265">
      <c r="D1265" s="715"/>
      <c r="E1265" s="715"/>
      <c r="F1265" s="715"/>
      <c r="G1265" s="715"/>
      <c r="H1265" s="715"/>
      <c r="AS1265" s="716"/>
    </row>
    <row r="1266">
      <c r="D1266" s="715"/>
      <c r="E1266" s="715"/>
      <c r="F1266" s="715"/>
      <c r="G1266" s="715"/>
      <c r="H1266" s="715"/>
      <c r="AS1266" s="716"/>
    </row>
    <row r="1267">
      <c r="D1267" s="715"/>
      <c r="E1267" s="715"/>
      <c r="F1267" s="715"/>
      <c r="G1267" s="715"/>
      <c r="H1267" s="715"/>
      <c r="AS1267" s="716"/>
    </row>
    <row r="1268">
      <c r="D1268" s="715"/>
      <c r="E1268" s="715"/>
      <c r="F1268" s="715"/>
      <c r="G1268" s="715"/>
      <c r="H1268" s="715"/>
      <c r="AS1268" s="716"/>
    </row>
    <row r="1269">
      <c r="D1269" s="715"/>
      <c r="E1269" s="715"/>
      <c r="F1269" s="715"/>
      <c r="G1269" s="715"/>
      <c r="H1269" s="715"/>
      <c r="AS1269" s="716"/>
    </row>
    <row r="1270">
      <c r="D1270" s="715"/>
      <c r="E1270" s="715"/>
      <c r="F1270" s="715"/>
      <c r="G1270" s="715"/>
      <c r="H1270" s="715"/>
      <c r="AS1270" s="716"/>
    </row>
    <row r="1271">
      <c r="D1271" s="715"/>
      <c r="E1271" s="715"/>
      <c r="F1271" s="715"/>
      <c r="G1271" s="715"/>
      <c r="H1271" s="715"/>
      <c r="AS1271" s="716"/>
    </row>
    <row r="1272">
      <c r="D1272" s="715"/>
      <c r="E1272" s="715"/>
      <c r="F1272" s="715"/>
      <c r="G1272" s="715"/>
      <c r="H1272" s="715"/>
      <c r="AS1272" s="716"/>
    </row>
    <row r="1273">
      <c r="D1273" s="715"/>
      <c r="E1273" s="715"/>
      <c r="F1273" s="715"/>
      <c r="G1273" s="715"/>
      <c r="H1273" s="715"/>
      <c r="AS1273" s="716"/>
    </row>
    <row r="1274">
      <c r="D1274" s="715"/>
      <c r="E1274" s="715"/>
      <c r="F1274" s="715"/>
      <c r="G1274" s="715"/>
      <c r="H1274" s="715"/>
      <c r="AS1274" s="716"/>
    </row>
    <row r="1275">
      <c r="D1275" s="715"/>
      <c r="E1275" s="715"/>
      <c r="F1275" s="715"/>
      <c r="G1275" s="715"/>
      <c r="H1275" s="715"/>
      <c r="AS1275" s="716"/>
    </row>
    <row r="1276">
      <c r="D1276" s="715"/>
      <c r="E1276" s="715"/>
      <c r="F1276" s="715"/>
      <c r="G1276" s="715"/>
      <c r="H1276" s="715"/>
      <c r="AS1276" s="716"/>
    </row>
    <row r="1277">
      <c r="D1277" s="715"/>
      <c r="E1277" s="715"/>
      <c r="F1277" s="715"/>
      <c r="G1277" s="715"/>
      <c r="H1277" s="715"/>
      <c r="AS1277" s="716"/>
    </row>
    <row r="1278">
      <c r="D1278" s="715"/>
      <c r="E1278" s="715"/>
      <c r="F1278" s="715"/>
      <c r="G1278" s="715"/>
      <c r="H1278" s="715"/>
      <c r="AS1278" s="716"/>
    </row>
    <row r="1279">
      <c r="D1279" s="715"/>
      <c r="E1279" s="715"/>
      <c r="F1279" s="715"/>
      <c r="G1279" s="715"/>
      <c r="H1279" s="715"/>
      <c r="AS1279" s="716"/>
    </row>
    <row r="1280">
      <c r="D1280" s="715"/>
      <c r="E1280" s="715"/>
      <c r="F1280" s="715"/>
      <c r="G1280" s="715"/>
      <c r="H1280" s="715"/>
      <c r="AS1280" s="716"/>
    </row>
    <row r="1281">
      <c r="D1281" s="715"/>
      <c r="E1281" s="715"/>
      <c r="F1281" s="715"/>
      <c r="G1281" s="715"/>
      <c r="H1281" s="715"/>
      <c r="AS1281" s="716"/>
    </row>
    <row r="1282">
      <c r="D1282" s="715"/>
      <c r="E1282" s="715"/>
      <c r="F1282" s="715"/>
      <c r="G1282" s="715"/>
      <c r="H1282" s="715"/>
      <c r="AS1282" s="716"/>
    </row>
    <row r="1283">
      <c r="D1283" s="715"/>
      <c r="E1283" s="715"/>
      <c r="F1283" s="715"/>
      <c r="G1283" s="715"/>
      <c r="H1283" s="715"/>
      <c r="AS1283" s="716"/>
    </row>
    <row r="1284">
      <c r="D1284" s="715"/>
      <c r="E1284" s="715"/>
      <c r="F1284" s="715"/>
      <c r="G1284" s="715"/>
      <c r="H1284" s="715"/>
      <c r="AS1284" s="716"/>
    </row>
    <row r="1285">
      <c r="D1285" s="715"/>
      <c r="E1285" s="715"/>
      <c r="F1285" s="715"/>
      <c r="G1285" s="715"/>
      <c r="H1285" s="715"/>
      <c r="AS1285" s="716"/>
    </row>
    <row r="1286">
      <c r="D1286" s="715"/>
      <c r="E1286" s="715"/>
      <c r="F1286" s="715"/>
      <c r="G1286" s="715"/>
      <c r="H1286" s="715"/>
      <c r="AS1286" s="716"/>
    </row>
    <row r="1287">
      <c r="D1287" s="715"/>
      <c r="E1287" s="715"/>
      <c r="F1287" s="715"/>
      <c r="G1287" s="715"/>
      <c r="H1287" s="715"/>
      <c r="AS1287" s="716"/>
    </row>
    <row r="1288">
      <c r="D1288" s="715"/>
      <c r="E1288" s="715"/>
      <c r="F1288" s="715"/>
      <c r="G1288" s="715"/>
      <c r="H1288" s="715"/>
      <c r="AS1288" s="716"/>
    </row>
    <row r="1289">
      <c r="D1289" s="715"/>
      <c r="E1289" s="715"/>
      <c r="F1289" s="715"/>
      <c r="G1289" s="715"/>
      <c r="H1289" s="715"/>
      <c r="AS1289" s="716"/>
    </row>
    <row r="1290">
      <c r="D1290" s="715"/>
      <c r="E1290" s="715"/>
      <c r="F1290" s="715"/>
      <c r="G1290" s="715"/>
      <c r="H1290" s="715"/>
      <c r="AS1290" s="716"/>
    </row>
    <row r="1291">
      <c r="D1291" s="715"/>
      <c r="E1291" s="715"/>
      <c r="F1291" s="715"/>
      <c r="G1291" s="715"/>
      <c r="H1291" s="715"/>
      <c r="AS1291" s="716"/>
    </row>
    <row r="1292">
      <c r="D1292" s="715"/>
      <c r="E1292" s="715"/>
      <c r="F1292" s="715"/>
      <c r="G1292" s="715"/>
      <c r="H1292" s="715"/>
      <c r="AS1292" s="716"/>
    </row>
    <row r="1293">
      <c r="D1293" s="715"/>
      <c r="E1293" s="715"/>
      <c r="F1293" s="715"/>
      <c r="G1293" s="715"/>
      <c r="H1293" s="715"/>
      <c r="AS1293" s="716"/>
    </row>
    <row r="1294">
      <c r="D1294" s="715"/>
      <c r="E1294" s="715"/>
      <c r="F1294" s="715"/>
      <c r="G1294" s="715"/>
      <c r="H1294" s="715"/>
      <c r="AS1294" s="716"/>
    </row>
    <row r="1295">
      <c r="D1295" s="715"/>
      <c r="E1295" s="715"/>
      <c r="F1295" s="715"/>
      <c r="G1295" s="715"/>
      <c r="H1295" s="715"/>
      <c r="AS1295" s="716"/>
    </row>
    <row r="1296">
      <c r="D1296" s="715"/>
      <c r="E1296" s="715"/>
      <c r="F1296" s="715"/>
      <c r="G1296" s="715"/>
      <c r="H1296" s="715"/>
      <c r="AS1296" s="716"/>
    </row>
    <row r="1297">
      <c r="D1297" s="715"/>
      <c r="E1297" s="715"/>
      <c r="F1297" s="715"/>
      <c r="G1297" s="715"/>
      <c r="H1297" s="715"/>
      <c r="AS1297" s="716"/>
    </row>
    <row r="1298">
      <c r="D1298" s="715"/>
      <c r="E1298" s="715"/>
      <c r="F1298" s="715"/>
      <c r="G1298" s="715"/>
      <c r="H1298" s="715"/>
      <c r="AS1298" s="716"/>
    </row>
    <row r="1299">
      <c r="D1299" s="715"/>
      <c r="E1299" s="715"/>
      <c r="F1299" s="715"/>
      <c r="G1299" s="715"/>
      <c r="H1299" s="715"/>
      <c r="AS1299" s="716"/>
    </row>
    <row r="1300">
      <c r="D1300" s="715"/>
      <c r="E1300" s="715"/>
      <c r="F1300" s="715"/>
      <c r="G1300" s="715"/>
      <c r="H1300" s="715"/>
      <c r="AS1300" s="716"/>
    </row>
    <row r="1301">
      <c r="D1301" s="715"/>
      <c r="E1301" s="715"/>
      <c r="F1301" s="715"/>
      <c r="G1301" s="715"/>
      <c r="H1301" s="715"/>
      <c r="AS1301" s="716"/>
    </row>
    <row r="1302">
      <c r="D1302" s="715"/>
      <c r="E1302" s="715"/>
      <c r="F1302" s="715"/>
      <c r="G1302" s="715"/>
      <c r="H1302" s="715"/>
      <c r="AS1302" s="716"/>
    </row>
    <row r="1303">
      <c r="D1303" s="715"/>
      <c r="E1303" s="715"/>
      <c r="F1303" s="715"/>
      <c r="G1303" s="715"/>
      <c r="H1303" s="715"/>
      <c r="AS1303" s="716"/>
    </row>
    <row r="1304">
      <c r="D1304" s="715"/>
      <c r="E1304" s="715"/>
      <c r="F1304" s="715"/>
      <c r="G1304" s="715"/>
      <c r="H1304" s="715"/>
      <c r="AS1304" s="716"/>
    </row>
    <row r="1305">
      <c r="D1305" s="715"/>
      <c r="E1305" s="715"/>
      <c r="F1305" s="715"/>
      <c r="G1305" s="715"/>
      <c r="H1305" s="715"/>
      <c r="AS1305" s="716"/>
    </row>
    <row r="1306">
      <c r="D1306" s="715"/>
      <c r="E1306" s="715"/>
      <c r="F1306" s="715"/>
      <c r="G1306" s="715"/>
      <c r="H1306" s="715"/>
      <c r="AS1306" s="716"/>
    </row>
    <row r="1307">
      <c r="D1307" s="715"/>
      <c r="E1307" s="715"/>
      <c r="F1307" s="715"/>
      <c r="G1307" s="715"/>
      <c r="H1307" s="715"/>
      <c r="AS1307" s="716"/>
    </row>
    <row r="1308">
      <c r="D1308" s="715"/>
      <c r="E1308" s="715"/>
      <c r="F1308" s="715"/>
      <c r="G1308" s="715"/>
      <c r="H1308" s="715"/>
      <c r="AS1308" s="716"/>
    </row>
    <row r="1309">
      <c r="D1309" s="715"/>
      <c r="E1309" s="715"/>
      <c r="F1309" s="715"/>
      <c r="G1309" s="715"/>
      <c r="H1309" s="715"/>
      <c r="AS1309" s="716"/>
    </row>
    <row r="1310">
      <c r="D1310" s="715"/>
      <c r="E1310" s="715"/>
      <c r="F1310" s="715"/>
      <c r="G1310" s="715"/>
      <c r="H1310" s="715"/>
      <c r="AS1310" s="716"/>
    </row>
    <row r="1311">
      <c r="D1311" s="715"/>
      <c r="E1311" s="715"/>
      <c r="F1311" s="715"/>
      <c r="G1311" s="715"/>
      <c r="H1311" s="715"/>
      <c r="AS1311" s="716"/>
    </row>
    <row r="1312">
      <c r="D1312" s="715"/>
      <c r="E1312" s="715"/>
      <c r="F1312" s="715"/>
      <c r="G1312" s="715"/>
      <c r="H1312" s="715"/>
      <c r="AS1312" s="716"/>
    </row>
    <row r="1313">
      <c r="D1313" s="715"/>
      <c r="E1313" s="715"/>
      <c r="F1313" s="715"/>
      <c r="G1313" s="715"/>
      <c r="H1313" s="715"/>
      <c r="AS1313" s="716"/>
    </row>
    <row r="1314">
      <c r="D1314" s="715"/>
      <c r="E1314" s="715"/>
      <c r="F1314" s="715"/>
      <c r="G1314" s="715"/>
      <c r="H1314" s="715"/>
      <c r="AS1314" s="716"/>
    </row>
    <row r="1315">
      <c r="D1315" s="715"/>
      <c r="E1315" s="715"/>
      <c r="F1315" s="715"/>
      <c r="G1315" s="715"/>
      <c r="H1315" s="715"/>
      <c r="AS1315" s="716"/>
    </row>
    <row r="1316">
      <c r="D1316" s="715"/>
      <c r="E1316" s="715"/>
      <c r="F1316" s="715"/>
      <c r="G1316" s="715"/>
      <c r="H1316" s="715"/>
      <c r="AS1316" s="716"/>
    </row>
    <row r="1317">
      <c r="D1317" s="715"/>
      <c r="E1317" s="715"/>
      <c r="F1317" s="715"/>
      <c r="G1317" s="715"/>
      <c r="H1317" s="715"/>
      <c r="AS1317" s="716"/>
    </row>
    <row r="1318">
      <c r="D1318" s="715"/>
      <c r="E1318" s="715"/>
      <c r="F1318" s="715"/>
      <c r="G1318" s="715"/>
      <c r="H1318" s="715"/>
      <c r="AS1318" s="716"/>
    </row>
    <row r="1319">
      <c r="D1319" s="715"/>
      <c r="E1319" s="715"/>
      <c r="F1319" s="715"/>
      <c r="G1319" s="715"/>
      <c r="H1319" s="715"/>
      <c r="AS1319" s="716"/>
    </row>
    <row r="1320">
      <c r="D1320" s="715"/>
      <c r="E1320" s="715"/>
      <c r="F1320" s="715"/>
      <c r="G1320" s="715"/>
      <c r="H1320" s="715"/>
      <c r="AS1320" s="716"/>
    </row>
    <row r="1321">
      <c r="D1321" s="715"/>
      <c r="E1321" s="715"/>
      <c r="F1321" s="715"/>
      <c r="G1321" s="715"/>
      <c r="H1321" s="715"/>
      <c r="AS1321" s="716"/>
    </row>
    <row r="1322">
      <c r="D1322" s="715"/>
      <c r="E1322" s="715"/>
      <c r="F1322" s="715"/>
      <c r="G1322" s="715"/>
      <c r="H1322" s="715"/>
      <c r="AS1322" s="716"/>
    </row>
    <row r="1323">
      <c r="D1323" s="715"/>
      <c r="E1323" s="715"/>
      <c r="F1323" s="715"/>
      <c r="G1323" s="715"/>
      <c r="H1323" s="715"/>
      <c r="AS1323" s="716"/>
    </row>
    <row r="1324">
      <c r="D1324" s="715"/>
      <c r="E1324" s="715"/>
      <c r="F1324" s="715"/>
      <c r="G1324" s="715"/>
      <c r="H1324" s="715"/>
      <c r="AS1324" s="716"/>
    </row>
    <row r="1325">
      <c r="D1325" s="715"/>
      <c r="E1325" s="715"/>
      <c r="F1325" s="715"/>
      <c r="G1325" s="715"/>
      <c r="H1325" s="715"/>
      <c r="AS1325" s="716"/>
    </row>
    <row r="1326">
      <c r="D1326" s="715"/>
      <c r="E1326" s="715"/>
      <c r="F1326" s="715"/>
      <c r="G1326" s="715"/>
      <c r="H1326" s="715"/>
      <c r="AS1326" s="716"/>
    </row>
    <row r="1327">
      <c r="D1327" s="715"/>
      <c r="E1327" s="715"/>
      <c r="F1327" s="715"/>
      <c r="G1327" s="715"/>
      <c r="H1327" s="715"/>
      <c r="AS1327" s="716"/>
    </row>
    <row r="1328">
      <c r="D1328" s="715"/>
      <c r="E1328" s="715"/>
      <c r="F1328" s="715"/>
      <c r="G1328" s="715"/>
      <c r="H1328" s="715"/>
      <c r="AS1328" s="716"/>
    </row>
    <row r="1329">
      <c r="D1329" s="715"/>
      <c r="E1329" s="715"/>
      <c r="F1329" s="715"/>
      <c r="G1329" s="715"/>
      <c r="H1329" s="715"/>
      <c r="AS1329" s="716"/>
    </row>
    <row r="1330">
      <c r="D1330" s="715"/>
      <c r="E1330" s="715"/>
      <c r="F1330" s="715"/>
      <c r="G1330" s="715"/>
      <c r="H1330" s="715"/>
      <c r="AS1330" s="716"/>
    </row>
    <row r="1331">
      <c r="D1331" s="715"/>
      <c r="E1331" s="715"/>
      <c r="F1331" s="715"/>
      <c r="G1331" s="715"/>
      <c r="H1331" s="715"/>
      <c r="AS1331" s="716"/>
    </row>
    <row r="1332">
      <c r="D1332" s="715"/>
      <c r="E1332" s="715"/>
      <c r="F1332" s="715"/>
      <c r="G1332" s="715"/>
      <c r="H1332" s="715"/>
      <c r="AS1332" s="716"/>
    </row>
    <row r="1333">
      <c r="D1333" s="715"/>
      <c r="E1333" s="715"/>
      <c r="F1333" s="715"/>
      <c r="G1333" s="715"/>
      <c r="H1333" s="715"/>
      <c r="AS1333" s="716"/>
    </row>
    <row r="1334">
      <c r="D1334" s="715"/>
      <c r="E1334" s="715"/>
      <c r="F1334" s="715"/>
      <c r="G1334" s="715"/>
      <c r="H1334" s="715"/>
      <c r="AS1334" s="716"/>
    </row>
    <row r="1335">
      <c r="D1335" s="715"/>
      <c r="E1335" s="715"/>
      <c r="F1335" s="715"/>
      <c r="G1335" s="715"/>
      <c r="H1335" s="715"/>
      <c r="AS1335" s="716"/>
    </row>
    <row r="1336">
      <c r="D1336" s="715"/>
      <c r="E1336" s="715"/>
      <c r="F1336" s="715"/>
      <c r="G1336" s="715"/>
      <c r="H1336" s="715"/>
      <c r="AS1336" s="716"/>
    </row>
    <row r="1337">
      <c r="D1337" s="715"/>
      <c r="E1337" s="715"/>
      <c r="F1337" s="715"/>
      <c r="G1337" s="715"/>
      <c r="H1337" s="715"/>
      <c r="AS1337" s="716"/>
    </row>
    <row r="1338">
      <c r="D1338" s="715"/>
      <c r="E1338" s="715"/>
      <c r="F1338" s="715"/>
      <c r="G1338" s="715"/>
      <c r="H1338" s="715"/>
      <c r="AS1338" s="716"/>
    </row>
    <row r="1339">
      <c r="D1339" s="715"/>
      <c r="E1339" s="715"/>
      <c r="F1339" s="715"/>
      <c r="G1339" s="715"/>
      <c r="H1339" s="715"/>
      <c r="AS1339" s="716"/>
    </row>
    <row r="1340">
      <c r="D1340" s="715"/>
      <c r="E1340" s="715"/>
      <c r="F1340" s="715"/>
      <c r="G1340" s="715"/>
      <c r="H1340" s="715"/>
      <c r="AS1340" s="716"/>
    </row>
    <row r="1341">
      <c r="D1341" s="715"/>
      <c r="E1341" s="715"/>
      <c r="F1341" s="715"/>
      <c r="G1341" s="715"/>
      <c r="H1341" s="715"/>
      <c r="AS1341" s="716"/>
    </row>
    <row r="1342">
      <c r="D1342" s="715"/>
      <c r="E1342" s="715"/>
      <c r="F1342" s="715"/>
      <c r="G1342" s="715"/>
      <c r="H1342" s="715"/>
      <c r="AS1342" s="716"/>
    </row>
  </sheetData>
  <mergeCells count="122">
    <mergeCell ref="T3:W3"/>
    <mergeCell ref="X3:AA3"/>
    <mergeCell ref="AO4:AR4"/>
    <mergeCell ref="AJ7:AK7"/>
    <mergeCell ref="AP19:AQ19"/>
    <mergeCell ref="N25:O25"/>
    <mergeCell ref="N31:O31"/>
    <mergeCell ref="N34:O34"/>
    <mergeCell ref="N36:O36"/>
    <mergeCell ref="N39:O39"/>
    <mergeCell ref="N40:O40"/>
    <mergeCell ref="N43:O43"/>
    <mergeCell ref="N46:O46"/>
    <mergeCell ref="N49:O49"/>
    <mergeCell ref="N51:O51"/>
    <mergeCell ref="N55:O55"/>
    <mergeCell ref="N57:O57"/>
    <mergeCell ref="N58:O58"/>
    <mergeCell ref="N60:O60"/>
    <mergeCell ref="N61:O61"/>
    <mergeCell ref="N63:O63"/>
    <mergeCell ref="N64:O64"/>
    <mergeCell ref="N67:O67"/>
    <mergeCell ref="N69:O69"/>
    <mergeCell ref="N76:O76"/>
    <mergeCell ref="N130:O130"/>
    <mergeCell ref="N132:O132"/>
    <mergeCell ref="N133:P133"/>
    <mergeCell ref="N136:P136"/>
    <mergeCell ref="N138:P138"/>
    <mergeCell ref="N142:O142"/>
    <mergeCell ref="N145:O145"/>
    <mergeCell ref="N151:O151"/>
    <mergeCell ref="N154:P154"/>
    <mergeCell ref="N193:O193"/>
    <mergeCell ref="N202:O202"/>
    <mergeCell ref="N205:O205"/>
    <mergeCell ref="N208:O208"/>
    <mergeCell ref="P208:Q208"/>
    <mergeCell ref="N211:O211"/>
    <mergeCell ref="N214:O214"/>
    <mergeCell ref="N217:O217"/>
    <mergeCell ref="N220:O220"/>
    <mergeCell ref="N223:O223"/>
    <mergeCell ref="N226:O226"/>
    <mergeCell ref="N229:O229"/>
    <mergeCell ref="N231:O231"/>
    <mergeCell ref="N232:O232"/>
    <mergeCell ref="N235:O235"/>
    <mergeCell ref="N445:O445"/>
    <mergeCell ref="N448:O448"/>
    <mergeCell ref="N450:O450"/>
    <mergeCell ref="N454:P454"/>
    <mergeCell ref="N456:P456"/>
    <mergeCell ref="N457:O457"/>
    <mergeCell ref="N460:P460"/>
    <mergeCell ref="N462:P462"/>
    <mergeCell ref="N463:O463"/>
    <mergeCell ref="N465:O465"/>
    <mergeCell ref="N472:O472"/>
    <mergeCell ref="N474:O474"/>
    <mergeCell ref="N478:O478"/>
    <mergeCell ref="N480:O480"/>
    <mergeCell ref="N501:O501"/>
    <mergeCell ref="N502:O502"/>
    <mergeCell ref="N511:O511"/>
    <mergeCell ref="N514:O514"/>
    <mergeCell ref="N484:P484"/>
    <mergeCell ref="N487:O487"/>
    <mergeCell ref="N490:P490"/>
    <mergeCell ref="N492:P492"/>
    <mergeCell ref="N493:P493"/>
    <mergeCell ref="N496:P496"/>
    <mergeCell ref="N499:O499"/>
    <mergeCell ref="N259:O259"/>
    <mergeCell ref="N261:O261"/>
    <mergeCell ref="N262:P262"/>
    <mergeCell ref="N265:O265"/>
    <mergeCell ref="N268:P268"/>
    <mergeCell ref="AC268:AD268"/>
    <mergeCell ref="AC271:AD271"/>
    <mergeCell ref="N237:O237"/>
    <mergeCell ref="N244:P244"/>
    <mergeCell ref="N246:P246"/>
    <mergeCell ref="N247:O247"/>
    <mergeCell ref="N250:O250"/>
    <mergeCell ref="N253:P253"/>
    <mergeCell ref="N256:P256"/>
    <mergeCell ref="N289:P289"/>
    <mergeCell ref="N292:O292"/>
    <mergeCell ref="N295:O295"/>
    <mergeCell ref="N297:O297"/>
    <mergeCell ref="N298:O298"/>
    <mergeCell ref="AL298:AM298"/>
    <mergeCell ref="N300:O300"/>
    <mergeCell ref="N271:P271"/>
    <mergeCell ref="N274:O274"/>
    <mergeCell ref="N276:O276"/>
    <mergeCell ref="N277:O277"/>
    <mergeCell ref="N280:O280"/>
    <mergeCell ref="P280:Q280"/>
    <mergeCell ref="N286:O286"/>
    <mergeCell ref="N346:O346"/>
    <mergeCell ref="N349:O349"/>
    <mergeCell ref="N352:O352"/>
    <mergeCell ref="N355:O355"/>
    <mergeCell ref="N358:O358"/>
    <mergeCell ref="N361:O361"/>
    <mergeCell ref="N364:O364"/>
    <mergeCell ref="N370:O370"/>
    <mergeCell ref="N424:P424"/>
    <mergeCell ref="N427:O427"/>
    <mergeCell ref="N430:O430"/>
    <mergeCell ref="N436:O436"/>
    <mergeCell ref="N439:P439"/>
    <mergeCell ref="N442:P442"/>
    <mergeCell ref="AM478:AP478"/>
    <mergeCell ref="AM480:AP480"/>
    <mergeCell ref="AI481:AJ481"/>
    <mergeCell ref="AI483:AJ483"/>
    <mergeCell ref="AM487:AO487"/>
    <mergeCell ref="AP487:AQ487"/>
  </mergeCells>
  <conditionalFormatting sqref="D4:D516 E4:H13 I4:N516 O4:O387 P4:P516 Q4:Q73 R4:AR516 AS4:AS307 E16:G79 H16:H20 H22:H79 Q75:Q516 E82:H516 AS309:AS310 AS312:AS313 AS315:AS316 AS318:AS319 AS321:AS322 AS324:AS325 AS327:AS328 AS330:AS516 O389:O516">
    <cfRule type="expression" dxfId="0" priority="1">
      <formula>iseven((Row()+2)/3)</formula>
    </cfRule>
  </conditionalFormatting>
  <hyperlinks>
    <hyperlink r:id="rId2" location="peerreview" ref="N4"/>
    <hyperlink r:id="rId3" ref="O4"/>
    <hyperlink r:id="rId4" ref="AD4"/>
    <hyperlink r:id="rId5" location="publicationaheadofprint" ref="AH4"/>
    <hyperlink r:id="rId6" location="peerreview" ref="N6"/>
    <hyperlink r:id="rId7" ref="O6"/>
    <hyperlink r:id="rId8" ref="AD6"/>
    <hyperlink r:id="rId9" location="publicationaheadofprint" ref="AH6"/>
    <hyperlink r:id="rId10" ref="N7"/>
    <hyperlink r:id="rId11" ref="S7"/>
    <hyperlink r:id="rId12" ref="AH7"/>
    <hyperlink r:id="rId13" ref="N8"/>
    <hyperlink r:id="rId14" ref="S9"/>
    <hyperlink r:id="rId15" ref="N10"/>
    <hyperlink r:id="rId16" ref="S10"/>
    <hyperlink r:id="rId17" ref="AH10"/>
    <hyperlink r:id="rId18" ref="N12"/>
    <hyperlink r:id="rId19" ref="AH12"/>
    <hyperlink r:id="rId20" ref="N13"/>
    <hyperlink r:id="rId21" ref="S13"/>
    <hyperlink r:id="rId22" ref="AH13"/>
    <hyperlink r:id="rId23" ref="S15"/>
    <hyperlink r:id="rId24" ref="AH15"/>
    <hyperlink r:id="rId25" location="amrR7" ref="N16"/>
    <hyperlink r:id="rId26" location="amrR7" ref="P16"/>
    <hyperlink r:id="rId27" location="amrR7" ref="AD16"/>
    <hyperlink r:id="rId28" ref="O17"/>
    <hyperlink r:id="rId29" ref="AH17"/>
    <hyperlink r:id="rId30" ref="O18"/>
    <hyperlink r:id="rId31" location="amrR7" ref="AD18"/>
    <hyperlink r:id="rId32" ref="AH18"/>
    <hyperlink r:id="rId33" ref="N19"/>
    <hyperlink r:id="rId34" ref="S19"/>
    <hyperlink r:id="rId35" ref="AH19"/>
    <hyperlink r:id="rId36" ref="N20"/>
    <hyperlink r:id="rId37" ref="O20"/>
    <hyperlink r:id="rId38" ref="S20"/>
    <hyperlink r:id="rId39" ref="N21"/>
    <hyperlink r:id="rId40" ref="O21"/>
    <hyperlink r:id="rId41" ref="S21"/>
    <hyperlink r:id="rId42" ref="AH21"/>
    <hyperlink r:id="rId43" ref="N22"/>
    <hyperlink r:id="rId44" ref="AD22"/>
    <hyperlink r:id="rId45" ref="AH22"/>
    <hyperlink r:id="rId46" ref="N23"/>
    <hyperlink r:id="rId47" ref="N24"/>
    <hyperlink r:id="rId48" ref="N25"/>
    <hyperlink r:id="rId49" ref="AD25"/>
    <hyperlink r:id="rId50" ref="AH25"/>
    <hyperlink r:id="rId51" ref="N26"/>
    <hyperlink r:id="rId52" ref="AH26"/>
    <hyperlink r:id="rId53" ref="N27"/>
    <hyperlink r:id="rId54" ref="AH27"/>
    <hyperlink r:id="rId55" ref="N28"/>
    <hyperlink r:id="rId56" ref="AD28"/>
    <hyperlink r:id="rId57" ref="AH28"/>
    <hyperlink r:id="rId58" ref="N29"/>
    <hyperlink r:id="rId59" ref="AH29"/>
    <hyperlink r:id="rId60" ref="N30"/>
    <hyperlink r:id="rId61" ref="AH30"/>
    <hyperlink r:id="rId62" ref="N31"/>
    <hyperlink r:id="rId63" ref="AD31"/>
    <hyperlink r:id="rId64" ref="AH31"/>
    <hyperlink r:id="rId65" ref="N33"/>
    <hyperlink r:id="rId66" ref="AD33"/>
    <hyperlink r:id="rId67" ref="AH33"/>
    <hyperlink r:id="rId68" ref="N34"/>
    <hyperlink r:id="rId69" ref="AD34"/>
    <hyperlink r:id="rId70" ref="AH34"/>
    <hyperlink r:id="rId71" ref="N36"/>
    <hyperlink r:id="rId72" ref="AD36"/>
    <hyperlink r:id="rId73" ref="AH36"/>
    <hyperlink r:id="rId74" ref="N37"/>
    <hyperlink r:id="rId75" ref="AD37"/>
    <hyperlink r:id="rId76" ref="N39"/>
    <hyperlink r:id="rId77" ref="AD39"/>
    <hyperlink r:id="rId78" ref="N40"/>
    <hyperlink r:id="rId79" ref="P40"/>
    <hyperlink r:id="rId80" ref="N41"/>
    <hyperlink r:id="rId81" ref="N42"/>
    <hyperlink r:id="rId82" ref="N43"/>
    <hyperlink r:id="rId83" ref="P43"/>
    <hyperlink r:id="rId84" ref="AD43"/>
    <hyperlink r:id="rId85" ref="AH43"/>
    <hyperlink r:id="rId86" location="submission-guidelines" ref="N44"/>
    <hyperlink r:id="rId87" ref="P44"/>
    <hyperlink r:id="rId88" ref="AH44"/>
    <hyperlink r:id="rId89" location="submission-guidelines" ref="N45"/>
    <hyperlink r:id="rId90" ref="P45"/>
    <hyperlink r:id="rId91" ref="AD45"/>
    <hyperlink r:id="rId92" ref="AH45"/>
    <hyperlink r:id="rId93" ref="N46"/>
    <hyperlink r:id="rId94" ref="AH46"/>
    <hyperlink r:id="rId95" ref="N47"/>
    <hyperlink r:id="rId96" ref="P47"/>
    <hyperlink r:id="rId97" ref="AH47"/>
    <hyperlink r:id="rId98" ref="AH48"/>
    <hyperlink r:id="rId99" ref="N49"/>
    <hyperlink r:id="rId100" ref="P49"/>
    <hyperlink r:id="rId101" ref="AD49"/>
    <hyperlink r:id="rId102" ref="AH49"/>
    <hyperlink r:id="rId103" ref="N51"/>
    <hyperlink r:id="rId104" ref="P51"/>
    <hyperlink r:id="rId105" ref="AD51"/>
    <hyperlink r:id="rId106" ref="AH51"/>
    <hyperlink r:id="rId107" ref="N52"/>
    <hyperlink r:id="rId108" ref="AH52"/>
    <hyperlink r:id="rId109" ref="N54"/>
    <hyperlink r:id="rId110" ref="AH54"/>
    <hyperlink r:id="rId111" ref="N55"/>
    <hyperlink r:id="rId112" ref="P55"/>
    <hyperlink r:id="rId113" ref="S55"/>
    <hyperlink r:id="rId114" ref="AD55"/>
    <hyperlink r:id="rId115" ref="AH55"/>
    <hyperlink r:id="rId116" ref="N57"/>
    <hyperlink r:id="rId117" ref="P57"/>
    <hyperlink r:id="rId118" ref="S57"/>
    <hyperlink r:id="rId119" ref="AD57"/>
    <hyperlink r:id="rId120" ref="AH57"/>
    <hyperlink r:id="rId121" ref="N58"/>
    <hyperlink r:id="rId122" location="recognizing" ref="P58"/>
    <hyperlink r:id="rId123" ref="S58"/>
    <hyperlink r:id="rId124" ref="AH58"/>
    <hyperlink r:id="rId125" ref="N60"/>
    <hyperlink r:id="rId126" location="recognizing" ref="P60"/>
    <hyperlink r:id="rId127" ref="S60"/>
    <hyperlink r:id="rId128" ref="AH60"/>
    <hyperlink r:id="rId129" location="20910" ref="N61"/>
    <hyperlink r:id="rId130" location="recognizing" ref="P61"/>
    <hyperlink r:id="rId131" ref="S61"/>
    <hyperlink r:id="rId132" location="20910" ref="AD61"/>
    <hyperlink r:id="rId133" ref="AH61"/>
    <hyperlink r:id="rId134" location="20910" ref="N63"/>
    <hyperlink r:id="rId135" location="recognizing" ref="P63"/>
    <hyperlink r:id="rId136" ref="S63"/>
    <hyperlink r:id="rId137" ref="AH63"/>
    <hyperlink r:id="rId138" ref="N64"/>
    <hyperlink r:id="rId139" ref="AD64"/>
    <hyperlink r:id="rId140" ref="AH64"/>
    <hyperlink r:id="rId141" ref="N66"/>
    <hyperlink r:id="rId142" ref="AD66"/>
    <hyperlink r:id="rId143" ref="AH66"/>
    <hyperlink r:id="rId144" ref="N67"/>
    <hyperlink r:id="rId145" ref="S67"/>
    <hyperlink r:id="rId146" ref="N69"/>
    <hyperlink r:id="rId147" ref="S69"/>
    <hyperlink r:id="rId148" ref="AH70"/>
    <hyperlink r:id="rId149" ref="AH72"/>
    <hyperlink r:id="rId150" ref="N73"/>
    <hyperlink r:id="rId151" location="recognizing" ref="P73"/>
    <hyperlink r:id="rId152" ref="S73"/>
    <hyperlink r:id="rId153" ref="AD73"/>
    <hyperlink r:id="rId154" ref="N75"/>
    <hyperlink r:id="rId155" location="recognizing" ref="P75"/>
    <hyperlink r:id="rId156" ref="S75"/>
    <hyperlink r:id="rId157" ref="AD75"/>
    <hyperlink r:id="rId158" ref="N76"/>
    <hyperlink r:id="rId159" ref="P76"/>
    <hyperlink r:id="rId160" ref="AD76"/>
    <hyperlink r:id="rId161" ref="N78"/>
    <hyperlink r:id="rId162" ref="P78"/>
    <hyperlink r:id="rId163" ref="AD78"/>
    <hyperlink r:id="rId164" ref="AH78"/>
    <hyperlink r:id="rId165" ref="N79"/>
    <hyperlink r:id="rId166" ref="O79"/>
    <hyperlink r:id="rId167" ref="P79"/>
    <hyperlink r:id="rId168" ref="R79"/>
    <hyperlink r:id="rId169" ref="S79"/>
    <hyperlink r:id="rId170" ref="AB79"/>
    <hyperlink r:id="rId171" ref="AH79"/>
    <hyperlink r:id="rId172" ref="AQ79"/>
    <hyperlink r:id="rId173" ref="AD80"/>
    <hyperlink r:id="rId174" ref="N81"/>
    <hyperlink r:id="rId175" ref="P81"/>
    <hyperlink r:id="rId176" ref="R81"/>
    <hyperlink r:id="rId177" ref="S81"/>
    <hyperlink r:id="rId178" ref="AB81"/>
    <hyperlink r:id="rId179" ref="AD81"/>
    <hyperlink r:id="rId180" ref="AH81"/>
    <hyperlink r:id="rId181" ref="N82"/>
    <hyperlink r:id="rId182" ref="S82"/>
    <hyperlink r:id="rId183" ref="AB82"/>
    <hyperlink r:id="rId184" ref="AD82"/>
    <hyperlink r:id="rId185" ref="AH82"/>
    <hyperlink r:id="rId186" ref="AJ82"/>
    <hyperlink r:id="rId187" location="prepub" ref="AM82"/>
    <hyperlink r:id="rId188" ref="AQ82"/>
    <hyperlink r:id="rId189" ref="N84"/>
    <hyperlink r:id="rId190" ref="S84"/>
    <hyperlink r:id="rId191" ref="AB84"/>
    <hyperlink r:id="rId192" ref="AD84"/>
    <hyperlink r:id="rId193" ref="AH84"/>
    <hyperlink r:id="rId194" ref="AJ84"/>
    <hyperlink r:id="rId195" location="prepub" ref="AM84"/>
    <hyperlink r:id="rId196" location="peerrev" ref="N85"/>
    <hyperlink r:id="rId197" ref="P85"/>
    <hyperlink r:id="rId198" ref="S85"/>
    <hyperlink r:id="rId199" ref="AH85"/>
    <hyperlink r:id="rId200" ref="AQ85"/>
    <hyperlink r:id="rId201" location="peerrev" ref="N87"/>
    <hyperlink r:id="rId202" ref="P87"/>
    <hyperlink r:id="rId203" ref="S87"/>
    <hyperlink r:id="rId204" ref="AH87"/>
    <hyperlink r:id="rId205" ref="N88"/>
    <hyperlink r:id="rId206" ref="S88"/>
    <hyperlink r:id="rId207" ref="AB88"/>
    <hyperlink r:id="rId208" ref="AD88"/>
    <hyperlink r:id="rId209" ref="AH88"/>
    <hyperlink r:id="rId210" ref="AJ88"/>
    <hyperlink r:id="rId211" ref="AM88"/>
    <hyperlink r:id="rId212" ref="AQ88"/>
    <hyperlink r:id="rId213" ref="N90"/>
    <hyperlink r:id="rId214" ref="S90"/>
    <hyperlink r:id="rId215" ref="AD90"/>
    <hyperlink r:id="rId216" ref="AH90"/>
    <hyperlink r:id="rId217" ref="AJ90"/>
    <hyperlink r:id="rId218" ref="N91"/>
    <hyperlink r:id="rId219" ref="S91"/>
    <hyperlink r:id="rId220" ref="AB91"/>
    <hyperlink r:id="rId221" ref="AD91"/>
    <hyperlink r:id="rId222" ref="AH91"/>
    <hyperlink r:id="rId223" ref="AJ91"/>
    <hyperlink r:id="rId224" location="prepub" ref="AM91"/>
    <hyperlink r:id="rId225" ref="AQ91"/>
    <hyperlink r:id="rId226" ref="N93"/>
    <hyperlink r:id="rId227" ref="S93"/>
    <hyperlink r:id="rId228" ref="AD93"/>
    <hyperlink r:id="rId229" ref="AH93"/>
    <hyperlink r:id="rId230" ref="AJ93"/>
    <hyperlink r:id="rId231" ref="N94"/>
    <hyperlink r:id="rId232" ref="S94"/>
    <hyperlink r:id="rId233" ref="AB94"/>
    <hyperlink r:id="rId234" ref="AD94"/>
    <hyperlink r:id="rId235" ref="AH94"/>
    <hyperlink r:id="rId236" ref="AJ94"/>
    <hyperlink r:id="rId237" location="prepub" ref="AM94"/>
    <hyperlink r:id="rId238" ref="AQ94"/>
    <hyperlink r:id="rId239" ref="N96"/>
    <hyperlink r:id="rId240" ref="S96"/>
    <hyperlink r:id="rId241" ref="AD96"/>
    <hyperlink r:id="rId242" ref="AH96"/>
    <hyperlink r:id="rId243" ref="AJ96"/>
    <hyperlink r:id="rId244" ref="N97"/>
    <hyperlink r:id="rId245" location="becoming-reviewer" ref="P97"/>
    <hyperlink r:id="rId246" location="transfers" ref="S97"/>
    <hyperlink r:id="rId247" location="prior-publication" ref="AH97"/>
    <hyperlink r:id="rId248" location="%20journal-specific-guidelines" ref="AQ97"/>
    <hyperlink r:id="rId249" ref="N99"/>
    <hyperlink r:id="rId250" location="becoming-reviewer" ref="P99"/>
    <hyperlink r:id="rId251" location="transfers" ref="S99"/>
    <hyperlink r:id="rId252" location="prior-publication" ref="AH99"/>
    <hyperlink r:id="rId253" ref="N100"/>
    <hyperlink r:id="rId254" ref="S100"/>
    <hyperlink r:id="rId255" ref="AH100"/>
    <hyperlink r:id="rId256" ref="AQ100"/>
    <hyperlink r:id="rId257" ref="N102"/>
    <hyperlink r:id="rId258" ref="S102"/>
    <hyperlink r:id="rId259" ref="AH102"/>
    <hyperlink r:id="rId260" ref="N103"/>
    <hyperlink r:id="rId261" location="becoming-reviewer" ref="P103"/>
    <hyperlink r:id="rId262" location="transfers" ref="S103"/>
    <hyperlink r:id="rId263" location="prior-publication" ref="AH103"/>
    <hyperlink r:id="rId264" location="%20journal-specific-guidelines" ref="AQ103"/>
    <hyperlink r:id="rId265" location="ethical-responsibilities" ref="AD104"/>
    <hyperlink r:id="rId266" ref="N105"/>
    <hyperlink r:id="rId267" location="becoming-reviewer" ref="P105"/>
    <hyperlink r:id="rId268" location="transfers" ref="S105"/>
    <hyperlink r:id="rId269" location="ethical-responsibilities" ref="AD105"/>
    <hyperlink r:id="rId270" location="prior-publication" ref="AH105"/>
    <hyperlink r:id="rId271" ref="N106"/>
    <hyperlink r:id="rId272" ref="S106"/>
    <hyperlink r:id="rId273" ref="AH106"/>
    <hyperlink r:id="rId274" ref="AQ106"/>
    <hyperlink r:id="rId275" ref="N108"/>
    <hyperlink r:id="rId276" ref="S108"/>
    <hyperlink r:id="rId277" ref="AH108"/>
    <hyperlink r:id="rId278" ref="AQ108"/>
    <hyperlink r:id="rId279" ref="N109"/>
    <hyperlink r:id="rId280" ref="AH109"/>
    <hyperlink r:id="rId281" ref="AQ109"/>
    <hyperlink r:id="rId282" ref="AD110"/>
    <hyperlink r:id="rId283" ref="N111"/>
    <hyperlink r:id="rId284" ref="AH111"/>
    <hyperlink r:id="rId285" ref="AQ111"/>
    <hyperlink r:id="rId286" ref="N112"/>
    <hyperlink r:id="rId287" ref="AH112"/>
    <hyperlink r:id="rId288" ref="AQ112"/>
    <hyperlink r:id="rId289" ref="AD113"/>
    <hyperlink r:id="rId290" ref="N114"/>
    <hyperlink r:id="rId291" ref="AD114"/>
    <hyperlink r:id="rId292" ref="AH114"/>
    <hyperlink r:id="rId293" ref="AQ114"/>
    <hyperlink r:id="rId294" location="peerrev" ref="N115"/>
    <hyperlink r:id="rId295" ref="P115"/>
    <hyperlink r:id="rId296" ref="S115"/>
    <hyperlink r:id="rId297" ref="AH115"/>
    <hyperlink r:id="rId298" ref="AQ115"/>
    <hyperlink r:id="rId299" ref="AD116"/>
    <hyperlink r:id="rId300" location="peerrev" ref="N117"/>
    <hyperlink r:id="rId301" ref="P117"/>
    <hyperlink r:id="rId302" ref="S117"/>
    <hyperlink r:id="rId303" ref="AD117"/>
    <hyperlink r:id="rId304" ref="AH117"/>
    <hyperlink r:id="rId305" ref="AQ117"/>
    <hyperlink r:id="rId306" ref="N118"/>
    <hyperlink r:id="rId307" location="recognizing" ref="P118"/>
    <hyperlink r:id="rId308" ref="R118"/>
    <hyperlink r:id="rId309" ref="S118"/>
    <hyperlink r:id="rId310" ref="AH118"/>
    <hyperlink r:id="rId311" ref="AQ118"/>
    <hyperlink r:id="rId312" ref="N119"/>
    <hyperlink r:id="rId313" ref="AH119"/>
    <hyperlink r:id="rId314" ref="N120"/>
    <hyperlink r:id="rId315" location="recognizing" ref="P120"/>
    <hyperlink r:id="rId316" ref="R120"/>
    <hyperlink r:id="rId317" ref="S120"/>
    <hyperlink r:id="rId318" ref="AH120"/>
    <hyperlink r:id="rId319" ref="AQ120"/>
    <hyperlink r:id="rId320" location="peerreview" ref="N121"/>
    <hyperlink r:id="rId321" ref="P121"/>
    <hyperlink r:id="rId322" location="originality" ref="AH121"/>
    <hyperlink r:id="rId323" ref="AM121"/>
    <hyperlink r:id="rId324" ref="AD122"/>
    <hyperlink r:id="rId325" location="peerreview" ref="N123"/>
    <hyperlink r:id="rId326" ref="P123"/>
    <hyperlink r:id="rId327" ref="AD123"/>
    <hyperlink r:id="rId328" location="originality" ref="AH123"/>
    <hyperlink r:id="rId329" ref="AM123"/>
    <hyperlink r:id="rId330" ref="N124"/>
    <hyperlink r:id="rId331" ref="AQ124"/>
    <hyperlink r:id="rId332" ref="N125"/>
    <hyperlink r:id="rId333" location="Peer_review" ref="N126"/>
    <hyperlink r:id="rId334" ref="AQ126"/>
    <hyperlink r:id="rId335" ref="N127"/>
    <hyperlink r:id="rId336" location="sharing" ref="S127"/>
    <hyperlink r:id="rId337" location="priorpublication" ref="AH127"/>
    <hyperlink r:id="rId338" ref="AQ127"/>
    <hyperlink r:id="rId339" location="reviewprocess" ref="N129"/>
    <hyperlink r:id="rId340" location="sharing" ref="S129"/>
    <hyperlink r:id="rId341" location="priorpublication" ref="AH129"/>
    <hyperlink r:id="rId342" location="review-procedure" ref="N130"/>
    <hyperlink r:id="rId343" location="submissions" ref="S130"/>
    <hyperlink r:id="rId344" ref="AH130"/>
    <hyperlink r:id="rId345" location="review-procedure" ref="N132"/>
    <hyperlink r:id="rId346" location="transfers" ref="S132"/>
    <hyperlink r:id="rId347" location="prior-publication" ref="AH132"/>
    <hyperlink r:id="rId348" ref="N133"/>
    <hyperlink r:id="rId349" ref="S133"/>
    <hyperlink r:id="rId350" ref="AH133"/>
    <hyperlink r:id="rId351" ref="N135"/>
    <hyperlink r:id="rId352" ref="S135"/>
    <hyperlink r:id="rId353" ref="AH135"/>
    <hyperlink r:id="rId354" location="3.1" ref="N136"/>
    <hyperlink r:id="rId355" ref="S136"/>
    <hyperlink r:id="rId356" ref="AH136"/>
    <hyperlink r:id="rId357" location="3.1" ref="N138"/>
    <hyperlink r:id="rId358" ref="S138"/>
    <hyperlink r:id="rId359" ref="AH138"/>
    <hyperlink r:id="rId360" ref="N139"/>
    <hyperlink r:id="rId361" location="RRP" ref="P139"/>
    <hyperlink r:id="rId362" ref="S139"/>
    <hyperlink r:id="rId363" ref="N141"/>
    <hyperlink r:id="rId364" location="RRP" ref="P141"/>
    <hyperlink r:id="rId365" ref="S141"/>
    <hyperlink r:id="rId366" ref="N142"/>
    <hyperlink r:id="rId367" ref="P142"/>
    <hyperlink r:id="rId368" ref="S142"/>
    <hyperlink r:id="rId369" ref="AD142"/>
    <hyperlink r:id="rId370" ref="AH142"/>
    <hyperlink r:id="rId371" ref="N144"/>
    <hyperlink r:id="rId372" ref="P144"/>
    <hyperlink r:id="rId373" ref="S144"/>
    <hyperlink r:id="rId374" ref="AD144"/>
    <hyperlink r:id="rId375" ref="AH144"/>
    <hyperlink r:id="rId376" location="submission-guidelines" ref="N145"/>
    <hyperlink r:id="rId377" ref="P145"/>
    <hyperlink r:id="rId378" ref="AH145"/>
    <hyperlink r:id="rId379" location="submission-guidelines" ref="N147"/>
    <hyperlink r:id="rId380" ref="P147"/>
    <hyperlink r:id="rId381" ref="AH147"/>
    <hyperlink r:id="rId382" ref="N148"/>
    <hyperlink r:id="rId383" ref="P148"/>
    <hyperlink r:id="rId384" ref="AD148"/>
    <hyperlink r:id="rId385" ref="AH148"/>
    <hyperlink r:id="rId386" ref="N150"/>
    <hyperlink r:id="rId387" ref="P150"/>
    <hyperlink r:id="rId388" ref="AD150"/>
    <hyperlink r:id="rId389" ref="AH150"/>
    <hyperlink r:id="rId390" location="recognizing" ref="P151"/>
    <hyperlink r:id="rId391" ref="S151"/>
    <hyperlink r:id="rId392" ref="AD151"/>
    <hyperlink r:id="rId393" ref="AH151"/>
    <hyperlink r:id="rId394" location="recognizing" ref="P153"/>
    <hyperlink r:id="rId395" ref="S153"/>
    <hyperlink r:id="rId396" ref="AD153"/>
    <hyperlink r:id="rId397" ref="AH153"/>
    <hyperlink r:id="rId398" location="16000" ref="N154"/>
    <hyperlink r:id="rId399" ref="S154"/>
    <hyperlink r:id="rId400" ref="AH154"/>
    <hyperlink r:id="rId401" ref="N156"/>
    <hyperlink r:id="rId402" ref="S156"/>
    <hyperlink r:id="rId403" ref="AD156"/>
    <hyperlink r:id="rId404" ref="AH156"/>
    <hyperlink r:id="rId405" ref="N157"/>
    <hyperlink r:id="rId406" location="manuscript_transfer" ref="S157"/>
    <hyperlink r:id="rId407" ref="AH157"/>
    <hyperlink r:id="rId408" ref="N159"/>
    <hyperlink r:id="rId409" location="manuscript_transfer" ref="S159"/>
    <hyperlink r:id="rId410" ref="AD159"/>
    <hyperlink r:id="rId411" ref="AH159"/>
    <hyperlink r:id="rId412" ref="N160"/>
    <hyperlink r:id="rId413" ref="P160"/>
    <hyperlink r:id="rId414" ref="S160"/>
    <hyperlink r:id="rId415" ref="AD160"/>
    <hyperlink r:id="rId416" location="embargopolicy" ref="AH160"/>
    <hyperlink r:id="rId417" ref="N162"/>
    <hyperlink r:id="rId418" ref="P162"/>
    <hyperlink r:id="rId419" ref="AD162"/>
    <hyperlink r:id="rId420" ref="AH162"/>
    <hyperlink r:id="rId421" ref="N163"/>
    <hyperlink r:id="rId422" ref="AH163"/>
    <hyperlink r:id="rId423" ref="N165"/>
    <hyperlink r:id="rId424" ref="AH165"/>
    <hyperlink r:id="rId425" ref="N166"/>
    <hyperlink r:id="rId426" ref="AH166"/>
    <hyperlink r:id="rId427" ref="AH167"/>
    <hyperlink r:id="rId428" ref="N168"/>
    <hyperlink r:id="rId429" ref="AH168"/>
    <hyperlink r:id="rId430" ref="N169"/>
    <hyperlink r:id="rId431" ref="AH169"/>
    <hyperlink r:id="rId432" ref="AH170"/>
    <hyperlink r:id="rId433" ref="N171"/>
    <hyperlink r:id="rId434" ref="AH171"/>
    <hyperlink r:id="rId435" ref="N173"/>
    <hyperlink r:id="rId436" ref="AH173"/>
    <hyperlink r:id="rId437" ref="N174"/>
    <hyperlink r:id="rId438" ref="AD174"/>
    <hyperlink r:id="rId439" ref="AH174"/>
    <hyperlink r:id="rId440" ref="N176"/>
    <hyperlink r:id="rId441" ref="AD176"/>
    <hyperlink r:id="rId442" ref="AH176"/>
    <hyperlink r:id="rId443" ref="N177"/>
    <hyperlink r:id="rId444" ref="AD177"/>
    <hyperlink r:id="rId445" ref="AH177"/>
    <hyperlink r:id="rId446" ref="N178"/>
    <hyperlink r:id="rId447" ref="AH178"/>
    <hyperlink r:id="rId448" ref="N180"/>
    <hyperlink r:id="rId449" ref="AH180"/>
    <hyperlink r:id="rId450" ref="N181"/>
    <hyperlink r:id="rId451" ref="AH181"/>
    <hyperlink r:id="rId452" ref="N183"/>
    <hyperlink r:id="rId453" ref="AH183"/>
    <hyperlink r:id="rId454" ref="N184"/>
    <hyperlink r:id="rId455" ref="AH184"/>
    <hyperlink r:id="rId456" ref="N186"/>
    <hyperlink r:id="rId457" ref="AH186"/>
    <hyperlink r:id="rId458" ref="N187"/>
    <hyperlink r:id="rId459" ref="AH187"/>
    <hyperlink r:id="rId460" ref="N188"/>
    <hyperlink r:id="rId461" ref="N189"/>
    <hyperlink r:id="rId462" ref="AH189"/>
    <hyperlink r:id="rId463" ref="N190"/>
    <hyperlink r:id="rId464" ref="AH190"/>
    <hyperlink r:id="rId465" ref="N191"/>
    <hyperlink r:id="rId466" ref="AD191"/>
    <hyperlink r:id="rId467" ref="N192"/>
    <hyperlink r:id="rId468" ref="AD192"/>
    <hyperlink r:id="rId469" ref="AH192"/>
    <hyperlink r:id="rId470" ref="N193"/>
    <hyperlink r:id="rId471" ref="R193"/>
    <hyperlink r:id="rId472" ref="S193"/>
    <hyperlink r:id="rId473" ref="AH193"/>
    <hyperlink r:id="rId474" ref="N194"/>
    <hyperlink r:id="rId475" ref="N195"/>
    <hyperlink r:id="rId476" ref="R195"/>
    <hyperlink r:id="rId477" ref="AH195"/>
    <hyperlink r:id="rId478" ref="N199"/>
    <hyperlink r:id="rId479" location="RRP" ref="P199"/>
    <hyperlink r:id="rId480" ref="S199"/>
    <hyperlink r:id="rId481" ref="AD199"/>
    <hyperlink r:id="rId482" ref="AH199"/>
    <hyperlink r:id="rId483" ref="AH200"/>
    <hyperlink r:id="rId484" ref="N201"/>
    <hyperlink r:id="rId485" location="RRP" ref="P201"/>
    <hyperlink r:id="rId486" ref="S201"/>
    <hyperlink r:id="rId487" ref="AD201"/>
    <hyperlink r:id="rId488" ref="AH201"/>
    <hyperlink r:id="rId489" ref="N202"/>
    <hyperlink r:id="rId490" ref="S202"/>
    <hyperlink r:id="rId491" location="SecPreviousorPlannedPresentationorReleaseofInformation" ref="AH202"/>
    <hyperlink r:id="rId492" ref="N204"/>
    <hyperlink r:id="rId493" ref="S204"/>
    <hyperlink r:id="rId494" location="SecPreviousorPlannedPresentationorReleaseofInformation" ref="AH204"/>
    <hyperlink r:id="rId495" ref="N205"/>
    <hyperlink r:id="rId496" ref="S205"/>
    <hyperlink r:id="rId497" ref="AH205"/>
    <hyperlink r:id="rId498" ref="AH206"/>
    <hyperlink r:id="rId499" ref="N207"/>
    <hyperlink r:id="rId500" ref="S207"/>
    <hyperlink r:id="rId501" ref="AH207"/>
    <hyperlink r:id="rId502" ref="N208"/>
    <hyperlink r:id="rId503" location="RRP" ref="P208"/>
    <hyperlink r:id="rId504" ref="S208"/>
    <hyperlink r:id="rId505" ref="AD208"/>
    <hyperlink r:id="rId506" ref="AH208"/>
    <hyperlink r:id="rId507" ref="AH209"/>
    <hyperlink r:id="rId508" ref="N210"/>
    <hyperlink r:id="rId509" location="RRP" ref="P210"/>
    <hyperlink r:id="rId510" ref="S210"/>
    <hyperlink r:id="rId511" ref="AD210"/>
    <hyperlink r:id="rId512" ref="AH210"/>
    <hyperlink r:id="rId513" ref="N211"/>
    <hyperlink r:id="rId514" ref="P211"/>
    <hyperlink r:id="rId515" ref="N213"/>
    <hyperlink r:id="rId516" ref="P213"/>
    <hyperlink r:id="rId517" ref="N214"/>
    <hyperlink r:id="rId518" location="recognizing" ref="P214"/>
    <hyperlink r:id="rId519" ref="S214"/>
    <hyperlink r:id="rId520" ref="AD214"/>
    <hyperlink r:id="rId521" ref="AH214"/>
    <hyperlink r:id="rId522" ref="AH215"/>
    <hyperlink r:id="rId523" ref="N216"/>
    <hyperlink r:id="rId524" location="recognizing" ref="P216"/>
    <hyperlink r:id="rId525" ref="S216"/>
    <hyperlink r:id="rId526" ref="AD216"/>
    <hyperlink r:id="rId527" ref="AH216"/>
    <hyperlink r:id="rId528" ref="N217"/>
    <hyperlink r:id="rId529" location="RRP" ref="P217"/>
    <hyperlink r:id="rId530" ref="S217"/>
    <hyperlink r:id="rId531" ref="AD217"/>
    <hyperlink r:id="rId532" ref="AH217"/>
    <hyperlink r:id="rId533" ref="AH218"/>
    <hyperlink r:id="rId534" ref="N219"/>
    <hyperlink r:id="rId535" location="RRP" ref="P219"/>
    <hyperlink r:id="rId536" ref="S219"/>
    <hyperlink r:id="rId537" ref="AD219"/>
    <hyperlink r:id="rId538" ref="AH219"/>
    <hyperlink r:id="rId539" ref="N220"/>
    <hyperlink r:id="rId540" ref="P220"/>
    <hyperlink r:id="rId541" ref="AH220"/>
    <hyperlink r:id="rId542" ref="N222"/>
    <hyperlink r:id="rId543" ref="P222"/>
    <hyperlink r:id="rId544" ref="AH222"/>
    <hyperlink r:id="rId545" ref="N223"/>
    <hyperlink r:id="rId546" ref="S223"/>
    <hyperlink r:id="rId547" location="Peer%20review" ref="N224"/>
    <hyperlink r:id="rId548" ref="AH224"/>
    <hyperlink r:id="rId549" location="Peer%20review" ref="N225"/>
    <hyperlink r:id="rId550" ref="AH225"/>
    <hyperlink r:id="rId551" ref="N226"/>
    <hyperlink r:id="rId552" ref="S226"/>
    <hyperlink r:id="rId553" ref="AH226"/>
    <hyperlink r:id="rId554" ref="P227"/>
    <hyperlink r:id="rId555" ref="N228"/>
    <hyperlink r:id="rId556" ref="P228"/>
    <hyperlink r:id="rId557" ref="S228"/>
    <hyperlink r:id="rId558" ref="AD228"/>
    <hyperlink r:id="rId559" ref="AH228"/>
    <hyperlink r:id="rId560" ref="N229"/>
    <hyperlink r:id="rId561" ref="N231"/>
    <hyperlink r:id="rId562" location="RRP" ref="P232"/>
    <hyperlink r:id="rId563" ref="AD232"/>
    <hyperlink r:id="rId564" ref="AH232"/>
    <hyperlink r:id="rId565" ref="AD234"/>
    <hyperlink r:id="rId566" ref="AH234"/>
    <hyperlink r:id="rId567" ref="S235"/>
    <hyperlink r:id="rId568" ref="S237"/>
    <hyperlink r:id="rId569" ref="N238"/>
    <hyperlink r:id="rId570" ref="O238"/>
    <hyperlink r:id="rId571" ref="P238"/>
    <hyperlink r:id="rId572" ref="N240"/>
    <hyperlink r:id="rId573" ref="O240"/>
    <hyperlink r:id="rId574" ref="P240"/>
    <hyperlink r:id="rId575" location="recognizing" ref="P241"/>
    <hyperlink r:id="rId576" ref="AH241"/>
    <hyperlink r:id="rId577" location="recognizing" ref="P243"/>
    <hyperlink r:id="rId578" ref="AH243"/>
    <hyperlink r:id="rId579" ref="N244"/>
    <hyperlink r:id="rId580" ref="S244"/>
    <hyperlink r:id="rId581" ref="N246"/>
    <hyperlink r:id="rId582" ref="S246"/>
    <hyperlink r:id="rId583" location="arXiv" ref="AH246"/>
    <hyperlink r:id="rId584" ref="N247"/>
    <hyperlink r:id="rId585" ref="P247"/>
    <hyperlink r:id="rId586" ref="AD247"/>
    <hyperlink r:id="rId587" ref="AH247"/>
    <hyperlink r:id="rId588" ref="N249"/>
    <hyperlink r:id="rId589" ref="P249"/>
    <hyperlink r:id="rId590" ref="AD249"/>
    <hyperlink r:id="rId591" ref="AH249"/>
    <hyperlink r:id="rId592" location="review-procedure" ref="N250"/>
    <hyperlink r:id="rId593" location="review-procedure" ref="P250"/>
    <hyperlink r:id="rId594" location="transfers" ref="S250"/>
    <hyperlink r:id="rId595" location="review-procedure" ref="AD250"/>
    <hyperlink r:id="rId596" location="prior-publication" ref="AH251"/>
    <hyperlink r:id="rId597" location="review-procedure" ref="N252"/>
    <hyperlink r:id="rId598" location="review-procedure" ref="P252"/>
    <hyperlink r:id="rId599" location="transfers" ref="S252"/>
    <hyperlink r:id="rId600" location="review-procedure" ref="AD252"/>
    <hyperlink r:id="rId601" location="prior-publication" ref="AH252"/>
    <hyperlink r:id="rId602" ref="N253"/>
    <hyperlink r:id="rId603" ref="S253"/>
    <hyperlink r:id="rId604" ref="N255"/>
    <hyperlink r:id="rId605" ref="S255"/>
    <hyperlink r:id="rId606" ref="N256"/>
    <hyperlink r:id="rId607" ref="S256"/>
    <hyperlink r:id="rId608" ref="AH256"/>
    <hyperlink r:id="rId609" ref="AH257"/>
    <hyperlink r:id="rId610" ref="N258"/>
    <hyperlink r:id="rId611" ref="S258"/>
    <hyperlink r:id="rId612" ref="AH258"/>
    <hyperlink r:id="rId613" ref="N259"/>
    <hyperlink r:id="rId614" ref="AH259"/>
    <hyperlink r:id="rId615" ref="N261"/>
    <hyperlink r:id="rId616" ref="AH261"/>
    <hyperlink r:id="rId617" ref="N262"/>
    <hyperlink r:id="rId618" ref="N264"/>
    <hyperlink r:id="rId619" location="PeerReviewPolicy" ref="N265"/>
    <hyperlink r:id="rId620" ref="P265"/>
    <hyperlink r:id="rId621" ref="AD265"/>
    <hyperlink r:id="rId622" ref="AH265"/>
    <hyperlink r:id="rId623" location="PeerReviewPolicy" ref="N267"/>
    <hyperlink r:id="rId624" ref="P267"/>
    <hyperlink r:id="rId625" ref="AD267"/>
    <hyperlink r:id="rId626" ref="AH267"/>
    <hyperlink r:id="rId627" location="Peer_review" ref="N268"/>
    <hyperlink r:id="rId628" location="Peer_review" ref="N270"/>
    <hyperlink r:id="rId629" location="Peer_review" ref="N271"/>
    <hyperlink r:id="rId630" location="Peer_review" ref="N273"/>
    <hyperlink r:id="rId631" ref="N274"/>
    <hyperlink r:id="rId632" location="recognizing" ref="P274"/>
    <hyperlink r:id="rId633" ref="S274"/>
    <hyperlink r:id="rId634" ref="AH274"/>
    <hyperlink r:id="rId635" ref="N276"/>
    <hyperlink r:id="rId636" location="recognizing" ref="P276"/>
    <hyperlink r:id="rId637" ref="S276"/>
    <hyperlink r:id="rId638" ref="AH276"/>
    <hyperlink r:id="rId639" ref="N277"/>
    <hyperlink r:id="rId640" ref="N279"/>
    <hyperlink r:id="rId641" ref="N280"/>
    <hyperlink r:id="rId642" location="RRP" ref="P280"/>
    <hyperlink r:id="rId643" ref="S280"/>
    <hyperlink r:id="rId644" ref="AD280"/>
    <hyperlink r:id="rId645" ref="AH280"/>
    <hyperlink r:id="rId646" ref="AH281"/>
    <hyperlink r:id="rId647" ref="N282"/>
    <hyperlink r:id="rId648" location="RRP" ref="P282"/>
    <hyperlink r:id="rId649" ref="S282"/>
    <hyperlink r:id="rId650" ref="AD282"/>
    <hyperlink r:id="rId651" ref="N284"/>
    <hyperlink r:id="rId652" ref="N285"/>
    <hyperlink r:id="rId653" ref="N286"/>
    <hyperlink r:id="rId654" location="review" ref="P286"/>
    <hyperlink r:id="rId655" ref="N288"/>
    <hyperlink r:id="rId656" location="submission-guidelines" ref="N289"/>
    <hyperlink r:id="rId657" ref="AH289"/>
    <hyperlink r:id="rId658" location="submission-guidelines" ref="N291"/>
    <hyperlink r:id="rId659" ref="AH291"/>
    <hyperlink r:id="rId660" ref="N292"/>
    <hyperlink r:id="rId661" ref="S292"/>
    <hyperlink r:id="rId662" ref="AH292"/>
    <hyperlink r:id="rId663" ref="N294"/>
    <hyperlink r:id="rId664" ref="S294"/>
    <hyperlink r:id="rId665" ref="AH294"/>
    <hyperlink r:id="rId666" location="4%20Editorial%20review" ref="N295"/>
    <hyperlink r:id="rId667" location="4%20Editorial%20review" ref="P295"/>
    <hyperlink r:id="rId668" ref="AH295"/>
    <hyperlink r:id="rId669" location="4%20Editorial%20review" ref="N297"/>
    <hyperlink r:id="rId670" location="4%20Editorial%20review" ref="P297"/>
    <hyperlink r:id="rId671" ref="N298"/>
    <hyperlink r:id="rId672" ref="S298"/>
    <hyperlink r:id="rId673" ref="AH298"/>
    <hyperlink r:id="rId674" ref="N300"/>
    <hyperlink r:id="rId675" ref="S300"/>
    <hyperlink r:id="rId676" ref="AD300"/>
    <hyperlink r:id="rId677" ref="AH300"/>
    <hyperlink r:id="rId678" location="peer-review-help" ref="N301"/>
    <hyperlink r:id="rId679" location="peer-review-help" ref="P301"/>
    <hyperlink r:id="rId680" location="prior-publication" ref="AH301"/>
    <hyperlink r:id="rId681" location="review-procedure" ref="N303"/>
    <hyperlink r:id="rId682" location="peer-review-help" ref="P303"/>
    <hyperlink r:id="rId683" location="ethical-responsibilities" ref="AD303"/>
    <hyperlink r:id="rId684" location="prior-publication" ref="AH303"/>
    <hyperlink r:id="rId685" ref="N304"/>
    <hyperlink r:id="rId686" ref="P304"/>
    <hyperlink r:id="rId687" ref="S304"/>
    <hyperlink r:id="rId688" ref="AH304"/>
    <hyperlink r:id="rId689" ref="N306"/>
    <hyperlink r:id="rId690" ref="S306"/>
    <hyperlink r:id="rId691" ref="AD306"/>
    <hyperlink r:id="rId692" ref="AH306"/>
    <hyperlink r:id="rId693" ref="N307"/>
    <hyperlink r:id="rId694" ref="P307"/>
    <hyperlink r:id="rId695" ref="S307"/>
    <hyperlink r:id="rId696" ref="AH307"/>
    <hyperlink r:id="rId697" ref="N309"/>
    <hyperlink r:id="rId698" ref="P309"/>
    <hyperlink r:id="rId699" ref="S309"/>
    <hyperlink r:id="rId700" ref="AD309"/>
    <hyperlink r:id="rId701" ref="AH309"/>
    <hyperlink r:id="rId702" ref="N310"/>
    <hyperlink r:id="rId703" ref="P310"/>
    <hyperlink r:id="rId704" ref="S310"/>
    <hyperlink r:id="rId705" ref="AH310"/>
    <hyperlink r:id="rId706" ref="N312"/>
    <hyperlink r:id="rId707" ref="P312"/>
    <hyperlink r:id="rId708" ref="S312"/>
    <hyperlink r:id="rId709" ref="AD312"/>
    <hyperlink r:id="rId710" ref="AH312"/>
    <hyperlink r:id="rId711" ref="N313"/>
    <hyperlink r:id="rId712" ref="P313"/>
    <hyperlink r:id="rId713" ref="S313"/>
    <hyperlink r:id="rId714" ref="AH313"/>
    <hyperlink r:id="rId715" ref="N315"/>
    <hyperlink r:id="rId716" ref="P315"/>
    <hyperlink r:id="rId717" ref="S315"/>
    <hyperlink r:id="rId718" ref="AD315"/>
    <hyperlink r:id="rId719" ref="AH315"/>
    <hyperlink r:id="rId720" ref="N316"/>
    <hyperlink r:id="rId721" ref="P316"/>
    <hyperlink r:id="rId722" ref="S316"/>
    <hyperlink r:id="rId723" ref="AH316"/>
    <hyperlink r:id="rId724" ref="N318"/>
    <hyperlink r:id="rId725" ref="P318"/>
    <hyperlink r:id="rId726" ref="S318"/>
    <hyperlink r:id="rId727" ref="AD318"/>
    <hyperlink r:id="rId728" ref="AH318"/>
    <hyperlink r:id="rId729" ref="N319"/>
    <hyperlink r:id="rId730" ref="P319"/>
    <hyperlink r:id="rId731" ref="S319"/>
    <hyperlink r:id="rId732" ref="AH319"/>
    <hyperlink r:id="rId733" ref="P320"/>
    <hyperlink r:id="rId734" ref="AD320"/>
    <hyperlink r:id="rId735" ref="N321"/>
    <hyperlink r:id="rId736" ref="P321"/>
    <hyperlink r:id="rId737" ref="S321"/>
    <hyperlink r:id="rId738" ref="AD321"/>
    <hyperlink r:id="rId739" ref="AH321"/>
    <hyperlink r:id="rId740" ref="N322"/>
    <hyperlink r:id="rId741" ref="P322"/>
    <hyperlink r:id="rId742" ref="S322"/>
    <hyperlink r:id="rId743" ref="AH322"/>
    <hyperlink r:id="rId744" ref="N324"/>
    <hyperlink r:id="rId745" ref="P324"/>
    <hyperlink r:id="rId746" ref="S324"/>
    <hyperlink r:id="rId747" ref="AD324"/>
    <hyperlink r:id="rId748" ref="AH324"/>
    <hyperlink r:id="rId749" ref="N325"/>
    <hyperlink r:id="rId750" ref="P325"/>
    <hyperlink r:id="rId751" ref="S325"/>
    <hyperlink r:id="rId752" ref="AH325"/>
    <hyperlink r:id="rId753" ref="N327"/>
    <hyperlink r:id="rId754" ref="P327"/>
    <hyperlink r:id="rId755" ref="S327"/>
    <hyperlink r:id="rId756" ref="AD327"/>
    <hyperlink r:id="rId757" ref="AH327"/>
    <hyperlink r:id="rId758" ref="N328"/>
    <hyperlink r:id="rId759" ref="P328"/>
    <hyperlink r:id="rId760" ref="S328"/>
    <hyperlink r:id="rId761" ref="AH328"/>
    <hyperlink r:id="rId762" ref="N330"/>
    <hyperlink r:id="rId763" ref="P330"/>
    <hyperlink r:id="rId764" ref="S330"/>
    <hyperlink r:id="rId765" ref="AD330"/>
    <hyperlink r:id="rId766" ref="AH330"/>
    <hyperlink r:id="rId767" ref="N331"/>
    <hyperlink r:id="rId768" ref="P331"/>
    <hyperlink r:id="rId769" ref="S331"/>
    <hyperlink r:id="rId770" ref="AH331"/>
    <hyperlink r:id="rId771" ref="P332"/>
    <hyperlink r:id="rId772" ref="N333"/>
    <hyperlink r:id="rId773" ref="P333"/>
    <hyperlink r:id="rId774" ref="S333"/>
    <hyperlink r:id="rId775" ref="AD333"/>
    <hyperlink r:id="rId776" ref="AH333"/>
    <hyperlink r:id="rId777" ref="N334"/>
    <hyperlink r:id="rId778" ref="P334"/>
    <hyperlink r:id="rId779" ref="S334"/>
    <hyperlink r:id="rId780" ref="AH334"/>
    <hyperlink r:id="rId781" ref="P335"/>
    <hyperlink r:id="rId782" ref="N336"/>
    <hyperlink r:id="rId783" ref="P336"/>
    <hyperlink r:id="rId784" ref="S336"/>
    <hyperlink r:id="rId785" ref="AD336"/>
    <hyperlink r:id="rId786" ref="AH336"/>
    <hyperlink r:id="rId787" ref="N337"/>
    <hyperlink r:id="rId788" ref="P337"/>
    <hyperlink r:id="rId789" ref="S337"/>
    <hyperlink r:id="rId790" ref="AH337"/>
    <hyperlink r:id="rId791" ref="P338"/>
    <hyperlink r:id="rId792" ref="N339"/>
    <hyperlink r:id="rId793" ref="P339"/>
    <hyperlink r:id="rId794" ref="S339"/>
    <hyperlink r:id="rId795" ref="AD339"/>
    <hyperlink r:id="rId796" ref="AH339"/>
    <hyperlink r:id="rId797" ref="N340"/>
    <hyperlink r:id="rId798" ref="P340"/>
    <hyperlink r:id="rId799" ref="S340"/>
    <hyperlink r:id="rId800" ref="AH340"/>
    <hyperlink r:id="rId801" ref="P341"/>
    <hyperlink r:id="rId802" ref="N342"/>
    <hyperlink r:id="rId803" ref="P342"/>
    <hyperlink r:id="rId804" ref="S342"/>
    <hyperlink r:id="rId805" ref="AD342"/>
    <hyperlink r:id="rId806" ref="AH342"/>
    <hyperlink r:id="rId807" ref="N343"/>
    <hyperlink r:id="rId808" ref="P343"/>
    <hyperlink r:id="rId809" ref="S343"/>
    <hyperlink r:id="rId810" ref="AH343"/>
    <hyperlink r:id="rId811" ref="P344"/>
    <hyperlink r:id="rId812" ref="AD344"/>
    <hyperlink r:id="rId813" ref="N345"/>
    <hyperlink r:id="rId814" ref="P345"/>
    <hyperlink r:id="rId815" ref="S345"/>
    <hyperlink r:id="rId816" ref="AD345"/>
    <hyperlink r:id="rId817" ref="AH345"/>
    <hyperlink r:id="rId818" ref="N346"/>
    <hyperlink r:id="rId819" ref="P346"/>
    <hyperlink r:id="rId820" ref="S346"/>
    <hyperlink r:id="rId821" ref="AD346"/>
    <hyperlink r:id="rId822" ref="AH346"/>
    <hyperlink r:id="rId823" ref="AD347"/>
    <hyperlink r:id="rId824" ref="N348"/>
    <hyperlink r:id="rId825" ref="P348"/>
    <hyperlink r:id="rId826" ref="S348"/>
    <hyperlink r:id="rId827" ref="AD348"/>
    <hyperlink r:id="rId828" ref="AH348"/>
    <hyperlink r:id="rId829" ref="N349"/>
    <hyperlink r:id="rId830" ref="S349"/>
    <hyperlink r:id="rId831" ref="AD349"/>
    <hyperlink r:id="rId832" ref="AH349"/>
    <hyperlink r:id="rId833" ref="N350"/>
    <hyperlink r:id="rId834" ref="AD350"/>
    <hyperlink r:id="rId835" ref="N351"/>
    <hyperlink r:id="rId836" ref="AD351"/>
    <hyperlink r:id="rId837" ref="N352"/>
    <hyperlink r:id="rId838" ref="S352"/>
    <hyperlink r:id="rId839" ref="AD352"/>
    <hyperlink r:id="rId840" ref="AH352"/>
    <hyperlink r:id="rId841" ref="N353"/>
    <hyperlink r:id="rId842" ref="AD353"/>
    <hyperlink r:id="rId843" ref="N354"/>
    <hyperlink r:id="rId844" ref="AD354"/>
    <hyperlink r:id="rId845" ref="N355"/>
    <hyperlink r:id="rId846" ref="S355"/>
    <hyperlink r:id="rId847" ref="AD355"/>
    <hyperlink r:id="rId848" ref="AH355"/>
    <hyperlink r:id="rId849" ref="N357"/>
    <hyperlink r:id="rId850" ref="AD357"/>
    <hyperlink r:id="rId851" ref="N358"/>
    <hyperlink r:id="rId852" ref="S358"/>
    <hyperlink r:id="rId853" ref="AD358"/>
    <hyperlink r:id="rId854" ref="AH358"/>
    <hyperlink r:id="rId855" ref="N360"/>
    <hyperlink r:id="rId856" ref="AD360"/>
    <hyperlink r:id="rId857" ref="N361"/>
    <hyperlink r:id="rId858" ref="S361"/>
    <hyperlink r:id="rId859" ref="AD361"/>
    <hyperlink r:id="rId860" ref="AH361"/>
    <hyperlink r:id="rId861" ref="N363"/>
    <hyperlink r:id="rId862" ref="AD363"/>
    <hyperlink r:id="rId863" ref="N364"/>
    <hyperlink r:id="rId864" ref="S364"/>
    <hyperlink r:id="rId865" ref="AD364"/>
    <hyperlink r:id="rId866" ref="AH364"/>
    <hyperlink r:id="rId867" ref="N366"/>
    <hyperlink r:id="rId868" ref="AD366"/>
    <hyperlink r:id="rId869" ref="N368"/>
    <hyperlink r:id="rId870" ref="AH368"/>
    <hyperlink r:id="rId871" ref="N369"/>
    <hyperlink r:id="rId872" ref="AH369"/>
    <hyperlink r:id="rId873" ref="N370"/>
    <hyperlink r:id="rId874" location="RRP" ref="P370"/>
    <hyperlink r:id="rId875" ref="S370"/>
    <hyperlink r:id="rId876" ref="AD370"/>
    <hyperlink r:id="rId877" ref="AH370"/>
    <hyperlink r:id="rId878" ref="AH371"/>
    <hyperlink r:id="rId879" ref="N372"/>
    <hyperlink r:id="rId880" location="RRP" ref="P372"/>
    <hyperlink r:id="rId881" ref="S372"/>
    <hyperlink r:id="rId882" ref="AD372"/>
    <hyperlink r:id="rId883" ref="AH372"/>
    <hyperlink r:id="rId884" ref="N373"/>
    <hyperlink r:id="rId885" ref="S373"/>
    <hyperlink r:id="rId886" ref="AD373"/>
    <hyperlink r:id="rId887" ref="AH373"/>
    <hyperlink r:id="rId888" location="prepub" ref="AM373"/>
    <hyperlink r:id="rId889" ref="N375"/>
    <hyperlink r:id="rId890" ref="S375"/>
    <hyperlink r:id="rId891" ref="AD375"/>
    <hyperlink r:id="rId892" ref="AH375"/>
    <hyperlink r:id="rId893" location="prepub" ref="AM375"/>
    <hyperlink r:id="rId894" location="PeerReviewPolicy" ref="N376"/>
    <hyperlink r:id="rId895" ref="S376"/>
    <hyperlink r:id="rId896" location="PeerReviewPolicy" ref="N378"/>
    <hyperlink r:id="rId897" ref="N379"/>
    <hyperlink r:id="rId898" ref="P379"/>
    <hyperlink r:id="rId899" ref="AD379"/>
    <hyperlink r:id="rId900" ref="N380"/>
    <hyperlink r:id="rId901" ref="AH380"/>
    <hyperlink r:id="rId902" ref="N381"/>
    <hyperlink r:id="rId903" ref="P381"/>
    <hyperlink r:id="rId904" ref="AD381"/>
    <hyperlink r:id="rId905" ref="AH381"/>
    <hyperlink r:id="rId906" location="Prior%20Publication" ref="AH382"/>
    <hyperlink r:id="rId907" ref="AJ382"/>
    <hyperlink r:id="rId908" ref="AK382"/>
    <hyperlink r:id="rId909" location="Prior%20Publication" ref="AH384"/>
    <hyperlink r:id="rId910" ref="AJ384"/>
    <hyperlink r:id="rId911" location="overview" ref="N388"/>
    <hyperlink r:id="rId912" location="overview" ref="AD388"/>
    <hyperlink r:id="rId913" ref="P389"/>
    <hyperlink r:id="rId914" location="overview" ref="N390"/>
    <hyperlink r:id="rId915" ref="P390"/>
    <hyperlink r:id="rId916" location="overview" ref="AD390"/>
    <hyperlink r:id="rId917" ref="N391"/>
    <hyperlink r:id="rId918" ref="S391"/>
    <hyperlink r:id="rId919" ref="AD391"/>
    <hyperlink r:id="rId920" ref="N393"/>
    <hyperlink r:id="rId921" ref="S393"/>
    <hyperlink r:id="rId922" ref="AD393"/>
    <hyperlink r:id="rId923" ref="N394"/>
    <hyperlink r:id="rId924" ref="N396"/>
    <hyperlink r:id="rId925" ref="AQ396"/>
    <hyperlink r:id="rId926" location="anonymity" ref="N397"/>
    <hyperlink r:id="rId927" location="guide" ref="S397"/>
    <hyperlink r:id="rId928" location="anonymity" ref="AD397"/>
    <hyperlink r:id="rId929" ref="N398"/>
    <hyperlink r:id="rId930" ref="O398"/>
    <hyperlink r:id="rId931" ref="N399"/>
    <hyperlink r:id="rId932" location="guide" ref="S399"/>
    <hyperlink r:id="rId933" location="anonymity" ref="AD399"/>
    <hyperlink r:id="rId934" location="anonymity" ref="N400"/>
    <hyperlink r:id="rId935" location="sub" ref="S400"/>
    <hyperlink r:id="rId936" location="anonymity" ref="AD400"/>
    <hyperlink r:id="rId937" location="anonymity" ref="N402"/>
    <hyperlink r:id="rId938" location="sub" ref="S402"/>
    <hyperlink r:id="rId939" location="anonymity" ref="AD402"/>
    <hyperlink r:id="rId940" location="anonymity" ref="N403"/>
    <hyperlink r:id="rId941" location="anonymity" ref="AD403"/>
    <hyperlink r:id="rId942" ref="O404"/>
    <hyperlink r:id="rId943" location="anonymity" ref="N405"/>
    <hyperlink r:id="rId944" ref="O405"/>
    <hyperlink r:id="rId945" location="anonymity" ref="AD405"/>
    <hyperlink r:id="rId946" ref="N406"/>
    <hyperlink r:id="rId947" ref="S406"/>
    <hyperlink r:id="rId948" ref="AD406"/>
    <hyperlink r:id="rId949" ref="N407"/>
    <hyperlink r:id="rId950" ref="O407"/>
    <hyperlink r:id="rId951" ref="N408"/>
    <hyperlink r:id="rId952" ref="O408"/>
    <hyperlink r:id="rId953" ref="S408"/>
    <hyperlink r:id="rId954" ref="AD408"/>
    <hyperlink r:id="rId955" ref="N409"/>
    <hyperlink r:id="rId956" ref="S409"/>
    <hyperlink r:id="rId957" ref="AH409"/>
    <hyperlink r:id="rId958" ref="N411"/>
    <hyperlink r:id="rId959" ref="S411"/>
    <hyperlink r:id="rId960" ref="AH411"/>
    <hyperlink r:id="rId961" ref="N412"/>
    <hyperlink r:id="rId962" ref="S412"/>
    <hyperlink r:id="rId963" ref="AD412"/>
    <hyperlink r:id="rId964" ref="AH412"/>
    <hyperlink r:id="rId965" ref="N414"/>
    <hyperlink r:id="rId966" ref="S414"/>
    <hyperlink r:id="rId967" ref="AD414"/>
    <hyperlink r:id="rId968" ref="AH414"/>
    <hyperlink r:id="rId969" ref="N415"/>
    <hyperlink r:id="rId970" ref="AD416"/>
    <hyperlink r:id="rId971" ref="N417"/>
    <hyperlink r:id="rId972" ref="P417"/>
    <hyperlink r:id="rId973" ref="AD417"/>
    <hyperlink r:id="rId974" ref="N418"/>
    <hyperlink r:id="rId975" location="EditorialPolicies" ref="N419"/>
    <hyperlink r:id="rId976" ref="P419"/>
    <hyperlink r:id="rId977" ref="AD419"/>
    <hyperlink r:id="rId978" location="EditorialPolicies" ref="N420"/>
    <hyperlink r:id="rId979" ref="P420"/>
    <hyperlink r:id="rId980" ref="AD420"/>
    <hyperlink r:id="rId981" ref="N421"/>
    <hyperlink r:id="rId982" ref="AH421"/>
    <hyperlink r:id="rId983" ref="N423"/>
    <hyperlink r:id="rId984" ref="AH423"/>
    <hyperlink r:id="rId985" ref="N424"/>
    <hyperlink r:id="rId986" ref="N425"/>
    <hyperlink r:id="rId987" ref="N426"/>
    <hyperlink r:id="rId988" ref="N427"/>
    <hyperlink r:id="rId989" location="RRP" ref="P427"/>
    <hyperlink r:id="rId990" ref="S427"/>
    <hyperlink r:id="rId991" ref="N429"/>
    <hyperlink r:id="rId992" location="RRP" ref="P429"/>
    <hyperlink r:id="rId993" ref="S429"/>
    <hyperlink r:id="rId994" ref="AD429"/>
    <hyperlink r:id="rId995" ref="N430"/>
    <hyperlink r:id="rId996" location="RRP" ref="P430"/>
    <hyperlink r:id="rId997" ref="S430"/>
    <hyperlink r:id="rId998" ref="AD430"/>
    <hyperlink r:id="rId999" ref="AH430"/>
    <hyperlink r:id="rId1000" ref="N432"/>
    <hyperlink r:id="rId1001" location="RRP" ref="P432"/>
    <hyperlink r:id="rId1002" ref="S432"/>
    <hyperlink r:id="rId1003" ref="AD432"/>
    <hyperlink r:id="rId1004" location="authorreprints" ref="AH433"/>
    <hyperlink r:id="rId1005" location="authorposting" ref="AH435"/>
    <hyperlink r:id="rId1006" ref="N436"/>
    <hyperlink r:id="rId1007" ref="AD436"/>
    <hyperlink r:id="rId1008" ref="AH436"/>
    <hyperlink r:id="rId1009" ref="AD437"/>
    <hyperlink r:id="rId1010" ref="AD438"/>
    <hyperlink r:id="rId1011" ref="AH438"/>
    <hyperlink r:id="rId1012" ref="N439"/>
    <hyperlink r:id="rId1013" ref="S439"/>
    <hyperlink r:id="rId1014" ref="AD439"/>
    <hyperlink r:id="rId1015" ref="AH439"/>
    <hyperlink r:id="rId1016" ref="S440"/>
    <hyperlink r:id="rId1017" ref="AD440"/>
    <hyperlink r:id="rId1018" ref="N441"/>
    <hyperlink r:id="rId1019" ref="S441"/>
    <hyperlink r:id="rId1020" ref="AD441"/>
    <hyperlink r:id="rId1021" ref="AH441"/>
    <hyperlink r:id="rId1022" ref="N442"/>
    <hyperlink r:id="rId1023" ref="S442"/>
    <hyperlink r:id="rId1024" ref="AD442"/>
    <hyperlink r:id="rId1025" ref="AH442"/>
    <hyperlink r:id="rId1026" ref="N443"/>
    <hyperlink r:id="rId1027" ref="P443"/>
    <hyperlink r:id="rId1028" ref="AD443"/>
    <hyperlink r:id="rId1029" ref="AH443"/>
    <hyperlink r:id="rId1030" ref="N444"/>
    <hyperlink r:id="rId1031" ref="AD444"/>
    <hyperlink r:id="rId1032" ref="AH444"/>
    <hyperlink r:id="rId1033" ref="N445"/>
    <hyperlink r:id="rId1034" ref="S445"/>
    <hyperlink r:id="rId1035" ref="AD445"/>
    <hyperlink r:id="rId1036" ref="AH445"/>
    <hyperlink r:id="rId1037" ref="N446"/>
    <hyperlink r:id="rId1038" location="confidentiality" ref="AD446"/>
    <hyperlink r:id="rId1039" location="confidentiality" ref="AH446"/>
    <hyperlink r:id="rId1040" ref="N447"/>
    <hyperlink r:id="rId1041" ref="S447"/>
    <hyperlink r:id="rId1042" location="confidentiality" ref="AD447"/>
    <hyperlink r:id="rId1043" location="confidentiality" ref="AH447"/>
    <hyperlink r:id="rId1044" ref="N448"/>
    <hyperlink r:id="rId1045" ref="S448"/>
    <hyperlink r:id="rId1046" ref="N450"/>
    <hyperlink r:id="rId1047" ref="S450"/>
    <hyperlink r:id="rId1048" ref="AD453"/>
    <hyperlink r:id="rId1049" ref="N454"/>
    <hyperlink r:id="rId1050" ref="AH454"/>
    <hyperlink r:id="rId1051" ref="N456"/>
    <hyperlink r:id="rId1052" ref="AH456"/>
    <hyperlink r:id="rId1053" ref="N459"/>
    <hyperlink r:id="rId1054" location="recognizing" ref="P459"/>
    <hyperlink r:id="rId1055" ref="N460"/>
    <hyperlink r:id="rId1056" ref="S461"/>
    <hyperlink r:id="rId1057" ref="N462"/>
    <hyperlink r:id="rId1058" ref="S462"/>
    <hyperlink r:id="rId1059" ref="N463"/>
    <hyperlink r:id="rId1060" ref="AH463"/>
    <hyperlink r:id="rId1061" ref="P464"/>
    <hyperlink r:id="rId1062" ref="N465"/>
    <hyperlink r:id="rId1063" ref="P465"/>
    <hyperlink r:id="rId1064" ref="AH465"/>
    <hyperlink r:id="rId1065" ref="N472"/>
    <hyperlink r:id="rId1066" ref="AH472"/>
    <hyperlink r:id="rId1067" ref="N474"/>
    <hyperlink r:id="rId1068" ref="AH474"/>
    <hyperlink r:id="rId1069" ref="N475"/>
    <hyperlink r:id="rId1070" location="preprintservers" ref="AH475"/>
    <hyperlink r:id="rId1071" ref="N477"/>
    <hyperlink r:id="rId1072" location="preprintservers" ref="AH477"/>
    <hyperlink r:id="rId1073" location="Editorial_Policies" ref="N478"/>
    <hyperlink r:id="rId1074" location="Editorial_Policies" ref="AD478"/>
    <hyperlink r:id="rId1075" location="Editorial_Policies" ref="AH478"/>
    <hyperlink r:id="rId1076" location="Editorial_Policies" ref="N480"/>
    <hyperlink r:id="rId1077" location="Editorial_Policies" ref="AD480"/>
    <hyperlink r:id="rId1078" location="Editorial_Policies" ref="AH480"/>
    <hyperlink r:id="rId1079" ref="AH481"/>
    <hyperlink r:id="rId1080" ref="P482"/>
    <hyperlink r:id="rId1081" ref="AD482"/>
    <hyperlink r:id="rId1082" ref="P483"/>
    <hyperlink r:id="rId1083" ref="AD483"/>
    <hyperlink r:id="rId1084" ref="AH483"/>
    <hyperlink r:id="rId1085" ref="N484"/>
    <hyperlink r:id="rId1086" ref="S484"/>
    <hyperlink r:id="rId1087" ref="AH484"/>
    <hyperlink r:id="rId1088" ref="S486"/>
    <hyperlink r:id="rId1089" ref="AH486"/>
    <hyperlink r:id="rId1090" ref="N487"/>
    <hyperlink r:id="rId1091" ref="AM487"/>
    <hyperlink r:id="rId1092" ref="N488"/>
    <hyperlink r:id="rId1093" ref="S488"/>
    <hyperlink r:id="rId1094" ref="N489"/>
    <hyperlink r:id="rId1095" ref="S489"/>
    <hyperlink r:id="rId1096" ref="N490"/>
    <hyperlink r:id="rId1097" ref="AH490"/>
    <hyperlink r:id="rId1098" ref="AH491"/>
    <hyperlink r:id="rId1099" ref="N492"/>
    <hyperlink r:id="rId1100" ref="S492"/>
    <hyperlink r:id="rId1101" ref="AH492"/>
    <hyperlink r:id="rId1102" ref="N493"/>
    <hyperlink r:id="rId1103" ref="S493"/>
    <hyperlink r:id="rId1104" ref="AH493"/>
    <hyperlink r:id="rId1105" ref="AH494"/>
    <hyperlink r:id="rId1106" ref="N495"/>
    <hyperlink r:id="rId1107" ref="S495"/>
    <hyperlink r:id="rId1108" location="Manuscript" ref="N496"/>
    <hyperlink r:id="rId1109" ref="O497"/>
    <hyperlink r:id="rId1110" ref="P497"/>
    <hyperlink r:id="rId1111" location="Manuscript" ref="N498"/>
    <hyperlink r:id="rId1112" ref="P498"/>
    <hyperlink r:id="rId1113" ref="N499"/>
    <hyperlink r:id="rId1114" ref="AH499"/>
    <hyperlink r:id="rId1115" ref="AH501"/>
    <hyperlink r:id="rId1116" ref="N502"/>
    <hyperlink r:id="rId1117" ref="S502"/>
    <hyperlink r:id="rId1118" ref="AH502"/>
    <hyperlink r:id="rId1119" ref="N504"/>
    <hyperlink r:id="rId1120" ref="AH504"/>
    <hyperlink r:id="rId1121" ref="AH505"/>
    <hyperlink r:id="rId1122" ref="AH507"/>
    <hyperlink r:id="rId1123" ref="AH508"/>
    <hyperlink r:id="rId1124" ref="N511"/>
    <hyperlink r:id="rId1125" location="RRP" ref="P511"/>
    <hyperlink r:id="rId1126" ref="S511"/>
    <hyperlink r:id="rId1127" ref="AD511"/>
    <hyperlink r:id="rId1128" ref="AH511"/>
    <hyperlink r:id="rId1129" ref="AH512"/>
    <hyperlink r:id="rId1130" ref="N513"/>
    <hyperlink r:id="rId1131" location="RRP" ref="P513"/>
    <hyperlink r:id="rId1132" ref="S513"/>
    <hyperlink r:id="rId1133" ref="AD513"/>
    <hyperlink r:id="rId1134" ref="AH513"/>
    <hyperlink r:id="rId1135" ref="N514"/>
    <hyperlink r:id="rId1136" location="RRP" ref="P514"/>
    <hyperlink r:id="rId1137" ref="S514"/>
    <hyperlink r:id="rId1138" ref="AD514"/>
    <hyperlink r:id="rId1139" ref="AH514"/>
    <hyperlink r:id="rId1140" ref="N516"/>
    <hyperlink r:id="rId1141" location="recognizing" ref="P516"/>
    <hyperlink r:id="rId1142" ref="S516"/>
    <hyperlink r:id="rId1143" ref="AD516"/>
    <hyperlink r:id="rId1144" ref="AH516"/>
  </hyperlinks>
  <drawing r:id="rId1145"/>
  <legacyDrawing r:id="rId11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2" max="2" width="10.43"/>
    <col customWidth="1" min="3" max="3" width="7.71"/>
    <col customWidth="1" min="4" max="4" width="9.71"/>
    <col customWidth="1" min="5" max="5" width="7.29"/>
    <col customWidth="1" min="6" max="6" width="11.14"/>
  </cols>
  <sheetData>
    <row r="1" ht="53.25" customHeight="1">
      <c r="A1" s="1" t="s">
        <v>0</v>
      </c>
      <c r="B1" s="2" t="s">
        <v>1</v>
      </c>
      <c r="C1" s="5" t="s">
        <v>4</v>
      </c>
      <c r="D1" s="7" t="s">
        <v>1</v>
      </c>
      <c r="E1" s="7" t="s">
        <v>9</v>
      </c>
      <c r="F1" s="7" t="s">
        <v>10</v>
      </c>
      <c r="G1" s="7" t="s">
        <v>22</v>
      </c>
      <c r="H1" s="9" t="s">
        <v>12</v>
      </c>
      <c r="I1" s="11" t="s">
        <v>14</v>
      </c>
      <c r="J1" s="16" t="s">
        <v>23</v>
      </c>
      <c r="K1" s="13" t="s">
        <v>19</v>
      </c>
      <c r="L1" s="15" t="s">
        <v>20</v>
      </c>
      <c r="M1" s="15" t="s">
        <v>24</v>
      </c>
      <c r="N1" s="15" t="s">
        <v>25</v>
      </c>
      <c r="O1" s="15" t="s">
        <v>26</v>
      </c>
      <c r="P1" s="15" t="s">
        <v>27</v>
      </c>
      <c r="Q1" s="15" t="s">
        <v>28</v>
      </c>
      <c r="R1" s="15" t="s">
        <v>29</v>
      </c>
      <c r="S1" s="17" t="s">
        <v>30</v>
      </c>
      <c r="T1" s="17" t="s">
        <v>31</v>
      </c>
      <c r="U1" s="17" t="s">
        <v>32</v>
      </c>
      <c r="V1" s="18" t="s">
        <v>33</v>
      </c>
      <c r="W1" s="17" t="s">
        <v>34</v>
      </c>
      <c r="X1" s="18" t="s">
        <v>35</v>
      </c>
      <c r="Y1" s="18" t="s">
        <v>36</v>
      </c>
      <c r="Z1" s="18" t="s">
        <v>37</v>
      </c>
      <c r="AA1" s="18" t="s">
        <v>38</v>
      </c>
      <c r="AB1" s="19" t="s">
        <v>39</v>
      </c>
      <c r="AC1" s="19" t="s">
        <v>40</v>
      </c>
      <c r="AD1" s="19" t="s">
        <v>41</v>
      </c>
      <c r="AE1" s="19" t="s">
        <v>42</v>
      </c>
      <c r="AF1" s="19" t="s">
        <v>43</v>
      </c>
      <c r="AG1" s="21" t="s">
        <v>44</v>
      </c>
      <c r="AH1" s="21" t="s">
        <v>45</v>
      </c>
      <c r="AI1" s="21" t="s">
        <v>46</v>
      </c>
      <c r="AJ1" s="21" t="s">
        <v>47</v>
      </c>
      <c r="AK1" s="21" t="s">
        <v>48</v>
      </c>
      <c r="AL1" s="21" t="s">
        <v>49</v>
      </c>
      <c r="AM1" s="21" t="s">
        <v>50</v>
      </c>
      <c r="AN1" s="21" t="s">
        <v>51</v>
      </c>
      <c r="AO1" s="21" t="s">
        <v>52</v>
      </c>
      <c r="AP1" s="23" t="s">
        <v>53</v>
      </c>
      <c r="AQ1" s="24" t="s">
        <v>55</v>
      </c>
      <c r="AR1" s="25" t="s">
        <v>56</v>
      </c>
    </row>
    <row r="2">
      <c r="A2" s="32" t="str">
        <f>IFERROR(__xludf.DUMMYFUNCTION("filter(Raw!B4:B516,mod(row(Raw!B4:B516)+2,3)=0)"),"SR")</f>
        <v>SR</v>
      </c>
      <c r="B2" s="34">
        <f>IFERROR(__xludf.DUMMYFUNCTION("filter(Raw!C4:C516,mod(row(Raw!C4:C516)+2,3)=0)"),43425.0)</f>
        <v>43425</v>
      </c>
      <c r="C2" s="32" t="str">
        <f>IFERROR(__xludf.DUMMYFUNCTION("filter(Raw!D4:D516,mod(row(Raw!D4:D516)+2,3)=0)"),"TRH")</f>
        <v>TRH</v>
      </c>
      <c r="D2" s="36">
        <f>IFERROR(__xludf.DUMMYFUNCTION("filter(Raw!E4:E516,mod(row(Raw!E4:E516)+2,3)=0)"),43575.0)</f>
        <v>43575</v>
      </c>
      <c r="E2" s="32" t="str">
        <f>IFERROR(__xludf.DUMMYFUNCTION("filter(Raw!F4:F516,mod(row(Raw!F4:F516)+2,3)=0)"),"JP")</f>
        <v>JP</v>
      </c>
      <c r="F2" s="36">
        <f>IFERROR(__xludf.DUMMYFUNCTION("filter(Raw!G4:G516,mod(row(Raw!G4:G516)+2,3)=0)"),43581.0)</f>
        <v>43581</v>
      </c>
      <c r="G2" s="32" t="str">
        <f>IFERROR(__xludf.DUMMYFUNCTION("filter(Raw!H4:H516,mod(row(Raw!H4:H516),3)=0)"),"Where do ""No""s come from in peer review &amp; responses published? [TRH - changed to not specified]. Changed coreviewer policy according to link [see note - i still think unsure is the better interpretation]")</f>
        <v>Where do "No"s come from in peer review &amp; responses published? [TRH - changed to not specified]. Changed coreviewer policy according to link [see note - i still think unsure is the better interpretation]</v>
      </c>
      <c r="H2" s="32" t="str">
        <f>IFERROR(__xludf.DUMMYFUNCTION("filter(Raw!I4:I516,mod(row(Raw!I4:I516)+2,3)=0)"),"1040-2446")</f>
        <v>1040-2446</v>
      </c>
      <c r="I2" s="32" t="str">
        <f>IFERROR(__xludf.DUMMYFUNCTION("filter(Raw!J4:J516,mod(row(Raw!J4:J516)+2,3)=0)"),"Academic Medicine")</f>
        <v>Academic Medicine</v>
      </c>
      <c r="J2" s="32" t="str">
        <f>IFERROR(__xludf.DUMMYFUNCTION("filter(Raw!K4:K516,mod(row(Raw!K4:K516)+2,3)=0)"),"Social Sciences")</f>
        <v>Social Sciences</v>
      </c>
      <c r="K2" s="32" t="str">
        <f>IFERROR(__xludf.DUMMYFUNCTION("filter(Raw!L4:L516,mod(row(Raw!L4:L516),3)=0)"),"Wolters Kluwer")</f>
        <v>Wolters Kluwer</v>
      </c>
      <c r="L2" s="32" t="str">
        <f>IFERROR(__xludf.DUMMYFUNCTION("filter(Raw!M4:M516,mod(row(Raw!M4:M516),3)=0)"),"Single blind")</f>
        <v>Single blind</v>
      </c>
      <c r="M2" s="47" t="str">
        <f>IFERROR(__xludf.DUMMYFUNCTION("filter(Raw!N4:N516,mod(row(Raw!N4:N516),3)=0)"),"https://journals.lww.com/academicmedicine/Pages/InstructionsforAuthors.aspx#peerreview")</f>
        <v>https://journals.lww.com/academicmedicine/Pages/InstructionsforAuthors.aspx#peerreview</v>
      </c>
      <c r="N2" s="47" t="str">
        <f>IFERROR(__xludf.DUMMYFUNCTION("filter(Raw!O4:O516,mod(row(Raw!O4:O516),3)=0)"),"https://journals.lww.com/academicmedicine/Documents/ReviewerFAQs_Sept2012_v1.pdf")</f>
        <v>https://journals.lww.com/academicmedicine/Documents/ReviewerFAQs_Sept2012_v1.pdf</v>
      </c>
      <c r="O2" s="32" t="str">
        <f>IFERROR(__xludf.DUMMYFUNCTION("filter(Raw!P4:P516,mod(row(Raw!P4:P516),3)=0)"),"")</f>
        <v/>
      </c>
      <c r="P2" s="32" t="str">
        <f>IFERROR(__xludf.DUMMYFUNCTION("filter(Raw!Q4:Q516,mod(row(Raw!Q4:Q516),3)=0)"),"Unsure")</f>
        <v>Unsure</v>
      </c>
      <c r="Q2" s="32" t="str">
        <f>IFERROR(__xludf.DUMMYFUNCTION("filter(Raw!R4:R516,mod(row(Raw!R4:R516),3)=0)"),"Not specified")</f>
        <v>Not specified</v>
      </c>
      <c r="R2" s="32" t="str">
        <f>IFERROR(__xludf.DUMMYFUNCTION("filter(Raw!S4:S516,mod(row(Raw!S4:S516),3)=0)"),"Not specified")</f>
        <v>Not specified</v>
      </c>
      <c r="S2" s="32" t="str">
        <f>IFERROR(__xludf.DUMMYFUNCTION("filter(Raw!T4:T516,mod(row(Raw!T4:T516),3)=0)"),"Not specified")</f>
        <v>Not specified</v>
      </c>
      <c r="T2" s="32" t="str">
        <f>IFERROR(__xludf.DUMMYFUNCTION("filter(Raw!U4:U516,mod(row(Raw!U4:U516),3)=0)"),"Not specified")</f>
        <v>Not specified</v>
      </c>
      <c r="U2" s="32" t="str">
        <f>IFERROR(__xludf.DUMMYFUNCTION("filter(Raw!V4:V516,mod(row(Raw!V4:V516),3)=0)"),"Not specified")</f>
        <v>Not specified</v>
      </c>
      <c r="V2" s="32" t="str">
        <f>IFERROR(__xludf.DUMMYFUNCTION("filter(Raw!W4:W516,mod(row(Raw!W4:W516),3)=0)"),"Not specified")</f>
        <v>Not specified</v>
      </c>
      <c r="W2" s="32" t="str">
        <f>IFERROR(__xludf.DUMMYFUNCTION("filter(Raw!X4:X516,mod(row(Raw!X4:X516),3)=0)"),"Not specified")</f>
        <v>Not specified</v>
      </c>
      <c r="X2" s="32" t="str">
        <f>IFERROR(__xludf.DUMMYFUNCTION("filter(Raw!Y4:Y516,mod(row(Raw!Y4:Y516),3)=0)"),"Not specified")</f>
        <v>Not specified</v>
      </c>
      <c r="Y2" s="32" t="str">
        <f>IFERROR(__xludf.DUMMYFUNCTION("filter(Raw!Z4:Z516,mod(row(Raw!Z4:Z516),3)=0)"),"Not specified")</f>
        <v>Not specified</v>
      </c>
      <c r="Z2" s="32" t="str">
        <f>IFERROR(__xludf.DUMMYFUNCTION("filter(Raw!AA4:AA516,mod(row(Raw!AA4:AA516),3)=0)"),"Not specified")</f>
        <v>Not specified</v>
      </c>
      <c r="AA2" s="32" t="str">
        <f>IFERROR(__xludf.DUMMYFUNCTION("filter(Raw!AB4:AB516,mod(row(Raw!AB4:AB516),3)=0)"),"")</f>
        <v/>
      </c>
      <c r="AB2" s="32" t="str">
        <f>IFERROR(__xludf.DUMMYFUNCTION("filter(Raw!AC4:AC516,mod(row(Raw!AC4:AC516),3)=0)"),"""If you wish to involve a
specially qualified colleague in the review (or perhaps want to guide a junior colleague in learning
how to review), you must contact the editorial office and ask for permission ahead of time.""")</f>
        <v>"If you wish to involve a
specially qualified colleague in the review (or perhaps want to guide a junior colleague in learning
how to review), you must contact the editorial office and ask for permission ahead of time."</v>
      </c>
      <c r="AC2" s="47" t="str">
        <f>IFERROR(__xludf.DUMMYFUNCTION("filter(Raw!AD4:AD516,mod(row(Raw!AD4:AD516),3)=0)"),"https://journals.lww.com/academicmedicine/Documents/ReviewerFAQs_Sept2012_v1.pdf")</f>
        <v>https://journals.lww.com/academicmedicine/Documents/ReviewerFAQs_Sept2012_v1.pdf</v>
      </c>
      <c r="AD2" s="32" t="str">
        <f>IFERROR(__xludf.DUMMYFUNCTION("filter(Raw!AE4:AE516,mod(row(Raw!AE4:AE516),3)=0)"),"Yes")</f>
        <v>Yes</v>
      </c>
      <c r="AE2" s="32" t="str">
        <f>IFERROR(__xludf.DUMMYFUNCTION("filter(Raw!AF4:AF516,mod(row(Raw!AF4:AF516),3)=0)"),"Unsure")</f>
        <v>Unsure</v>
      </c>
      <c r="AF2" s="32" t="str">
        <f>IFERROR(__xludf.DUMMYFUNCTION("filter(Raw!AG4:AG516,mod(row(Raw!AG4:AG516),3)=0)"),"Unsure")</f>
        <v>Unsure</v>
      </c>
      <c r="AG2" s="47" t="str">
        <f>IFERROR(__xludf.DUMMYFUNCTION("filter(Raw!AH4:AH516,mod(row(Raw!AH4:AH516),3)=0)"),"https://journals.lww.com/academicmedicine/Pages/InstructionsforAuthors.aspx#publicationaheadofprint")</f>
        <v>https://journals.lww.com/academicmedicine/Pages/InstructionsforAuthors.aspx#publicationaheadofprint</v>
      </c>
      <c r="AH2" s="32" t="str">
        <f>IFERROR(__xludf.DUMMYFUNCTION("filter(Raw!AI4:AI516,mod(row(Raw!AI4:AI516),3)=0)"),"Unsure (prerints allowed, but unclear which version")</f>
        <v>Unsure (prerints allowed, but unclear which version</v>
      </c>
      <c r="AI2" s="32" t="str">
        <f>IFERROR(__xludf.DUMMYFUNCTION("filter(Raw!AJ4:AJ516,mod(row(Raw!AJ4:AJ516),3)=0)"),"Not specified")</f>
        <v>Not specified</v>
      </c>
      <c r="AJ2" s="32" t="str">
        <f>IFERROR(__xludf.DUMMYFUNCTION("filter(Raw!AK4:AK516,mod(row(Raw!AK4:AK516),3)=0)"),"Yes, in the reference list")</f>
        <v>Yes, in the reference list</v>
      </c>
      <c r="AK2" s="32" t="str">
        <f>IFERROR(__xludf.DUMMYFUNCTION("filter(Raw!AL4:AL516,mod(row(Raw!AL4:AL516),3)=0)"),"Yes")</f>
        <v>Yes</v>
      </c>
      <c r="AL2" s="32" t="str">
        <f>IFERROR(__xludf.DUMMYFUNCTION("filter(Raw!AM4:AM516,mod(row(Raw!AM4:AM516),3)=0)"),"At submission, authors must explain any prior publication (including any electronic publication, such as a blog post) of the same or a substantially similar manuscript, or partial disclosure of data, as well as circumstances that might lead the editor-in-"&amp;"chief, deputy or associate editors, reviewers, or editorial staff to believe (1) that the manuscript may have been published elsewhere (e.g., when the title of a submitted manuscript is the same as or similar to the title of a previously published article"&amp;"), or (2) that the manuscript or one very similar to it may have been published in or submitted to Academic Medicine previously.")</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AM2" s="32" t="str">
        <f>IFERROR(__xludf.DUMMYFUNCTION("filter(Raw!AN4:AN516,mod(row(Raw!AN4:AN516),3)=0)"),"Not specified")</f>
        <v>Not specified</v>
      </c>
      <c r="AN2" s="32" t="str">
        <f>IFERROR(__xludf.DUMMYFUNCTION("filter(Raw!AO4:AO516,mod(row(Raw!AO4:AO516),3)=0)"),"In general, all findings from a single study should be reported in a single manuscript rather than dividing a project into a series of “minimum publishable units.” We do recognize, however, that in some cases, it is appropriate to develop multiple submiss"&amp;"ions based on a single project, and we would encourage authors, in such cases, to submit all manuscripts to the same journal so they can be evaluated together. Occasions when it might be appropriate to submit multiple manuscripts from a single project inc"&amp;"lude but are not limited to distinctly different research questions being posed about the same data set, reanalysis (new questions) of a data set suggested by subsequent experience, and large segments of complex analyses that do not easily fit within norm"&amp;"al length limitations and can be seen as freestanding components.
 Always clearly disclose at the time of submission any previous or planned submissions from the same study, project, or data set by noting this in the submission form. Also, related publi"&amp;"cations should be referenced in the manuscript.
 Circumstances that suggest inappropriate prior or duplicate publication include but are not limited to (1) cases where the results of the same study are divided into different manuscripts (e.g., findings "&amp;"for faculty are reported in one and findings for residents are reported in another), one of which is submitted to Academic Medicine and another of which is submitted either to Academic Medicine or elsewhere, and/or (2) cases in which data from the same st"&amp;"udy are analyzed in different ways to produce apparently different manuscripts.")</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AO2" s="32" t="str">
        <f>IFERROR(__xludf.DUMMYFUNCTION("filter(Raw!AP4:AP516,mod(row(Raw!AP4:AP516),3)=0)"),"")</f>
        <v/>
      </c>
      <c r="AP2" s="32" t="str">
        <f>IFERROR(__xludf.DUMMYFUNCTION("filter(Raw!AQ4:AQ516,mod(row(Raw!AQ4:AQ516),3)=0)"),"")</f>
        <v/>
      </c>
      <c r="AQ2" s="32" t="str">
        <f>IFERROR(__xludf.DUMMYFUNCTION("filter(Raw!AR4:AR516,mod(row(Raw!AR4:AR516),3)=0)"),"")</f>
        <v/>
      </c>
      <c r="AR2" s="32" t="str">
        <f>IFERROR(__xludf.DUMMYFUNCTION("filter(Raw!AS4:AS516,mod(row(Raw!AS4:AS516),3)=0)"),"")</f>
        <v/>
      </c>
    </row>
    <row r="3">
      <c r="A3" t="str">
        <f>IFERROR(__xludf.DUMMYFUNCTION("""COMPUTED_VALUE"""),"SR")</f>
        <v>SR</v>
      </c>
      <c r="B3" s="34">
        <f>IFERROR(__xludf.DUMMYFUNCTION("""COMPUTED_VALUE"""),43426.0)</f>
        <v>43426</v>
      </c>
      <c r="C3" t="str">
        <f>IFERROR(__xludf.DUMMYFUNCTION("""COMPUTED_VALUE"""),"TRH")</f>
        <v>TRH</v>
      </c>
      <c r="D3" s="36">
        <f>IFERROR(__xludf.DUMMYFUNCTION("""COMPUTED_VALUE"""),43575.0)</f>
        <v>43575</v>
      </c>
      <c r="E3" t="str">
        <f>IFERROR(__xludf.DUMMYFUNCTION("""COMPUTED_VALUE"""),"JP")</f>
        <v>JP</v>
      </c>
      <c r="F3" s="36">
        <f>IFERROR(__xludf.DUMMYFUNCTION("""COMPUTED_VALUE"""),43581.0)</f>
        <v>43581</v>
      </c>
      <c r="G3" t="str">
        <f>IFERROR(__xludf.DUMMYFUNCTION("""COMPUTED_VALUE"""),"Single blind inferred from reviewer COI, but anonymity of peer review. Where do Nos come from in OPR section?; Reviewer identities revealed to author set as conditional based on: https://pubs.acs.org/userimages/ContentEditor/1218054468605/ethics.pdf")</f>
        <v>Single blind inferred from reviewer COI, but anonymity of peer review. Where do Nos come from in OPR section?; Reviewer identities revealed to author set as conditional based on: https://pubs.acs.org/userimages/ContentEditor/1218054468605/ethics.pdf</v>
      </c>
      <c r="H3" t="str">
        <f>IFERROR(__xludf.DUMMYFUNCTION("""COMPUTED_VALUE"""),"1944-8252")</f>
        <v>1944-8252</v>
      </c>
      <c r="I3" t="str">
        <f>IFERROR(__xludf.DUMMYFUNCTION("""COMPUTED_VALUE"""),"ACS Applied Materials &amp; Interfaces")</f>
        <v>ACS Applied Materials &amp; Interfaces</v>
      </c>
      <c r="J3" t="str">
        <f>IFERROR(__xludf.DUMMYFUNCTION("""COMPUTED_VALUE"""),"Chemical &amp; Materials Sciences, Engineering &amp; Computer Science")</f>
        <v>Chemical &amp; Materials Sciences, Engineering &amp; Computer Science</v>
      </c>
      <c r="K3" t="str">
        <f>IFERROR(__xludf.DUMMYFUNCTION("""COMPUTED_VALUE"""),"American Chemical Society")</f>
        <v>American Chemical Society</v>
      </c>
      <c r="L3" t="str">
        <f>IFERROR(__xludf.DUMMYFUNCTION("""COMPUTED_VALUE"""),"Single Blind")</f>
        <v>Single Blind</v>
      </c>
      <c r="M3" t="str">
        <f>IFERROR(__xludf.DUMMYFUNCTION("""COMPUTED_VALUE"""),"https://pubs.acs.org/paragonplus/submission/aamick/aamick_authguide.pdf
https://pubs.acs.org/publish/peer_reviews")</f>
        <v>https://pubs.acs.org/paragonplus/submission/aamick/aamick_authguide.pdf
https://pubs.acs.org/publish/peer_reviews</v>
      </c>
      <c r="N3" t="str">
        <f>IFERROR(__xludf.DUMMYFUNCTION("""COMPUTED_VALUE"""),"")</f>
        <v/>
      </c>
      <c r="O3" t="str">
        <f>IFERROR(__xludf.DUMMYFUNCTION("""COMPUTED_VALUE"""),"")</f>
        <v/>
      </c>
      <c r="P3" t="str">
        <f>IFERROR(__xludf.DUMMYFUNCTION("""COMPUTED_VALUE"""),"Unsure")</f>
        <v>Unsure</v>
      </c>
      <c r="Q3" t="str">
        <f>IFERROR(__xludf.DUMMYFUNCTION("""COMPUTED_VALUE"""),"Authors select a new journal; manuscript Transfer
 simplifies and shortens manuscript submission to another ACS journal, as all the coauthors,
 suggested reviewers, manuscript files, and responses to submission questions are copied to the
 new submission.")</f>
        <v>Authors select a new journal; manuscript Transfer
 simplifies and shortens manuscript submission to another ACS journal, as all the coauthors,
 suggested reviewers, manuscript files, and responses to submission questions are copied to the
 new submission.</v>
      </c>
      <c r="R3" s="78" t="str">
        <f>IFERROR(__xludf.DUMMYFUNCTION("""COMPUTED_VALUE"""),"https://pubs.acs.org/paragonplus/submission/aamick/aamick_authguide.pdf")</f>
        <v>https://pubs.acs.org/paragonplus/submission/aamick/aamick_authguide.pdf</v>
      </c>
      <c r="S3" t="str">
        <f>IFERROR(__xludf.DUMMYFUNCTION("""COMPUTED_VALUE"""),"Not specified")</f>
        <v>Not specified</v>
      </c>
      <c r="T3" t="str">
        <f>IFERROR(__xludf.DUMMYFUNCTION("""COMPUTED_VALUE"""),"Not specified")</f>
        <v>Not specified</v>
      </c>
      <c r="U3" t="str">
        <f>IFERROR(__xludf.DUMMYFUNCTION("""COMPUTED_VALUE"""),"Not specified")</f>
        <v>Not specified</v>
      </c>
      <c r="V3" t="str">
        <f>IFERROR(__xludf.DUMMYFUNCTION("""COMPUTED_VALUE"""),"Not specified")</f>
        <v>Not specified</v>
      </c>
      <c r="W3" t="str">
        <f>IFERROR(__xludf.DUMMYFUNCTION("""COMPUTED_VALUE"""),"No")</f>
        <v>No</v>
      </c>
      <c r="X3" t="str">
        <f>IFERROR(__xludf.DUMMYFUNCTION("""COMPUTED_VALUE"""),"Conditional")</f>
        <v>Conditional</v>
      </c>
      <c r="Y3" t="str">
        <f>IFERROR(__xludf.DUMMYFUNCTION("""COMPUTED_VALUE"""),"Not specified")</f>
        <v>Not specified</v>
      </c>
      <c r="Z3" t="str">
        <f>IFERROR(__xludf.DUMMYFUNCTION("""COMPUTED_VALUE"""),"Not specified")</f>
        <v>Not specified</v>
      </c>
      <c r="AA3" t="str">
        <f>IFERROR(__xludf.DUMMYFUNCTION("""COMPUTED_VALUE"""),"Single blind inferred from reviewer COI, but anonymity of peer review. // ""Reviewer and Review Confidentiality: If the reviewer wishes to disclose his/her identity to the manuscript authors, the editor should be consulted, and the decision to disclose su"&amp;"ch information to authors is the sole discretion of the editor"" - https://pubs.acs.org/userimages/ContentEditor/1218054468605/ethics.pdf")</f>
        <v>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3" t="str">
        <f>IFERROR(__xludf.DUMMYFUNCTION("""COMPUTED_VALUE"""),"")</f>
        <v/>
      </c>
      <c r="AC3" t="str">
        <f>IFERROR(__xludf.DUMMYFUNCTION("""COMPUTED_VALUE"""),"")</f>
        <v/>
      </c>
      <c r="AD3" t="str">
        <f>IFERROR(__xludf.DUMMYFUNCTION("""COMPUTED_VALUE"""),"Unsure")</f>
        <v>Unsure</v>
      </c>
      <c r="AE3" t="str">
        <f>IFERROR(__xludf.DUMMYFUNCTION("""COMPUTED_VALUE"""),"Unsure")</f>
        <v>Unsure</v>
      </c>
      <c r="AF3" t="str">
        <f>IFERROR(__xludf.DUMMYFUNCTION("""COMPUTED_VALUE"""),"Unsure")</f>
        <v>Unsure</v>
      </c>
      <c r="AG3" t="str">
        <f>IFERROR(__xludf.DUMMYFUNCTION("""COMPUTED_VALUE"""),"https://pubs.acs.org/page/aamick/submission/prior.html, https://pubs.acs.org/paragonplus/submission/aamick/aamick_authguide.pdf")</f>
        <v>https://pubs.acs.org/page/aamick/submission/prior.html, https://pubs.acs.org/paragonplus/submission/aamick/aamick_authguide.pdf</v>
      </c>
      <c r="AH3" t="str">
        <f>IFERROR(__xludf.DUMMYFUNCTION("""COMPUTED_VALUE"""),"First submission only (before peer review)")</f>
        <v>First submission only (before peer review)</v>
      </c>
      <c r="AI3" t="str">
        <f>IFERROR(__xludf.DUMMYFUNCTION("""COMPUTED_VALUE"""),"")</f>
        <v/>
      </c>
      <c r="AJ3" t="str">
        <f>IFERROR(__xludf.DUMMYFUNCTION("""COMPUTED_VALUE"""),"Unsure")</f>
        <v>Unsure</v>
      </c>
      <c r="AK3" t="str">
        <f>IFERROR(__xludf.DUMMYFUNCTION("""COMPUTED_VALUE"""),"No")</f>
        <v>No</v>
      </c>
      <c r="AL3" t="str">
        <f>IFERROR(__xludf.DUMMYFUNCTION("""COMPUTED_VALUE"""),"")</f>
        <v/>
      </c>
      <c r="AM3" t="str">
        <f>IFERROR(__xludf.DUMMYFUNCTION("""COMPUTED_VALUE"""),"")</f>
        <v/>
      </c>
      <c r="AN3" t="str">
        <f>IFERROR(__xludf.DUMMYFUNCTION("""COMPUTED_VALUE"""),"")</f>
        <v/>
      </c>
      <c r="AO3" t="str">
        <f>IFERROR(__xludf.DUMMYFUNCTION("""COMPUTED_VALUE"""),"")</f>
        <v/>
      </c>
      <c r="AP3" t="str">
        <f>IFERROR(__xludf.DUMMYFUNCTION("""COMPUTED_VALUE"""),"")</f>
        <v/>
      </c>
      <c r="AQ3" t="str">
        <f>IFERROR(__xludf.DUMMYFUNCTION("""COMPUTED_VALUE"""),"")</f>
        <v/>
      </c>
      <c r="AR3" t="str">
        <f>IFERROR(__xludf.DUMMYFUNCTION("""COMPUTED_VALUE"""),"")</f>
        <v/>
      </c>
    </row>
    <row r="4">
      <c r="A4" t="str">
        <f>IFERROR(__xludf.DUMMYFUNCTION("""COMPUTED_VALUE"""),"SR")</f>
        <v>SR</v>
      </c>
      <c r="B4" s="34">
        <f>IFERROR(__xludf.DUMMYFUNCTION("""COMPUTED_VALUE"""),43426.0)</f>
        <v>43426</v>
      </c>
      <c r="C4" t="str">
        <f>IFERROR(__xludf.DUMMYFUNCTION("""COMPUTED_VALUE"""),"TRH")</f>
        <v>TRH</v>
      </c>
      <c r="D4" s="36">
        <f>IFERROR(__xludf.DUMMYFUNCTION("""COMPUTED_VALUE"""),43575.0)</f>
        <v>43575</v>
      </c>
      <c r="E4" t="str">
        <f>IFERROR(__xludf.DUMMYFUNCTION("""COMPUTED_VALUE"""),"JP")</f>
        <v>JP</v>
      </c>
      <c r="F4" s="36">
        <f>IFERROR(__xludf.DUMMYFUNCTION("""COMPUTED_VALUE"""),43581.0)</f>
        <v>43581</v>
      </c>
      <c r="G4" t="str">
        <f>IFERROR(__xludf.DUMMYFUNCTION("""COMPUTED_VALUE"""),"Where do Nos come from in OPR section?; Reviewer identities revealed to author set as conditional based on: https://pubs.acs.org/userimages/ContentEditor/1218054468605/ethics.pdf")</f>
        <v>Where do Nos come from in OPR section?; Reviewer identities revealed to author set as conditional based on: https://pubs.acs.org/userimages/ContentEditor/1218054468605/ethics.pdf</v>
      </c>
      <c r="H4" t="str">
        <f>IFERROR(__xludf.DUMMYFUNCTION("""COMPUTED_VALUE"""),"1520-4898")</f>
        <v>1520-4898</v>
      </c>
      <c r="I4" t="str">
        <f>IFERROR(__xludf.DUMMYFUNCTION("""COMPUTED_VALUE"""),"Accounts of Chemical Research")</f>
        <v>Accounts of Chemical Research</v>
      </c>
      <c r="J4" t="str">
        <f>IFERROR(__xludf.DUMMYFUNCTION("""COMPUTED_VALUE"""),"Chemical &amp; Materials Sciences")</f>
        <v>Chemical &amp; Materials Sciences</v>
      </c>
      <c r="K4" t="str">
        <f>IFERROR(__xludf.DUMMYFUNCTION("""COMPUTED_VALUE"""),"American Chemical Society")</f>
        <v>American Chemical Society</v>
      </c>
      <c r="L4" t="str">
        <f>IFERROR(__xludf.DUMMYFUNCTION("""COMPUTED_VALUE"""),"Single Blind")</f>
        <v>Single Blind</v>
      </c>
      <c r="M4" s="78" t="str">
        <f>IFERROR(__xludf.DUMMYFUNCTION("""COMPUTED_VALUE"""),"https://pubs.acs.org/paragonplus/submission/achre4/achre4_authguide.pdf")</f>
        <v>https://pubs.acs.org/paragonplus/submission/achre4/achre4_authguide.pdf</v>
      </c>
      <c r="N4" t="str">
        <f>IFERROR(__xludf.DUMMYFUNCTION("""COMPUTED_VALUE"""),"")</f>
        <v/>
      </c>
      <c r="O4" t="str">
        <f>IFERROR(__xludf.DUMMYFUNCTION("""COMPUTED_VALUE"""),"")</f>
        <v/>
      </c>
      <c r="P4" t="str">
        <f>IFERROR(__xludf.DUMMYFUNCTION("""COMPUTED_VALUE"""),"Unsure")</f>
        <v>Unsure</v>
      </c>
      <c r="Q4" t="str">
        <f>IFERROR(__xludf.DUMMYFUNCTION("""COMPUTED_VALUE"""),"If your submission is declined for publication by this journal, the editors might deem your work to be
better suited for another ACS Publications journal and suggest that the authors consider transferring the
submission. Manuscript Transfer simplifies and"&amp;" shortens the process of submitting to another ACS
journal, as all the coauthors, suggested reviewers, manuscript files, and responses to submission
questions are copied by ACS Paragon Plus to the new draft submission. Authors are free to accept or
declin"&amp;"e the transfer offer.
Note that each journal is editorially independent. Transferring a manuscript is not a guarantee that the
manuscript will be accepted, as the final publication decision will belong to the editor of the next
journal.")</f>
        <v>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4" t="str">
        <f>IFERROR(__xludf.DUMMYFUNCTION("""COMPUTED_VALUE"""),"https://pubs.acs.org/paragonplus/submission/achre4/achre4_authguide.pdf, https://pubs.acs.org/page/policy/manuscript_transfer/index.html")</f>
        <v>https://pubs.acs.org/paragonplus/submission/achre4/achre4_authguide.pdf, https://pubs.acs.org/page/policy/manuscript_transfer/index.html</v>
      </c>
      <c r="S4" t="str">
        <f>IFERROR(__xludf.DUMMYFUNCTION("""COMPUTED_VALUE"""),"Not specified")</f>
        <v>Not specified</v>
      </c>
      <c r="T4" t="str">
        <f>IFERROR(__xludf.DUMMYFUNCTION("""COMPUTED_VALUE"""),"Not specified")</f>
        <v>Not specified</v>
      </c>
      <c r="U4" t="str">
        <f>IFERROR(__xludf.DUMMYFUNCTION("""COMPUTED_VALUE"""),"Not specified")</f>
        <v>Not specified</v>
      </c>
      <c r="V4" t="str">
        <f>IFERROR(__xludf.DUMMYFUNCTION("""COMPUTED_VALUE"""),"Not specified")</f>
        <v>Not specified</v>
      </c>
      <c r="W4" t="str">
        <f>IFERROR(__xludf.DUMMYFUNCTION("""COMPUTED_VALUE"""),"No")</f>
        <v>No</v>
      </c>
      <c r="X4" t="str">
        <f>IFERROR(__xludf.DUMMYFUNCTION("""COMPUTED_VALUE"""),"Conditional")</f>
        <v>Conditional</v>
      </c>
      <c r="Y4" t="str">
        <f>IFERROR(__xludf.DUMMYFUNCTION("""COMPUTED_VALUE"""),"Not specified")</f>
        <v>Not specified</v>
      </c>
      <c r="Z4" t="str">
        <f>IFERROR(__xludf.DUMMYFUNCTION("""COMPUTED_VALUE"""),"Not specified")</f>
        <v>Not specified</v>
      </c>
      <c r="AA4" t="str">
        <f>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4" t="str">
        <f>IFERROR(__xludf.DUMMYFUNCTION("""COMPUTED_VALUE"""),"")</f>
        <v/>
      </c>
      <c r="AC4" t="str">
        <f>IFERROR(__xludf.DUMMYFUNCTION("""COMPUTED_VALUE"""),"")</f>
        <v/>
      </c>
      <c r="AD4" t="str">
        <f>IFERROR(__xludf.DUMMYFUNCTION("""COMPUTED_VALUE"""),"Unsure")</f>
        <v>Unsure</v>
      </c>
      <c r="AE4" t="str">
        <f>IFERROR(__xludf.DUMMYFUNCTION("""COMPUTED_VALUE"""),"Unsure")</f>
        <v>Unsure</v>
      </c>
      <c r="AF4" t="str">
        <f>IFERROR(__xludf.DUMMYFUNCTION("""COMPUTED_VALUE"""),"Unsure")</f>
        <v>Unsure</v>
      </c>
      <c r="AG4" s="78" t="str">
        <f>IFERROR(__xludf.DUMMYFUNCTION("""COMPUTED_VALUE"""),"https://pubs.acs.org/paragonplus/submission/achre4/achre4_authguide.pdf")</f>
        <v>https://pubs.acs.org/paragonplus/submission/achre4/achre4_authguide.pdf</v>
      </c>
      <c r="AH4" t="str">
        <f>IFERROR(__xludf.DUMMYFUNCTION("""COMPUTED_VALUE"""),"None (preprints not allowed)")</f>
        <v>None (preprints not allowed)</v>
      </c>
      <c r="AI4" t="str">
        <f>IFERROR(__xludf.DUMMYFUNCTION("""COMPUTED_VALUE"""),"Because Accounts of Chemical Research publishes review-like content, the posting of manuscripts on a preprint server such as ArXiv, BioRxiv or ChemRxiv is not appropriate. Manuscripts that have been publicly posted will not be accepted.")</f>
        <v>Because Accounts of Chemical Research publishes review-like content, the posting of manuscripts on a preprint server such as ArXiv, BioRxiv or ChemRxiv is not appropriate. Manuscripts that have been publicly posted will not be accepted.</v>
      </c>
      <c r="AJ4" t="str">
        <f>IFERROR(__xludf.DUMMYFUNCTION("""COMPUTED_VALUE"""),"Unsure")</f>
        <v>Unsure</v>
      </c>
      <c r="AK4" t="str">
        <f>IFERROR(__xludf.DUMMYFUNCTION("""COMPUTED_VALUE"""),"No")</f>
        <v>No</v>
      </c>
      <c r="AL4" t="str">
        <f>IFERROR(__xludf.DUMMYFUNCTION("""COMPUTED_VALUE"""),"")</f>
        <v/>
      </c>
      <c r="AM4" t="str">
        <f>IFERROR(__xludf.DUMMYFUNCTION("""COMPUTED_VALUE"""),"")</f>
        <v/>
      </c>
      <c r="AN4" t="str">
        <f>IFERROR(__xludf.DUMMYFUNCTION("""COMPUTED_VALUE"""),"")</f>
        <v/>
      </c>
      <c r="AO4" t="str">
        <f>IFERROR(__xludf.DUMMYFUNCTION("""COMPUTED_VALUE"""),"")</f>
        <v/>
      </c>
      <c r="AP4" t="str">
        <f>IFERROR(__xludf.DUMMYFUNCTION("""COMPUTED_VALUE"""),"")</f>
        <v/>
      </c>
      <c r="AQ4" t="str">
        <f>IFERROR(__xludf.DUMMYFUNCTION("""COMPUTED_VALUE"""),"")</f>
        <v/>
      </c>
      <c r="AR4" t="str">
        <f>IFERROR(__xludf.DUMMYFUNCTION("""COMPUTED_VALUE"""),"")</f>
        <v/>
      </c>
    </row>
    <row r="5">
      <c r="A5" t="str">
        <f>IFERROR(__xludf.DUMMYFUNCTION("""COMPUTED_VALUE"""),"SR")</f>
        <v>SR</v>
      </c>
      <c r="B5" s="34">
        <f>IFERROR(__xludf.DUMMYFUNCTION("""COMPUTED_VALUE"""),43426.0)</f>
        <v>43426</v>
      </c>
      <c r="C5" t="str">
        <f>IFERROR(__xludf.DUMMYFUNCTION("""COMPUTED_VALUE"""),"NP")</f>
        <v>NP</v>
      </c>
      <c r="D5" s="36">
        <f>IFERROR(__xludf.DUMMYFUNCTION("""COMPUTED_VALUE"""),43574.0)</f>
        <v>43574</v>
      </c>
      <c r="E5" t="str">
        <f>IFERROR(__xludf.DUMMYFUNCTION("""COMPUTED_VALUE"""),"JP")</f>
        <v>JP</v>
      </c>
      <c r="F5" s="36">
        <f>IFERROR(__xludf.DUMMYFUNCTION("""COMPUTED_VALUE"""),43581.0)</f>
        <v>43581</v>
      </c>
      <c r="G5" t="str">
        <f>IFERROR(__xludf.DUMMYFUNCTION("""COMPUTED_VALUE"""),"Reviewer identities revealed to author set as conditional based on: https://pubs.acs.org/userimages/ContentEditor/1218054468605/ethics.pdf ; modified acceptable characteristics of servers to remove not specified")</f>
        <v>Reviewer identities revealed to author set as conditional based on: https://pubs.acs.org/userimages/ContentEditor/1218054468605/ethics.pdf ; modified acceptable characteristics of servers to remove not specified</v>
      </c>
      <c r="H5" t="str">
        <f>IFERROR(__xludf.DUMMYFUNCTION("""COMPUTED_VALUE"""),"2155-5435")</f>
        <v>2155-5435</v>
      </c>
      <c r="I5" t="str">
        <f>IFERROR(__xludf.DUMMYFUNCTION("""COMPUTED_VALUE"""),"ACS Catalysis")</f>
        <v>ACS Catalysis</v>
      </c>
      <c r="J5" t="str">
        <f>IFERROR(__xludf.DUMMYFUNCTION("""COMPUTED_VALUE"""),"")</f>
        <v/>
      </c>
      <c r="K5" t="str">
        <f>IFERROR(__xludf.DUMMYFUNCTION("""COMPUTED_VALUE"""),"American Chemical Society")</f>
        <v>American Chemical Society</v>
      </c>
      <c r="L5" t="str">
        <f>IFERROR(__xludf.DUMMYFUNCTION("""COMPUTED_VALUE"""),"Single blind")</f>
        <v>Single blind</v>
      </c>
      <c r="M5" t="str">
        <f>IFERROR(__xludf.DUMMYFUNCTION("""COMPUTED_VALUE"""),"https://pubs.acs.org/page/accacs/submission/reviewers.html and https://pubs.acs.org/userimages/ContentEditor/1218054468605/ethics.pdf")</f>
        <v>https://pubs.acs.org/page/accacs/submission/reviewers.html and https://pubs.acs.org/userimages/ContentEditor/1218054468605/ethics.pdf</v>
      </c>
      <c r="N5" t="str">
        <f>IFERROR(__xludf.DUMMYFUNCTION("""COMPUTED_VALUE"""),"")</f>
        <v/>
      </c>
      <c r="O5" t="str">
        <f>IFERROR(__xludf.DUMMYFUNCTION("""COMPUTED_VALUE"""),"Not specified")</f>
        <v>Not specified</v>
      </c>
      <c r="P5" t="str">
        <f>IFERROR(__xludf.DUMMYFUNCTION("""COMPUTED_VALUE"""),"Unsure")</f>
        <v>Unsure</v>
      </c>
      <c r="Q5" t="str">
        <f>IFERROR(__xludf.DUMMYFUNCTION("""COMPUTED_VALUE"""),"If the manuscript has been peer reviewed, the reviews and the reviewer identities will be transferred to the next journal. If authors do not wish to share the reviews, they should decline the offer to transfer the submission. Sharing the editor’s decision"&amp;" letter and manuscript reviews, if available, may shorten the decision time in the next journal. However, the editor of the next journal may still elect to send the manuscript out for additional peer review. The ACS editor’s decision letter is always shar"&amp;"ed with the next journal. If authors do not wish to share the editor’s decision letter, they should decline the offer to transfer the submission.")</f>
        <v>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v>
      </c>
      <c r="R5" s="78" t="str">
        <f>IFERROR(__xludf.DUMMYFUNCTION("""COMPUTED_VALUE"""),"https://pubs.acs.org/page/policy/manuscript_transfer/index.html")</f>
        <v>https://pubs.acs.org/page/policy/manuscript_transfer/index.html</v>
      </c>
      <c r="S5" t="str">
        <f>IFERROR(__xludf.DUMMYFUNCTION("""COMPUTED_VALUE"""),"Not specified")</f>
        <v>Not specified</v>
      </c>
      <c r="T5" t="str">
        <f>IFERROR(__xludf.DUMMYFUNCTION("""COMPUTED_VALUE"""),"Not specified")</f>
        <v>Not specified</v>
      </c>
      <c r="U5" t="str">
        <f>IFERROR(__xludf.DUMMYFUNCTION("""COMPUTED_VALUE"""),"Not specified")</f>
        <v>Not specified</v>
      </c>
      <c r="V5" t="str">
        <f>IFERROR(__xludf.DUMMYFUNCTION("""COMPUTED_VALUE"""),"Not specified")</f>
        <v>Not specified</v>
      </c>
      <c r="W5" t="str">
        <f>IFERROR(__xludf.DUMMYFUNCTION("""COMPUTED_VALUE"""),"No")</f>
        <v>No</v>
      </c>
      <c r="X5" t="str">
        <f>IFERROR(__xludf.DUMMYFUNCTION("""COMPUTED_VALUE"""),"Conditional")</f>
        <v>Conditional</v>
      </c>
      <c r="Y5" t="str">
        <f>IFERROR(__xludf.DUMMYFUNCTION("""COMPUTED_VALUE"""),"Not specified")</f>
        <v>Not specified</v>
      </c>
      <c r="Z5" t="str">
        <f>IFERROR(__xludf.DUMMYFUNCTION("""COMPUTED_VALUE"""),"Not specified")</f>
        <v>Not specified</v>
      </c>
      <c r="AA5" t="str">
        <f>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5" t="str">
        <f>IFERROR(__xludf.DUMMYFUNCTION("""COMPUTED_VALUE"""),"Not specified")</f>
        <v>Not specified</v>
      </c>
      <c r="AC5" t="str">
        <f>IFERROR(__xludf.DUMMYFUNCTION("""COMPUTED_VALUE"""),"")</f>
        <v/>
      </c>
      <c r="AD5" t="str">
        <f>IFERROR(__xludf.DUMMYFUNCTION("""COMPUTED_VALUE"""),"Unsure")</f>
        <v>Unsure</v>
      </c>
      <c r="AE5" t="str">
        <f>IFERROR(__xludf.DUMMYFUNCTION("""COMPUTED_VALUE"""),"Unsure")</f>
        <v>Unsure</v>
      </c>
      <c r="AF5" t="str">
        <f>IFERROR(__xludf.DUMMYFUNCTION("""COMPUTED_VALUE"""),"Unsure")</f>
        <v>Unsure</v>
      </c>
      <c r="AG5" s="78" t="str">
        <f>IFERROR(__xludf.DUMMYFUNCTION("""COMPUTED_VALUE"""),"https://pubs.acs.org/page/accacs/submission/prior.html https://pubs.acs.org/page/policy/authorchoice/index.html")</f>
        <v>https://pubs.acs.org/page/accacs/submission/prior.html https://pubs.acs.org/page/policy/authorchoice/index.html</v>
      </c>
      <c r="AH5" t="str">
        <f>IFERROR(__xludf.DUMMYFUNCTION("""COMPUTED_VALUE""")," First submission only (before peer review)")</f>
        <v> First submission only (before peer review)</v>
      </c>
      <c r="AI5" t="str">
        <f>IFERROR(__xludf.DUMMYFUNCTION("""COMPUTED_VALUE"""),"""Posting of the original submitted manuscript to a pre-print server is acceptable. Please note the use of a pre-print server explicitly in the cover letter, and as appropriate, state how the manuscript has been adjusted/updated between the pre-print vers"&amp;"ion and the version submitted to ACS Catalysis. Authors may not revise these preprints. Upon publication in ACS Catalysis authors are advised to add a link from the preprint to the published paper via the Digital Object Identifier (DOI). Some services,suc"&amp;"h as ChemRxiv and bioRxiv, add this link for authors automatically after publication"".")</f>
        <v>"Posting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v>
      </c>
      <c r="AJ5" t="str">
        <f>IFERROR(__xludf.DUMMYFUNCTION("""COMPUTED_VALUE"""),"Unsure")</f>
        <v>Unsure</v>
      </c>
      <c r="AK5" t="str">
        <f>IFERROR(__xludf.DUMMYFUNCTION("""COMPUTED_VALUE"""),"Unsure")</f>
        <v>Unsure</v>
      </c>
      <c r="AL5" t="str">
        <f>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5" t="str">
        <f>IFERROR(__xludf.DUMMYFUNCTION("""COMPUTED_VALUE"""),"")</f>
        <v/>
      </c>
      <c r="AN5" t="str">
        <f>IFERROR(__xludf.DUMMYFUNCTION("""COMPUTED_VALUE"""),"")</f>
        <v/>
      </c>
      <c r="AO5" t="str">
        <f>IFERROR(__xludf.DUMMYFUNCTION("""COMPUTED_VALUE"""),"")</f>
        <v/>
      </c>
      <c r="AP5" t="str">
        <f>IFERROR(__xludf.DUMMYFUNCTION("""COMPUTED_VALUE"""),"")</f>
        <v/>
      </c>
      <c r="AQ5" t="str">
        <f>IFERROR(__xludf.DUMMYFUNCTION("""COMPUTED_VALUE"""),"")</f>
        <v/>
      </c>
      <c r="AR5" t="str">
        <f>IFERROR(__xludf.DUMMYFUNCTION("""COMPUTED_VALUE"""),"")</f>
        <v/>
      </c>
    </row>
    <row r="6">
      <c r="A6" t="str">
        <f>IFERROR(__xludf.DUMMYFUNCTION("""COMPUTED_VALUE"""),"SR")</f>
        <v>SR</v>
      </c>
      <c r="B6" s="34">
        <f>IFERROR(__xludf.DUMMYFUNCTION("""COMPUTED_VALUE"""),43425.0)</f>
        <v>43425</v>
      </c>
      <c r="C6" t="str">
        <f>IFERROR(__xludf.DUMMYFUNCTION("""COMPUTED_VALUE"""),"TRH")</f>
        <v>TRH</v>
      </c>
      <c r="D6" s="36">
        <f>IFERROR(__xludf.DUMMYFUNCTION("""COMPUTED_VALUE"""),43575.0)</f>
        <v>43575</v>
      </c>
      <c r="E6" t="str">
        <f>IFERROR(__xludf.DUMMYFUNCTION("""COMPUTED_VALUE"""),"JP")</f>
        <v>JP</v>
      </c>
      <c r="F6" s="36">
        <f>IFERROR(__xludf.DUMMYFUNCTION("""COMPUTED_VALUE"""),43581.0)</f>
        <v>43581</v>
      </c>
      <c r="G6" t="str">
        <f>IFERROR(__xludf.DUMMYFUNCTION("""COMPUTED_VALUE"""),"Where do Nos come from in OPR section?; TRH - Changed to not specified")</f>
        <v>Where do Nos come from in OPR section?; TRH - Changed to not specified</v>
      </c>
      <c r="H6" t="str">
        <f>IFERROR(__xludf.DUMMYFUNCTION("""COMPUTED_VALUE"""),"0001-4273")</f>
        <v>0001-4273</v>
      </c>
      <c r="I6" t="str">
        <f>IFERROR(__xludf.DUMMYFUNCTION("""COMPUTED_VALUE"""),"Academy of Management Journal")</f>
        <v>Academy of Management Journal</v>
      </c>
      <c r="J6" t="str">
        <f>IFERROR(__xludf.DUMMYFUNCTION("""COMPUTED_VALUE"""),"Business, Economics &amp; Management")</f>
        <v>Business, Economics &amp; Management</v>
      </c>
      <c r="K6" t="str">
        <f>IFERROR(__xludf.DUMMYFUNCTION("""COMPUTED_VALUE"""),"Academy of Management")</f>
        <v>Academy of Management</v>
      </c>
      <c r="L6" s="34" t="str">
        <f>IFERROR(__xludf.DUMMYFUNCTION("""COMPUTED_VALUE"""),"Double blind")</f>
        <v>Double blind</v>
      </c>
      <c r="M6" t="str">
        <f>IFERROR(__xludf.DUMMYFUNCTION("""COMPUTED_VALUE"""),"http://aom.org/Publications/AMJ/Information-for-Contributors.aspx, https://aom.org/Publications/AMR/Frequently-Asked-Questions.aspx#amrR7")</f>
        <v>http://aom.org/Publications/AMJ/Information-for-Contributors.aspx, https://aom.org/Publications/AMR/Frequently-Asked-Questions.aspx#amrR7</v>
      </c>
      <c r="N6" s="105" t="str">
        <f>IFERROR(__xludf.DUMMYFUNCTION("""COMPUTED_VALUE"""),"http://aom.org/uploadedFiles/Publications/AMJ/07_Colquitt_IrelandApr09FTE.pdf")</f>
        <v>http://aom.org/uploadedFiles/Publications/AMJ/07_Colquitt_IrelandApr09FTE.pdf</v>
      </c>
      <c r="O6" t="str">
        <f>IFERROR(__xludf.DUMMYFUNCTION("""COMPUTED_VALUE"""),"")</f>
        <v/>
      </c>
      <c r="P6" s="36" t="str">
        <f>IFERROR(__xludf.DUMMYFUNCTION("""COMPUTED_VALUE"""),"Unsure")</f>
        <v>Unsure</v>
      </c>
      <c r="Q6" t="str">
        <f>IFERROR(__xludf.DUMMYFUNCTION("""COMPUTED_VALUE"""),"")</f>
        <v/>
      </c>
      <c r="R6" t="str">
        <f>IFERROR(__xludf.DUMMYFUNCTION("""COMPUTED_VALUE"""),"")</f>
        <v/>
      </c>
      <c r="S6" t="str">
        <f>IFERROR(__xludf.DUMMYFUNCTION("""COMPUTED_VALUE"""),"Not specified")</f>
        <v>Not specified</v>
      </c>
      <c r="T6" t="str">
        <f>IFERROR(__xludf.DUMMYFUNCTION("""COMPUTED_VALUE"""),"Not specified")</f>
        <v>Not specified</v>
      </c>
      <c r="U6" t="str">
        <f>IFERROR(__xludf.DUMMYFUNCTION("""COMPUTED_VALUE"""),"Not specified")</f>
        <v>Not specified</v>
      </c>
      <c r="V6" t="str">
        <f>IFERROR(__xludf.DUMMYFUNCTION("""COMPUTED_VALUE"""),"Not specified")</f>
        <v>Not specified</v>
      </c>
      <c r="W6" t="str">
        <f>IFERROR(__xludf.DUMMYFUNCTION("""COMPUTED_VALUE"""),"Not specified")</f>
        <v>Not specified</v>
      </c>
      <c r="X6" t="str">
        <f>IFERROR(__xludf.DUMMYFUNCTION("""COMPUTED_VALUE"""),"Not specified")</f>
        <v>Not specified</v>
      </c>
      <c r="Y6" t="str">
        <f>IFERROR(__xludf.DUMMYFUNCTION("""COMPUTED_VALUE"""),"Not specified")</f>
        <v>Not specified</v>
      </c>
      <c r="Z6" t="str">
        <f>IFERROR(__xludf.DUMMYFUNCTION("""COMPUTED_VALUE"""),"Not specified")</f>
        <v>Not specified</v>
      </c>
      <c r="AA6" t="str">
        <f>IFERROR(__xludf.DUMMYFUNCTION("""COMPUTED_VALUE"""),"")</f>
        <v/>
      </c>
      <c r="AB6" t="str">
        <f>IFERROR(__xludf.DUMMYFUNCTION("""COMPUTED_VALUE"""),"Can I have my student write my review? No, your review should be written by you. Do not have your students write your reviews for AMR. Our authors expect, and deserve, high quality reviews from the leading scholars in the field. We understand that doctora"&amp;"l students need to learn how to write reviews, but there are other methods that can be used. For example, you could share your own manuscripts and the reviews you received as an author with your students to facilitate their learning. ")</f>
        <v>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v>
      </c>
      <c r="AC6" s="78" t="str">
        <f>IFERROR(__xludf.DUMMYFUNCTION("""COMPUTED_VALUE"""),"https://aom.org/Publications/AMR/Frequently-Asked-Questions.aspx#amrR7")</f>
        <v>https://aom.org/Publications/AMR/Frequently-Asked-Questions.aspx#amrR7</v>
      </c>
      <c r="AD6" t="str">
        <f>IFERROR(__xludf.DUMMYFUNCTION("""COMPUTED_VALUE"""),"No")</f>
        <v>No</v>
      </c>
      <c r="AE6" t="str">
        <f>IFERROR(__xludf.DUMMYFUNCTION("""COMPUTED_VALUE"""),"No")</f>
        <v>No</v>
      </c>
      <c r="AF6" t="str">
        <f>IFERROR(__xludf.DUMMYFUNCTION("""COMPUTED_VALUE"""),"No")</f>
        <v>No</v>
      </c>
      <c r="AG6" s="78" t="str">
        <f>IFERROR(__xludf.DUMMYFUNCTION("""COMPUTED_VALUE"""),"http://aom.org/Publications/AMJ/Information-for-Contributors.aspx")</f>
        <v>http://aom.org/Publications/AMJ/Information-for-Contributors.aspx</v>
      </c>
      <c r="AH6" t="str">
        <f>IFERROR(__xludf.DUMMYFUNCTION("""COMPUTED_VALUE"""),"None")</f>
        <v>None</v>
      </c>
      <c r="AI6" t="str">
        <f>IFERROR(__xludf.DUMMYFUNCTION("""COMPUTED_VALUE"""),"Submission Requirements: When authors submit their manuscripts to AMJ for publication consideration, they agree to abide by AMJ’s publication requirements. Specifically, an author must ... Agree that working papers, prior drafts, and/or final versions of "&amp;"submitted manuscripts that are posted on a Web site (e.g., personal, departmental, university, or working series sites) will be taken down during the review process.")</f>
        <v>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v>
      </c>
      <c r="AJ6" t="str">
        <f>IFERROR(__xludf.DUMMYFUNCTION("""COMPUTED_VALUE"""),"Not specified")</f>
        <v>Not specified</v>
      </c>
      <c r="AK6" t="str">
        <f>IFERROR(__xludf.DUMMYFUNCTION("""COMPUTED_VALUE"""),"No")</f>
        <v>No</v>
      </c>
      <c r="AL6" t="str">
        <f>IFERROR(__xludf.DUMMYFUNCTION("""COMPUTED_VALUE"""),"")</f>
        <v/>
      </c>
      <c r="AM6" t="str">
        <f>IFERROR(__xludf.DUMMYFUNCTION("""COMPUTED_VALUE"""),"")</f>
        <v/>
      </c>
      <c r="AN6" t="str">
        <f>IFERROR(__xludf.DUMMYFUNCTION("""COMPUTED_VALUE"""),"")</f>
        <v/>
      </c>
      <c r="AO6" t="str">
        <f>IFERROR(__xludf.DUMMYFUNCTION("""COMPUTED_VALUE"""),"")</f>
        <v/>
      </c>
      <c r="AP6" t="str">
        <f>IFERROR(__xludf.DUMMYFUNCTION("""COMPUTED_VALUE"""),"")</f>
        <v/>
      </c>
      <c r="AQ6" t="str">
        <f>IFERROR(__xludf.DUMMYFUNCTION("""COMPUTED_VALUE"""),"")</f>
        <v/>
      </c>
      <c r="AR6" t="str">
        <f>IFERROR(__xludf.DUMMYFUNCTION("""COMPUTED_VALUE"""),"")</f>
        <v/>
      </c>
    </row>
    <row r="7">
      <c r="A7" t="str">
        <f>IFERROR(__xludf.DUMMYFUNCTION("""COMPUTED_VALUE"""),"SR")</f>
        <v>SR</v>
      </c>
      <c r="B7" s="34">
        <f>IFERROR(__xludf.DUMMYFUNCTION("""COMPUTED_VALUE"""),43433.0)</f>
        <v>43433</v>
      </c>
      <c r="C7" t="str">
        <f>IFERROR(__xludf.DUMMYFUNCTION("""COMPUTED_VALUE"""),"NP")</f>
        <v>NP</v>
      </c>
      <c r="D7" s="36">
        <f>IFERROR(__xludf.DUMMYFUNCTION("""COMPUTED_VALUE"""),43574.0)</f>
        <v>43574</v>
      </c>
      <c r="E7" t="str">
        <f>IFERROR(__xludf.DUMMYFUNCTION("""COMPUTED_VALUE"""),"JP")</f>
        <v>JP</v>
      </c>
      <c r="F7" s="36">
        <f>IFERROR(__xludf.DUMMYFUNCTION("""COMPUTED_VALUE"""),43581.0)</f>
        <v>43581</v>
      </c>
      <c r="G7" t="str">
        <f>IFERROR(__xludf.DUMMYFUNCTION("""COMPUTED_VALUE"""),"Where do Nos come from in OPR section?; [TRH - changed to not spec.d] Reviewer identities revealed to author set as conditional based on: https://pubs.acs.org/userimages/ContentEditor/1218054468605/ethics.pdf")</f>
        <v>Where do Nos come from in OPR section?; [TRH - changed to not spec.d] Reviewer identities revealed to author set as conditional based on: https://pubs.acs.org/userimages/ContentEditor/1218054468605/ethics.pdf</v>
      </c>
      <c r="H7" t="str">
        <f>IFERROR(__xludf.DUMMYFUNCTION("""COMPUTED_VALUE"""),"1936-086X")</f>
        <v>1936-086X</v>
      </c>
      <c r="I7" t="str">
        <f>IFERROR(__xludf.DUMMYFUNCTION("""COMPUTED_VALUE"""),"ACS Nano")</f>
        <v>ACS Nano</v>
      </c>
      <c r="J7" t="str">
        <f>IFERROR(__xludf.DUMMYFUNCTION("""COMPUTED_VALUE"""),"Chemical &amp; Materials Sciences, Engineering &amp; Computer Science")</f>
        <v>Chemical &amp; Materials Sciences, Engineering &amp; Computer Science</v>
      </c>
      <c r="K7" t="str">
        <f>IFERROR(__xludf.DUMMYFUNCTION("""COMPUTED_VALUE"""),"American Chemical Society")</f>
        <v>American Chemical Society</v>
      </c>
      <c r="L7" s="34" t="str">
        <f>IFERROR(__xludf.DUMMYFUNCTION("""COMPUTED_VALUE"""),"Single blind")</f>
        <v>Single blind</v>
      </c>
      <c r="M7" s="78" t="str">
        <f>IFERROR(__xludf.DUMMYFUNCTION("""COMPUTED_VALUE"""),"https://pubs.acs.org/userimages/ContentEditor/1218054468605/ethics.pdf")</f>
        <v>https://pubs.acs.org/userimages/ContentEditor/1218054468605/ethics.pdf</v>
      </c>
      <c r="N7" s="105" t="str">
        <f>IFERROR(__xludf.DUMMYFUNCTION("""COMPUTED_VALUE"""),"https://pubs.acs.org/pb-assets/acspubs/Migrated/ancac3_revguide.pdf")</f>
        <v>https://pubs.acs.org/pb-assets/acspubs/Migrated/ancac3_revguide.pdf</v>
      </c>
      <c r="O7" t="str">
        <f>IFERROR(__xludf.DUMMYFUNCTION("""COMPUTED_VALUE"""),"Not specified")</f>
        <v>Not specified</v>
      </c>
      <c r="P7" s="36" t="str">
        <f>IFERROR(__xludf.DUMMYFUNCTION("""COMPUTED_VALUE"""),"Unsure")</f>
        <v>Unsure</v>
      </c>
      <c r="Q7" t="str">
        <f>IFERROR(__xludf.DUMMYFUNCTION("""COMPUTED_VALUE"""),"[To other ACS journals] If the manuscript has been peer reviewed, the reviews and the reviewer identities will be transferred to the next journal. If authors do not wish to share the reviews, they should decline the offer to transfer the submission.")</f>
        <v>[To other ACS journals] If the manuscript has been peer reviewed, the reviews and the reviewer identities will be transferred to the next journal. If authors do not wish to share the reviews, they should decline the offer to transfer the submission.</v>
      </c>
      <c r="R7" s="78" t="str">
        <f>IFERROR(__xludf.DUMMYFUNCTION("""COMPUTED_VALUE"""),"https://pubs.acs.org/page/policy/manuscript_transfer/index.html")</f>
        <v>https://pubs.acs.org/page/policy/manuscript_transfer/index.html</v>
      </c>
      <c r="S7" t="str">
        <f>IFERROR(__xludf.DUMMYFUNCTION("""COMPUTED_VALUE"""),"Not specified")</f>
        <v>Not specified</v>
      </c>
      <c r="T7" t="str">
        <f>IFERROR(__xludf.DUMMYFUNCTION("""COMPUTED_VALUE"""),"Not specified")</f>
        <v>Not specified</v>
      </c>
      <c r="U7" t="str">
        <f>IFERROR(__xludf.DUMMYFUNCTION("""COMPUTED_VALUE"""),"Not specified")</f>
        <v>Not specified</v>
      </c>
      <c r="V7" t="str">
        <f>IFERROR(__xludf.DUMMYFUNCTION("""COMPUTED_VALUE"""),"Not specified")</f>
        <v>Not specified</v>
      </c>
      <c r="W7" t="str">
        <f>IFERROR(__xludf.DUMMYFUNCTION("""COMPUTED_VALUE"""),"Not specified")</f>
        <v>Not specified</v>
      </c>
      <c r="X7" t="str">
        <f>IFERROR(__xludf.DUMMYFUNCTION("""COMPUTED_VALUE"""),"Conditional")</f>
        <v>Conditional</v>
      </c>
      <c r="Y7" t="str">
        <f>IFERROR(__xludf.DUMMYFUNCTION("""COMPUTED_VALUE"""),"Not specified")</f>
        <v>Not specified</v>
      </c>
      <c r="Z7" t="str">
        <f>IFERROR(__xludf.DUMMYFUNCTION("""COMPUTED_VALUE"""),"Not specified")</f>
        <v>Not specified</v>
      </c>
      <c r="AA7" t="str">
        <f>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7" t="str">
        <f>IFERROR(__xludf.DUMMYFUNCTION("""COMPUTED_VALUE"""),"")</f>
        <v/>
      </c>
      <c r="AC7" t="str">
        <f>IFERROR(__xludf.DUMMYFUNCTION("""COMPUTED_VALUE"""),"")</f>
        <v/>
      </c>
      <c r="AD7" t="str">
        <f>IFERROR(__xludf.DUMMYFUNCTION("""COMPUTED_VALUE"""),"Unsure")</f>
        <v>Unsure</v>
      </c>
      <c r="AE7" t="str">
        <f>IFERROR(__xludf.DUMMYFUNCTION("""COMPUTED_VALUE"""),"Unsure")</f>
        <v>Unsure</v>
      </c>
      <c r="AF7" t="str">
        <f>IFERROR(__xludf.DUMMYFUNCTION("""COMPUTED_VALUE"""),"Unsure")</f>
        <v>Unsure</v>
      </c>
      <c r="AG7" s="78" t="str">
        <f>IFERROR(__xludf.DUMMYFUNCTION("""COMPUTED_VALUE"""),"https://pubs.acs.org/page/ancac3/submission/prior.html")</f>
        <v>https://pubs.acs.org/page/ancac3/submission/prior.html</v>
      </c>
      <c r="AH7" t="str">
        <f>IFERROR(__xludf.DUMMYFUNCTION("""COMPUTED_VALUE"""),"First submission only (before peer review)")</f>
        <v>First submission only (before peer review)</v>
      </c>
      <c r="AI7" t="str">
        <f>IFERROR(__xludf.DUMMYFUNCTION("""COMPUTED_VALUE"""),"")</f>
        <v/>
      </c>
      <c r="AJ7" t="str">
        <f>IFERROR(__xludf.DUMMYFUNCTION("""COMPUTED_VALUE"""),"Not specified")</f>
        <v>Not specified</v>
      </c>
      <c r="AK7" t="str">
        <f>IFERROR(__xludf.DUMMYFUNCTION("""COMPUTED_VALUE"""),"Unsure")</f>
        <v>Unsure</v>
      </c>
      <c r="AL7" t="str">
        <f>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7" t="str">
        <f>IFERROR(__xludf.DUMMYFUNCTION("""COMPUTED_VALUE"""),"Not specified")</f>
        <v>Not specified</v>
      </c>
      <c r="AN7" t="str">
        <f>IFERROR(__xludf.DUMMYFUNCTION("""COMPUTED_VALUE"""),"Not specified")</f>
        <v>Not specified</v>
      </c>
      <c r="AO7" t="str">
        <f>IFERROR(__xludf.DUMMYFUNCTION("""COMPUTED_VALUE"""),"Not specified")</f>
        <v>Not specified</v>
      </c>
      <c r="AP7" t="str">
        <f>IFERROR(__xludf.DUMMYFUNCTION("""COMPUTED_VALUE"""),"")</f>
        <v/>
      </c>
      <c r="AQ7" t="str">
        <f>IFERROR(__xludf.DUMMYFUNCTION("""COMPUTED_VALUE"""),"")</f>
        <v/>
      </c>
      <c r="AR7" t="str">
        <f>IFERROR(__xludf.DUMMYFUNCTION("""COMPUTED_VALUE"""),"")</f>
        <v/>
      </c>
    </row>
    <row r="8">
      <c r="A8" t="str">
        <f>IFERROR(__xludf.DUMMYFUNCTION("""COMPUTED_VALUE"""),"SR")</f>
        <v>SR</v>
      </c>
      <c r="B8" s="34">
        <f>IFERROR(__xludf.DUMMYFUNCTION("""COMPUTED_VALUE"""),43433.0)</f>
        <v>43433</v>
      </c>
      <c r="C8" t="str">
        <f>IFERROR(__xludf.DUMMYFUNCTION("""COMPUTED_VALUE"""),"NP")</f>
        <v>NP</v>
      </c>
      <c r="D8" s="36">
        <f>IFERROR(__xludf.DUMMYFUNCTION("""COMPUTED_VALUE"""),43574.0)</f>
        <v>43574</v>
      </c>
      <c r="E8" t="str">
        <f>IFERROR(__xludf.DUMMYFUNCTION("""COMPUTED_VALUE"""),"JP")</f>
        <v>JP</v>
      </c>
      <c r="F8" s="36">
        <f>IFERROR(__xludf.DUMMYFUNCTION("""COMPUTED_VALUE"""),43581.0)</f>
        <v>43581</v>
      </c>
      <c r="G8" t="str">
        <f>IFERROR(__xludf.DUMMYFUNCTION("""COMPUTED_VALUE"""),"I don't think the link Naomi found reveals any actual info about the form; added caveat of single blind inferred")</f>
        <v>I don't think the link Naomi found reveals any actual info about the form; added caveat of single blind inferred</v>
      </c>
      <c r="H8" t="str">
        <f>IFERROR(__xludf.DUMMYFUNCTION("""COMPUTED_VALUE"""),"1614-6840")</f>
        <v>1614-6840</v>
      </c>
      <c r="I8" t="str">
        <f>IFERROR(__xludf.DUMMYFUNCTION("""COMPUTED_VALUE"""),"Advanced Energy Materials")</f>
        <v>Advanced Energy Materials</v>
      </c>
      <c r="J8" t="str">
        <f>IFERROR(__xludf.DUMMYFUNCTION("""COMPUTED_VALUE"""),"Chemical &amp; Materials Sciences, Engineering &amp; Computer Science")</f>
        <v>Chemical &amp; Materials Sciences, Engineering &amp; Computer Science</v>
      </c>
      <c r="K8" t="str">
        <f>IFERROR(__xludf.DUMMYFUNCTION("""COMPUTED_VALUE"""),"Wiley-VCH")</f>
        <v>Wiley-VCH</v>
      </c>
      <c r="L8" t="str">
        <f>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M8" s="78" t="str">
        <f>IFERROR(__xludf.DUMMYFUNCTION("""COMPUTED_VALUE"""),"https://application.wiley-vch.de/util/cta/euchems_ethicalguidelines.pdf")</f>
        <v>https://application.wiley-vch.de/util/cta/euchems_ethicalguidelines.pdf</v>
      </c>
      <c r="N8" t="str">
        <f>IFERROR(__xludf.DUMMYFUNCTION("""COMPUTED_VALUE"""),"")</f>
        <v/>
      </c>
      <c r="O8" t="str">
        <f>IFERROR(__xludf.DUMMYFUNCTION("""COMPUTED_VALUE"""),"")</f>
        <v/>
      </c>
      <c r="P8" t="str">
        <f>IFERROR(__xludf.DUMMYFUNCTION("""COMPUTED_VALUE"""),"Unsure")</f>
        <v>Unsure</v>
      </c>
      <c r="Q8" t="str">
        <f>IFERROR(__xludf.DUMMYFUNCTION("""COMPUTED_VALUE"""),"")</f>
        <v/>
      </c>
      <c r="R8" t="str">
        <f>IFERROR(__xludf.DUMMYFUNCTION("""COMPUTED_VALUE"""),"")</f>
        <v/>
      </c>
      <c r="S8" t="str">
        <f>IFERROR(__xludf.DUMMYFUNCTION("""COMPUTED_VALUE"""),"Not specified")</f>
        <v>Not specified</v>
      </c>
      <c r="T8" t="str">
        <f>IFERROR(__xludf.DUMMYFUNCTION("""COMPUTED_VALUE"""),"Not specified")</f>
        <v>Not specified</v>
      </c>
      <c r="U8" t="str">
        <f>IFERROR(__xludf.DUMMYFUNCTION("""COMPUTED_VALUE"""),"Not specified")</f>
        <v>Not specified</v>
      </c>
      <c r="V8" t="str">
        <f>IFERROR(__xludf.DUMMYFUNCTION("""COMPUTED_VALUE"""),"Not specified")</f>
        <v>Not specified</v>
      </c>
      <c r="W8" t="str">
        <f>IFERROR(__xludf.DUMMYFUNCTION("""COMPUTED_VALUE"""),"No")</f>
        <v>No</v>
      </c>
      <c r="X8" t="str">
        <f>IFERROR(__xludf.DUMMYFUNCTION("""COMPUTED_VALUE"""),"Not specified")</f>
        <v>Not specified</v>
      </c>
      <c r="Y8" t="str">
        <f>IFERROR(__xludf.DUMMYFUNCTION("""COMPUTED_VALUE"""),"Not specified")</f>
        <v>Not specified</v>
      </c>
      <c r="Z8" t="str">
        <f>IFERROR(__xludf.DUMMYFUNCTION("""COMPUTED_VALUE"""),"Not specified")</f>
        <v>Not specified</v>
      </c>
      <c r="AA8" t="str">
        <f>IFERROR(__xludf.DUMMYFUNCTION("""COMPUTED_VALUE"""),"")</f>
        <v/>
      </c>
      <c r="AB8" t="str">
        <f>IFERROR(__xludf.DUMMYFUNCTION("""COMPUTED_VALUE"""),"")</f>
        <v/>
      </c>
      <c r="AC8" t="str">
        <f>IFERROR(__xludf.DUMMYFUNCTION("""COMPUTED_VALUE"""),"")</f>
        <v/>
      </c>
      <c r="AD8" t="str">
        <f>IFERROR(__xludf.DUMMYFUNCTION("""COMPUTED_VALUE"""),"Unsure")</f>
        <v>Unsure</v>
      </c>
      <c r="AE8" t="str">
        <f>IFERROR(__xludf.DUMMYFUNCTION("""COMPUTED_VALUE"""),"Unsure")</f>
        <v>Unsure</v>
      </c>
      <c r="AF8" t="str">
        <f>IFERROR(__xludf.DUMMYFUNCTION("""COMPUTED_VALUE"""),"Unsure")</f>
        <v>Unsure</v>
      </c>
      <c r="AG8" t="str">
        <f>IFERROR(__xludf.DUMMYFUNCTION("""COMPUTED_VALUE"""),"https://onlinelibrary.wiley.com/pb-assets/assets/16146840/2528_Guide_for_Authors.pdf and https://wol-prod-cdn.literatumonline.com/pb-assets/assets/16146840/2528_Guide_for_Authors-1510012860000.pdf")</f>
        <v>https://onlinelibrary.wiley.com/pb-assets/assets/16146840/2528_Guide_for_Authors.pdf and https://wol-prod-cdn.literatumonline.com/pb-assets/assets/16146840/2528_Guide_for_Authors-1510012860000.pdf</v>
      </c>
      <c r="AH8" t="str">
        <f>IFERROR(__xludf.DUMMYFUNCTION("""COMPUTED_VALUE"""),"None (preprints not allowed)")</f>
        <v>None (preprints not allowed)</v>
      </c>
      <c r="AI8" t="str">
        <f>IFERROR(__xludf.DUMMYFUNCTION("""COMPUTED_VALUE"""),"")</f>
        <v/>
      </c>
      <c r="AJ8" t="str">
        <f>IFERROR(__xludf.DUMMYFUNCTION("""COMPUTED_VALUE"""),"Not specified")</f>
        <v>Not specified</v>
      </c>
      <c r="AK8" t="str">
        <f>IFERROR(__xludf.DUMMYFUNCTION("""COMPUTED_VALUE"""),"")</f>
        <v/>
      </c>
      <c r="AL8" t="str">
        <f>IFERROR(__xludf.DUMMYFUNCTION("""COMPUTED_VALUE"""),"")</f>
        <v/>
      </c>
      <c r="AM8" t="str">
        <f>IFERROR(__xludf.DUMMYFUNCTION("""COMPUTED_VALUE"""),"")</f>
        <v/>
      </c>
      <c r="AN8" t="str">
        <f>IFERROR(__xludf.DUMMYFUNCTION("""COMPUTED_VALUE"""),"")</f>
        <v/>
      </c>
      <c r="AO8" t="str">
        <f>IFERROR(__xludf.DUMMYFUNCTION("""COMPUTED_VALUE"""),"")</f>
        <v/>
      </c>
      <c r="AP8" t="str">
        <f>IFERROR(__xludf.DUMMYFUNCTION("""COMPUTED_VALUE"""),"Ethical guidelines link to URL with 404 (https://www.euchems.eu/fileadmin/user_upload/binaries/EthicalGuidelines_tcm23-54570.pdf), found elsewhere (EUChemS)")</f>
        <v>Ethical guidelines link to URL with 404 (https://www.euchems.eu/fileadmin/user_upload/binaries/EthicalGuidelines_tcm23-54570.pdf), found elsewhere (EUChemS)</v>
      </c>
      <c r="AQ8" t="str">
        <f>IFERROR(__xludf.DUMMYFUNCTION("""COMPUTED_VALUE"""),"")</f>
        <v/>
      </c>
      <c r="AR8" t="str">
        <f>IFERROR(__xludf.DUMMYFUNCTION("""COMPUTED_VALUE"""),"")</f>
        <v/>
      </c>
    </row>
    <row r="9">
      <c r="A9" t="str">
        <f>IFERROR(__xludf.DUMMYFUNCTION("""COMPUTED_VALUE"""),"SR")</f>
        <v>SR</v>
      </c>
      <c r="B9" s="34">
        <f>IFERROR(__xludf.DUMMYFUNCTION("""COMPUTED_VALUE"""),43433.0)</f>
        <v>43433</v>
      </c>
      <c r="C9" t="str">
        <f>IFERROR(__xludf.DUMMYFUNCTION("""COMPUTED_VALUE"""),"NP")</f>
        <v>NP</v>
      </c>
      <c r="D9" s="36">
        <f>IFERROR(__xludf.DUMMYFUNCTION("""COMPUTED_VALUE"""),43574.0)</f>
        <v>43574</v>
      </c>
      <c r="E9" t="str">
        <f>IFERROR(__xludf.DUMMYFUNCTION("""COMPUTED_VALUE"""),"JP")</f>
        <v>JP</v>
      </c>
      <c r="F9" s="36">
        <f>IFERROR(__xludf.DUMMYFUNCTION("""COMPUTED_VALUE"""),43581.0)</f>
        <v>43581</v>
      </c>
      <c r="G9" t="str">
        <f>IFERROR(__xludf.DUMMYFUNCTION("""COMPUTED_VALUE"""),"I don't think the link Naomi found reveals any actual info about the form; added caveat of single blind inferred")</f>
        <v>I don't think the link Naomi found reveals any actual info about the form; added caveat of single blind inferred</v>
      </c>
      <c r="H9" t="str">
        <f>IFERROR(__xludf.DUMMYFUNCTION("""COMPUTED_VALUE"""),"1616-3028")</f>
        <v>1616-3028</v>
      </c>
      <c r="I9" t="str">
        <f>IFERROR(__xludf.DUMMYFUNCTION("""COMPUTED_VALUE"""),"Advanced Functional Materials")</f>
        <v>Advanced Functional Materials</v>
      </c>
      <c r="J9" t="str">
        <f>IFERROR(__xludf.DUMMYFUNCTION("""COMPUTED_VALUE"""),"Chemical &amp; Materials Sciences, Engineering &amp; Computer Science")</f>
        <v>Chemical &amp; Materials Sciences, Engineering &amp; Computer Science</v>
      </c>
      <c r="K9" t="str">
        <f>IFERROR(__xludf.DUMMYFUNCTION("""COMPUTED_VALUE"""),"Wiley-VCH")</f>
        <v>Wiley-VCH</v>
      </c>
      <c r="L9" t="str">
        <f>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M9" s="78" t="str">
        <f>IFERROR(__xludf.DUMMYFUNCTION("""COMPUTED_VALUE"""),"https://application.wiley-vch.de/util/cta/euchems_ethicalguidelines.pdf")</f>
        <v>https://application.wiley-vch.de/util/cta/euchems_ethicalguidelines.pdf</v>
      </c>
      <c r="N9" t="str">
        <f>IFERROR(__xludf.DUMMYFUNCTION("""COMPUTED_VALUE"""),"")</f>
        <v/>
      </c>
      <c r="O9" t="str">
        <f>IFERROR(__xludf.DUMMYFUNCTION("""COMPUTED_VALUE"""),"")</f>
        <v/>
      </c>
      <c r="P9" t="str">
        <f>IFERROR(__xludf.DUMMYFUNCTION("""COMPUTED_VALUE"""),"Unsure")</f>
        <v>Unsure</v>
      </c>
      <c r="Q9" t="str">
        <f>IFERROR(__xludf.DUMMYFUNCTION("""COMPUTED_VALUE"""),"")</f>
        <v/>
      </c>
      <c r="R9" t="str">
        <f>IFERROR(__xludf.DUMMYFUNCTION("""COMPUTED_VALUE"""),"")</f>
        <v/>
      </c>
      <c r="S9" t="str">
        <f>IFERROR(__xludf.DUMMYFUNCTION("""COMPUTED_VALUE"""),"Not specified")</f>
        <v>Not specified</v>
      </c>
      <c r="T9" t="str">
        <f>IFERROR(__xludf.DUMMYFUNCTION("""COMPUTED_VALUE"""),"Not specified")</f>
        <v>Not specified</v>
      </c>
      <c r="U9" t="str">
        <f>IFERROR(__xludf.DUMMYFUNCTION("""COMPUTED_VALUE"""),"Not specified")</f>
        <v>Not specified</v>
      </c>
      <c r="V9" t="str">
        <f>IFERROR(__xludf.DUMMYFUNCTION("""COMPUTED_VALUE"""),"Not specified")</f>
        <v>Not specified</v>
      </c>
      <c r="W9" t="str">
        <f>IFERROR(__xludf.DUMMYFUNCTION("""COMPUTED_VALUE"""),"No")</f>
        <v>No</v>
      </c>
      <c r="X9" t="str">
        <f>IFERROR(__xludf.DUMMYFUNCTION("""COMPUTED_VALUE"""),"Not specified")</f>
        <v>Not specified</v>
      </c>
      <c r="Y9" t="str">
        <f>IFERROR(__xludf.DUMMYFUNCTION("""COMPUTED_VALUE"""),"Not specified")</f>
        <v>Not specified</v>
      </c>
      <c r="Z9" t="str">
        <f>IFERROR(__xludf.DUMMYFUNCTION("""COMPUTED_VALUE"""),"Not specified")</f>
        <v>Not specified</v>
      </c>
      <c r="AA9" t="str">
        <f>IFERROR(__xludf.DUMMYFUNCTION("""COMPUTED_VALUE"""),"")</f>
        <v/>
      </c>
      <c r="AB9" t="str">
        <f>IFERROR(__xludf.DUMMYFUNCTION("""COMPUTED_VALUE"""),"")</f>
        <v/>
      </c>
      <c r="AC9" t="str">
        <f>IFERROR(__xludf.DUMMYFUNCTION("""COMPUTED_VALUE"""),"")</f>
        <v/>
      </c>
      <c r="AD9" t="str">
        <f>IFERROR(__xludf.DUMMYFUNCTION("""COMPUTED_VALUE"""),"Unsure")</f>
        <v>Unsure</v>
      </c>
      <c r="AE9" t="str">
        <f>IFERROR(__xludf.DUMMYFUNCTION("""COMPUTED_VALUE"""),"Unsure")</f>
        <v>Unsure</v>
      </c>
      <c r="AF9" t="str">
        <f>IFERROR(__xludf.DUMMYFUNCTION("""COMPUTED_VALUE"""),"Unsure")</f>
        <v>Unsure</v>
      </c>
      <c r="AG9" s="78" t="str">
        <f>IFERROR(__xludf.DUMMYFUNCTION("""COMPUTED_VALUE"""),"https://wol-prod-cdn.literatumonline.com/pb-assets/assets/16163028/AFM-guide-for-authors-may-2018-1526994585463.pdf")</f>
        <v>https://wol-prod-cdn.literatumonline.com/pb-assets/assets/16163028/AFM-guide-for-authors-may-2018-1526994585463.pdf</v>
      </c>
      <c r="AH9" t="str">
        <f>IFERROR(__xludf.DUMMYFUNCTION("""COMPUTED_VALUE"""),"None (preprints not allowed)")</f>
        <v>None (preprints not allowed)</v>
      </c>
      <c r="AI9" t="str">
        <f>IFERROR(__xludf.DUMMYFUNCTION("""COMPUTED_VALUE"""),"")</f>
        <v/>
      </c>
      <c r="AJ9" t="str">
        <f>IFERROR(__xludf.DUMMYFUNCTION("""COMPUTED_VALUE"""),"Not specified")</f>
        <v>Not specified</v>
      </c>
      <c r="AK9" t="str">
        <f>IFERROR(__xludf.DUMMYFUNCTION("""COMPUTED_VALUE"""),"")</f>
        <v/>
      </c>
      <c r="AL9" t="str">
        <f>IFERROR(__xludf.DUMMYFUNCTION("""COMPUTED_VALUE"""),"")</f>
        <v/>
      </c>
      <c r="AM9" t="str">
        <f>IFERROR(__xludf.DUMMYFUNCTION("""COMPUTED_VALUE"""),"")</f>
        <v/>
      </c>
      <c r="AN9" t="str">
        <f>IFERROR(__xludf.DUMMYFUNCTION("""COMPUTED_VALUE"""),"")</f>
        <v/>
      </c>
      <c r="AO9" t="str">
        <f>IFERROR(__xludf.DUMMYFUNCTION("""COMPUTED_VALUE"""),"")</f>
        <v/>
      </c>
      <c r="AP9" t="str">
        <f>IFERROR(__xludf.DUMMYFUNCTION("""COMPUTED_VALUE"""),"")</f>
        <v/>
      </c>
      <c r="AQ9" t="str">
        <f>IFERROR(__xludf.DUMMYFUNCTION("""COMPUTED_VALUE"""),"")</f>
        <v/>
      </c>
      <c r="AR9" t="str">
        <f>IFERROR(__xludf.DUMMYFUNCTION("""COMPUTED_VALUE"""),"")</f>
        <v/>
      </c>
    </row>
    <row r="10">
      <c r="A10" t="str">
        <f>IFERROR(__xludf.DUMMYFUNCTION("""COMPUTED_VALUE"""),"SR")</f>
        <v>SR</v>
      </c>
      <c r="B10" s="34">
        <f>IFERROR(__xludf.DUMMYFUNCTION("""COMPUTED_VALUE"""),43433.0)</f>
        <v>43433</v>
      </c>
      <c r="C10" t="str">
        <f>IFERROR(__xludf.DUMMYFUNCTION("""COMPUTED_VALUE"""),"JP")</f>
        <v>JP</v>
      </c>
      <c r="D10" s="36">
        <f>IFERROR(__xludf.DUMMYFUNCTION("""COMPUTED_VALUE"""),43572.0)</f>
        <v>43572</v>
      </c>
      <c r="E10" t="str">
        <f>IFERROR(__xludf.DUMMYFUNCTION("""COMPUTED_VALUE"""),"TRH")</f>
        <v>TRH</v>
      </c>
      <c r="F10" s="36">
        <f>IFERROR(__xludf.DUMMYFUNCTION("""COMPUTED_VALUE"""),43579.0)</f>
        <v>43579</v>
      </c>
      <c r="G10" t="str">
        <f>IFERROR(__xludf.DUMMYFUNCTION("""COMPUTED_VALUE"""),"")</f>
        <v/>
      </c>
      <c r="H10" t="str">
        <f>IFERROR(__xludf.DUMMYFUNCTION("""COMPUTED_VALUE"""),"1521-4095")</f>
        <v>1521-4095</v>
      </c>
      <c r="I10" t="str">
        <f>IFERROR(__xludf.DUMMYFUNCTION("""COMPUTED_VALUE"""),"Advanced Materials")</f>
        <v>Advanced Materials</v>
      </c>
      <c r="J10" t="str">
        <f>IFERROR(__xludf.DUMMYFUNCTION("""COMPUTED_VALUE"""),"Chemical &amp; Materials Sciences, Engineering &amp; Computer Science")</f>
        <v>Chemical &amp; Materials Sciences, Engineering &amp; Computer Science</v>
      </c>
      <c r="K10" t="str">
        <f>IFERROR(__xludf.DUMMYFUNCTION("""COMPUTED_VALUE"""),"Wiley-VCH")</f>
        <v>Wiley-VCH</v>
      </c>
      <c r="L10" t="str">
        <f>IFERROR(__xludf.DUMMYFUNCTION("""COMPUTED_VALUE"""),"Unsure")</f>
        <v>Unsure</v>
      </c>
      <c r="M10" s="78" t="str">
        <f>IFERROR(__xludf.DUMMYFUNCTION("""COMPUTED_VALUE"""),"https://wol-prod-cdn.literatumonline.com/pb-assets/assets/15214095/2089_guidelines-1510017322000.pdf")</f>
        <v>https://wol-prod-cdn.literatumonline.com/pb-assets/assets/15214095/2089_guidelines-1510017322000.pdf</v>
      </c>
      <c r="N10" t="str">
        <f>IFERROR(__xludf.DUMMYFUNCTION("""COMPUTED_VALUE"""),"")</f>
        <v/>
      </c>
      <c r="O10" t="str">
        <f>IFERROR(__xludf.DUMMYFUNCTION("""COMPUTED_VALUE"""),"Not specified")</f>
        <v>Not specified</v>
      </c>
      <c r="P10" t="str">
        <f>IFERROR(__xludf.DUMMYFUNCTION("""COMPUTED_VALUE"""),"Unsure")</f>
        <v>Unsure</v>
      </c>
      <c r="Q10" t="str">
        <f>IFERROR(__xludf.DUMMYFUNCTION("""COMPUTED_VALUE"""),"")</f>
        <v/>
      </c>
      <c r="R10" t="str">
        <f>IFERROR(__xludf.DUMMYFUNCTION("""COMPUTED_VALUE"""),"")</f>
        <v/>
      </c>
      <c r="S10" t="str">
        <f>IFERROR(__xludf.DUMMYFUNCTION("""COMPUTED_VALUE"""),"Not specified")</f>
        <v>Not specified</v>
      </c>
      <c r="T10" t="str">
        <f>IFERROR(__xludf.DUMMYFUNCTION("""COMPUTED_VALUE"""),"Not specified")</f>
        <v>Not specified</v>
      </c>
      <c r="U10" t="str">
        <f>IFERROR(__xludf.DUMMYFUNCTION("""COMPUTED_VALUE"""),"Not specified")</f>
        <v>Not specified</v>
      </c>
      <c r="V10" t="str">
        <f>IFERROR(__xludf.DUMMYFUNCTION("""COMPUTED_VALUE"""),"Not specified")</f>
        <v>Not specified</v>
      </c>
      <c r="W10" t="str">
        <f>IFERROR(__xludf.DUMMYFUNCTION("""COMPUTED_VALUE"""),"Not specified")</f>
        <v>Not specified</v>
      </c>
      <c r="X10" t="str">
        <f>IFERROR(__xludf.DUMMYFUNCTION("""COMPUTED_VALUE"""),"Not specified")</f>
        <v>Not specified</v>
      </c>
      <c r="Y10" t="str">
        <f>IFERROR(__xludf.DUMMYFUNCTION("""COMPUTED_VALUE"""),"Not specified")</f>
        <v>Not specified</v>
      </c>
      <c r="Z10" t="str">
        <f>IFERROR(__xludf.DUMMYFUNCTION("""COMPUTED_VALUE"""),"Not specified")</f>
        <v>Not specified</v>
      </c>
      <c r="AA10" t="str">
        <f>IFERROR(__xludf.DUMMYFUNCTION("""COMPUTED_VALUE"""),"")</f>
        <v/>
      </c>
      <c r="AB10" t="str">
        <f>IFERROR(__xludf.DUMMYFUNCTION("""COMPUTED_VALUE"""),"To treat the manuscript as confidential. The editor must be informed if the referee consults a colleague about the manuscript.")</f>
        <v>To treat the manuscript as confidential. The editor must be informed if the referee consults a colleague about the manuscript.</v>
      </c>
      <c r="AC10" t="str">
        <f>IFERROR(__xludf.DUMMYFUNCTION("""COMPUTED_VALUE"""),"")</f>
        <v/>
      </c>
      <c r="AD10" t="str">
        <f>IFERROR(__xludf.DUMMYFUNCTION("""COMPUTED_VALUE"""),"unsure")</f>
        <v>unsure</v>
      </c>
      <c r="AE10" t="str">
        <f>IFERROR(__xludf.DUMMYFUNCTION("""COMPUTED_VALUE"""),"unsure")</f>
        <v>unsure</v>
      </c>
      <c r="AF10" t="str">
        <f>IFERROR(__xludf.DUMMYFUNCTION("""COMPUTED_VALUE"""),"unsure")</f>
        <v>unsure</v>
      </c>
      <c r="AG10" s="78" t="str">
        <f>IFERROR(__xludf.DUMMYFUNCTION("""COMPUTED_VALUE"""),"https://onlinelibrary.wiley.com/pb-assets/assets/15214095/2089_guidelines.pdf")</f>
        <v>https://onlinelibrary.wiley.com/pb-assets/assets/15214095/2089_guidelines.pdf</v>
      </c>
      <c r="AH10" t="str">
        <f>IFERROR(__xludf.DUMMYFUNCTION("""COMPUTED_VALUE"""),"None (preprints not allowed(")</f>
        <v>None (preprints not allowed(</v>
      </c>
      <c r="AI10" t="str">
        <f>IFERROR(__xludf.DUMMYFUNCTION("""COMPUTED_VALUE"""),"")</f>
        <v/>
      </c>
      <c r="AJ10" t="str">
        <f>IFERROR(__xludf.DUMMYFUNCTION("""COMPUTED_VALUE"""),"Not specified")</f>
        <v>Not specified</v>
      </c>
      <c r="AK10" t="str">
        <f>IFERROR(__xludf.DUMMYFUNCTION("""COMPUTED_VALUE"""),"No")</f>
        <v>No</v>
      </c>
      <c r="AL10" t="str">
        <f>IFERROR(__xludf.DUMMYFUNCTION("""COMPUTED_VALUE"""),"")</f>
        <v/>
      </c>
      <c r="AM10" t="str">
        <f>IFERROR(__xludf.DUMMYFUNCTION("""COMPUTED_VALUE"""),"Not specified")</f>
        <v>Not specified</v>
      </c>
      <c r="AN10" t="str">
        <f>IFERROR(__xludf.DUMMYFUNCTION("""COMPUTED_VALUE"""),"Not specified")</f>
        <v>Not specified</v>
      </c>
      <c r="AO10" t="str">
        <f>IFERROR(__xludf.DUMMYFUNCTION("""COMPUTED_VALUE"""),"")</f>
        <v/>
      </c>
      <c r="AP10" t="str">
        <f>IFERROR(__xludf.DUMMYFUNCTION("""COMPUTED_VALUE"""),"Wiley does not offer information on peer review explicitly on the website of any of the journals looked at here, but only as part of a ""Guide for Authors"" (see above for the URL).")</f>
        <v>Wiley does not offer information on peer review explicitly on the website of any of the journals looked at here, but only as part of a "Guide for Authors" (see above for the URL).</v>
      </c>
      <c r="AQ10" t="str">
        <f>IFERROR(__xludf.DUMMYFUNCTION("""COMPUTED_VALUE"""),"")</f>
        <v/>
      </c>
      <c r="AR10" t="str">
        <f>IFERROR(__xludf.DUMMYFUNCTION("""COMPUTED_VALUE"""),"")</f>
        <v/>
      </c>
    </row>
    <row r="11">
      <c r="A11" t="str">
        <f>IFERROR(__xludf.DUMMYFUNCTION("""COMPUTED_VALUE"""),"SR")</f>
        <v>SR</v>
      </c>
      <c r="B11" s="34">
        <f>IFERROR(__xludf.DUMMYFUNCTION("""COMPUTED_VALUE"""),43433.0)</f>
        <v>43433</v>
      </c>
      <c r="C11" t="str">
        <f>IFERROR(__xludf.DUMMYFUNCTION("""COMPUTED_VALUE"""),"JP")</f>
        <v>JP</v>
      </c>
      <c r="D11" s="36">
        <f>IFERROR(__xludf.DUMMYFUNCTION("""COMPUTED_VALUE"""),43572.0)</f>
        <v>43572</v>
      </c>
      <c r="E11" t="str">
        <f>IFERROR(__xludf.DUMMYFUNCTION("""COMPUTED_VALUE"""),"TRH")</f>
        <v>TRH</v>
      </c>
      <c r="F11" s="36">
        <f>IFERROR(__xludf.DUMMYFUNCTION("""COMPUTED_VALUE"""),43579.0)</f>
        <v>43579</v>
      </c>
      <c r="G11" t="str">
        <f>IFERROR(__xludf.DUMMYFUNCTION("""COMPUTED_VALUE"""),"")</f>
        <v/>
      </c>
      <c r="H11" t="str">
        <f>IFERROR(__xludf.DUMMYFUNCTION("""COMPUTED_VALUE"""),"0002-8282")</f>
        <v>0002-8282</v>
      </c>
      <c r="I11" t="str">
        <f>IFERROR(__xludf.DUMMYFUNCTION("""COMPUTED_VALUE"""),"American Economic Review")</f>
        <v>American Economic Review</v>
      </c>
      <c r="J11" t="str">
        <f>IFERROR(__xludf.DUMMYFUNCTION("""COMPUTED_VALUE"""),"Business, Economics &amp; Management")</f>
        <v>Business, Economics &amp; Management</v>
      </c>
      <c r="K11" t="str">
        <f>IFERROR(__xludf.DUMMYFUNCTION("""COMPUTED_VALUE"""),"American Economic Association")</f>
        <v>American Economic Association</v>
      </c>
      <c r="L11" t="str">
        <f>IFERROR(__xludf.DUMMYFUNCTION("""COMPUTED_VALUE"""),"Double blind")</f>
        <v>Double blind</v>
      </c>
      <c r="M11" s="78" t="str">
        <f>IFERROR(__xludf.DUMMYFUNCTION("""COMPUTED_VALUE"""),"https://www.aeaweb.org/journals/aer/reviewers")</f>
        <v>https://www.aeaweb.org/journals/aer/reviewers</v>
      </c>
      <c r="N11" t="str">
        <f>IFERROR(__xludf.DUMMYFUNCTION("""COMPUTED_VALUE"""),"")</f>
        <v/>
      </c>
      <c r="O11" t="str">
        <f>IFERROR(__xludf.DUMMYFUNCTION("""COMPUTED_VALUE"""),"Not specified")</f>
        <v>Not specified</v>
      </c>
      <c r="P11" t="str">
        <f>IFERROR(__xludf.DUMMYFUNCTION("""COMPUTED_VALUE"""),"Unsure")</f>
        <v>Unsure</v>
      </c>
      <c r="Q11" t="str">
        <f>IFERROR(__xludf.DUMMYFUNCTION("""COMPUTED_VALUE"""),"")</f>
        <v/>
      </c>
      <c r="R11" t="str">
        <f>IFERROR(__xludf.DUMMYFUNCTION("""COMPUTED_VALUE"""),"")</f>
        <v/>
      </c>
      <c r="S11" t="str">
        <f>IFERROR(__xludf.DUMMYFUNCTION("""COMPUTED_VALUE"""),"Not specified")</f>
        <v>Not specified</v>
      </c>
      <c r="T11" t="str">
        <f>IFERROR(__xludf.DUMMYFUNCTION("""COMPUTED_VALUE"""),"Not specified")</f>
        <v>Not specified</v>
      </c>
      <c r="U11" t="str">
        <f>IFERROR(__xludf.DUMMYFUNCTION("""COMPUTED_VALUE"""),"Not specified")</f>
        <v>Not specified</v>
      </c>
      <c r="V11" t="str">
        <f>IFERROR(__xludf.DUMMYFUNCTION("""COMPUTED_VALUE"""),"Not specified")</f>
        <v>Not specified</v>
      </c>
      <c r="W11" t="str">
        <f>IFERROR(__xludf.DUMMYFUNCTION("""COMPUTED_VALUE"""),"Not specified")</f>
        <v>Not specified</v>
      </c>
      <c r="X11" t="str">
        <f>IFERROR(__xludf.DUMMYFUNCTION("""COMPUTED_VALUE"""),"Not specified")</f>
        <v>Not specified</v>
      </c>
      <c r="Y11" t="str">
        <f>IFERROR(__xludf.DUMMYFUNCTION("""COMPUTED_VALUE"""),"Not specified")</f>
        <v>Not specified</v>
      </c>
      <c r="Z11" t="str">
        <f>IFERROR(__xludf.DUMMYFUNCTION("""COMPUTED_VALUE"""),"Not specified")</f>
        <v>Not specified</v>
      </c>
      <c r="AA11" t="str">
        <f>IFERROR(__xludf.DUMMYFUNCTION("""COMPUTED_VALUE"""),"")</f>
        <v/>
      </c>
      <c r="AB11" t="str">
        <f>IFERROR(__xludf.DUMMYFUNCTION("""COMPUTED_VALUE"""),"")</f>
        <v/>
      </c>
      <c r="AC11" s="78" t="str">
        <f>IFERROR(__xludf.DUMMYFUNCTION("""COMPUTED_VALUE"""),"https://www.aeaweb.org/content/file?id=222")</f>
        <v>https://www.aeaweb.org/content/file?id=222</v>
      </c>
      <c r="AD11" t="str">
        <f>IFERROR(__xludf.DUMMYFUNCTION("""COMPUTED_VALUE"""),"Unsure")</f>
        <v>Unsure</v>
      </c>
      <c r="AE11" t="str">
        <f>IFERROR(__xludf.DUMMYFUNCTION("""COMPUTED_VALUE"""),"Unsure")</f>
        <v>Unsure</v>
      </c>
      <c r="AF11" t="str">
        <f>IFERROR(__xludf.DUMMYFUNCTION("""COMPUTED_VALUE"""),"Unsure")</f>
        <v>Unsure</v>
      </c>
      <c r="AG11" s="78" t="str">
        <f>IFERROR(__xludf.DUMMYFUNCTION("""COMPUTED_VALUE"""),"https://www.aeaweb.org/journals/policies/copyright")</f>
        <v>https://www.aeaweb.org/journals/policies/copyright</v>
      </c>
      <c r="AH11" t="str">
        <f>IFERROR(__xludf.DUMMYFUNCTION("""COMPUTED_VALUE"""),"Unsure (preprints are allowed, but it's not clear what version)")</f>
        <v>Unsure (preprints are allowed, but it's not clear what version)</v>
      </c>
      <c r="AI11" t="str">
        <f>IFERROR(__xludf.DUMMYFUNCTION("""COMPUTED_VALUE"""),"")</f>
        <v/>
      </c>
      <c r="AJ11" t="str">
        <f>IFERROR(__xludf.DUMMYFUNCTION("""COMPUTED_VALUE"""),"Not specified")</f>
        <v>Not specified</v>
      </c>
      <c r="AK11" t="str">
        <f>IFERROR(__xludf.DUMMYFUNCTION("""COMPUTED_VALUE"""),"Unsure")</f>
        <v>Unsure</v>
      </c>
      <c r="AL11" t="str">
        <f>IFERROR(__xludf.DUMMYFUNCTION("""COMPUTED_VALUE"""),"")</f>
        <v/>
      </c>
      <c r="AM11" t="str">
        <f>IFERROR(__xludf.DUMMYFUNCTION("""COMPUTED_VALUE"""),"")</f>
        <v/>
      </c>
      <c r="AN11" t="str">
        <f>IFERROR(__xludf.DUMMYFUNCTION("""COMPUTED_VALUE"""),"")</f>
        <v/>
      </c>
      <c r="AO11" t="str">
        <f>IFERROR(__xludf.DUMMYFUNCTION("""COMPUTED_VALUE"""),"")</f>
        <v/>
      </c>
      <c r="AP11" t="str">
        <f>IFERROR(__xludf.DUMMYFUNCTION("""COMPUTED_VALUE"""),"")</f>
        <v/>
      </c>
      <c r="AQ11" t="str">
        <f>IFERROR(__xludf.DUMMYFUNCTION("""COMPUTED_VALUE"""),"")</f>
        <v/>
      </c>
      <c r="AR11" t="str">
        <f>IFERROR(__xludf.DUMMYFUNCTION("""COMPUTED_VALUE"""),"")</f>
        <v/>
      </c>
    </row>
    <row r="12">
      <c r="A12" t="str">
        <f>IFERROR(__xludf.DUMMYFUNCTION("""COMPUTED_VALUE"""),"SR")</f>
        <v>SR</v>
      </c>
      <c r="B12" s="34">
        <f>IFERROR(__xludf.DUMMYFUNCTION("""COMPUTED_VALUE"""),43433.0)</f>
        <v>43433</v>
      </c>
      <c r="C12" t="str">
        <f>IFERROR(__xludf.DUMMYFUNCTION("""COMPUTED_VALUE"""),"JP")</f>
        <v>JP</v>
      </c>
      <c r="D12" s="36">
        <f>IFERROR(__xludf.DUMMYFUNCTION("""COMPUTED_VALUE"""),43572.0)</f>
        <v>43572</v>
      </c>
      <c r="E12" t="str">
        <f>IFERROR(__xludf.DUMMYFUNCTION("""COMPUTED_VALUE"""),"TRH")</f>
        <v>TRH</v>
      </c>
      <c r="F12" s="36">
        <f>IFERROR(__xludf.DUMMYFUNCTION("""COMPUTED_VALUE"""),43579.0)</f>
        <v>43579</v>
      </c>
      <c r="G12" t="str">
        <f>IFERROR(__xludf.DUMMYFUNCTION("""COMPUTED_VALUE"""),"")</f>
        <v/>
      </c>
      <c r="H12" t="str">
        <f>IFERROR(__xludf.DUMMYFUNCTION("""COMPUTED_VALUE"""),"1540-5907")</f>
        <v>1540-5907</v>
      </c>
      <c r="I12" t="str">
        <f>IFERROR(__xludf.DUMMYFUNCTION("""COMPUTED_VALUE"""),"American Journal of Political Science")</f>
        <v>American Journal of Political Science</v>
      </c>
      <c r="J12" t="str">
        <f>IFERROR(__xludf.DUMMYFUNCTION("""COMPUTED_VALUE"""),"Social Sciences")</f>
        <v>Social Sciences</v>
      </c>
      <c r="K12" t="str">
        <f>IFERROR(__xludf.DUMMYFUNCTION("""COMPUTED_VALUE"""),"Midwest Political Science Association")</f>
        <v>Midwest Political Science Association</v>
      </c>
      <c r="L12" t="str">
        <f>IFERROR(__xludf.DUMMYFUNCTION("""COMPUTED_VALUE"""),"Double blind")</f>
        <v>Double blind</v>
      </c>
      <c r="M12" s="78" t="str">
        <f>IFERROR(__xludf.DUMMYFUNCTION("""COMPUTED_VALUE"""),"https://ajps.org/guidelines-for-manuscripts/")</f>
        <v>https://ajps.org/guidelines-for-manuscripts/</v>
      </c>
      <c r="N12" t="str">
        <f>IFERROR(__xludf.DUMMYFUNCTION("""COMPUTED_VALUE"""),"")</f>
        <v/>
      </c>
      <c r="O12" t="str">
        <f>IFERROR(__xludf.DUMMYFUNCTION("""COMPUTED_VALUE"""),"Not specified")</f>
        <v>Not specified</v>
      </c>
      <c r="P12" t="str">
        <f>IFERROR(__xludf.DUMMYFUNCTION("""COMPUTED_VALUE"""),"Unsure")</f>
        <v>Unsure</v>
      </c>
      <c r="Q12" t="str">
        <f>IFERROR(__xludf.DUMMYFUNCTION("""COMPUTED_VALUE"""),"")</f>
        <v/>
      </c>
      <c r="R12" t="str">
        <f>IFERROR(__xludf.DUMMYFUNCTION("""COMPUTED_VALUE"""),"")</f>
        <v/>
      </c>
      <c r="S12" t="str">
        <f>IFERROR(__xludf.DUMMYFUNCTION("""COMPUTED_VALUE"""),"Not specified")</f>
        <v>Not specified</v>
      </c>
      <c r="T12" t="str">
        <f>IFERROR(__xludf.DUMMYFUNCTION("""COMPUTED_VALUE"""),"Not specified")</f>
        <v>Not specified</v>
      </c>
      <c r="U12" t="str">
        <f>IFERROR(__xludf.DUMMYFUNCTION("""COMPUTED_VALUE"""),"Not specified")</f>
        <v>Not specified</v>
      </c>
      <c r="V12" t="str">
        <f>IFERROR(__xludf.DUMMYFUNCTION("""COMPUTED_VALUE"""),"Not specified")</f>
        <v>Not specified</v>
      </c>
      <c r="W12" t="str">
        <f>IFERROR(__xludf.DUMMYFUNCTION("""COMPUTED_VALUE"""),"Not specified")</f>
        <v>Not specified</v>
      </c>
      <c r="X12" t="str">
        <f>IFERROR(__xludf.DUMMYFUNCTION("""COMPUTED_VALUE"""),"Not specified")</f>
        <v>Not specified</v>
      </c>
      <c r="Y12" t="str">
        <f>IFERROR(__xludf.DUMMYFUNCTION("""COMPUTED_VALUE"""),"Not specified")</f>
        <v>Not specified</v>
      </c>
      <c r="Z12" t="str">
        <f>IFERROR(__xludf.DUMMYFUNCTION("""COMPUTED_VALUE"""),"Not specified")</f>
        <v>Not specified</v>
      </c>
      <c r="AA12" t="str">
        <f>IFERROR(__xludf.DUMMYFUNCTION("""COMPUTED_VALUE"""),"")</f>
        <v/>
      </c>
      <c r="AB12" t="str">
        <f>IFERROR(__xludf.DUMMYFUNCTION("""COMPUTED_VALUE"""),"")</f>
        <v/>
      </c>
      <c r="AC12" s="78" t="str">
        <f>IFERROR(__xludf.DUMMYFUNCTION("""COMPUTED_VALUE"""),"https://ajps.org/ajps-reviewer-instructions/")</f>
        <v>https://ajps.org/ajps-reviewer-instructions/</v>
      </c>
      <c r="AD12" t="str">
        <f>IFERROR(__xludf.DUMMYFUNCTION("""COMPUTED_VALUE"""),"Unsure")</f>
        <v>Unsure</v>
      </c>
      <c r="AE12" t="str">
        <f>IFERROR(__xludf.DUMMYFUNCTION("""COMPUTED_VALUE"""),"Unsure")</f>
        <v>Unsure</v>
      </c>
      <c r="AF12" t="str">
        <f>IFERROR(__xludf.DUMMYFUNCTION("""COMPUTED_VALUE"""),"Unsure")</f>
        <v>Unsure</v>
      </c>
      <c r="AG12" s="78" t="str">
        <f>IFERROR(__xludf.DUMMYFUNCTION("""COMPUTED_VALUE"""),"https://ajpsblogging.files.wordpress.com/2015/09/ajps-author-resources-ver-1-0.pdf")</f>
        <v>https://ajpsblogging.files.wordpress.com/2015/09/ajps-author-resources-ver-1-0.pdf</v>
      </c>
      <c r="AH12" t="str">
        <f>IFERROR(__xludf.DUMMYFUNCTION("""COMPUTED_VALUE"""),"After peer review (but not final, copyedited version)")</f>
        <v>After peer review (but not final, copyedited version)</v>
      </c>
      <c r="AI12" t="str">
        <f>IFERROR(__xludf.DUMMYFUNCTION("""COMPUTED_VALUE"""),"The author retains the right to self-archive the final submitted draft of his or her AJPS article on a personal website, a not-for-profit repository, or the author’s company/university repository or archive. Once the article publishes in its final form, p"&amp;"lease include a link to that version from the submitted version.")</f>
        <v>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v>
      </c>
      <c r="AJ12" t="str">
        <f>IFERROR(__xludf.DUMMYFUNCTION("""COMPUTED_VALUE"""),"Not specified")</f>
        <v>Not specified</v>
      </c>
      <c r="AK12" t="str">
        <f>IFERROR(__xludf.DUMMYFUNCTION("""COMPUTED_VALUE"""),"Unsure")</f>
        <v>Unsure</v>
      </c>
      <c r="AL12" t="str">
        <f>IFERROR(__xludf.DUMMYFUNCTION("""COMPUTED_VALUE"""),"")</f>
        <v/>
      </c>
      <c r="AM12" t="str">
        <f>IFERROR(__xludf.DUMMYFUNCTION("""COMPUTED_VALUE"""),"")</f>
        <v/>
      </c>
      <c r="AN12" t="str">
        <f>IFERROR(__xludf.DUMMYFUNCTION("""COMPUTED_VALUE"""),"")</f>
        <v/>
      </c>
      <c r="AO12" t="str">
        <f>IFERROR(__xludf.DUMMYFUNCTION("""COMPUTED_VALUE"""),"")</f>
        <v/>
      </c>
      <c r="AP12" t="str">
        <f>IFERROR(__xludf.DUMMYFUNCTION("""COMPUTED_VALUE"""),"""The AJPS Editor reserves the right to refuse submissions from authors who repeatedly fail to provide reviews for the Journal when invited to do so.""")</f>
        <v>"The AJPS Editor reserves the right to refuse submissions from authors who repeatedly fail to provide reviews for the Journal when invited to do so."</v>
      </c>
      <c r="AQ12" t="str">
        <f>IFERROR(__xludf.DUMMYFUNCTION("""COMPUTED_VALUE"""),"")</f>
        <v/>
      </c>
      <c r="AR12" t="str">
        <f>IFERROR(__xludf.DUMMYFUNCTION("""COMPUTED_VALUE"""),"")</f>
        <v/>
      </c>
    </row>
    <row r="13">
      <c r="A13" t="str">
        <f>IFERROR(__xludf.DUMMYFUNCTION("""COMPUTED_VALUE"""),"SR")</f>
        <v>SR</v>
      </c>
      <c r="B13" s="34">
        <f>IFERROR(__xludf.DUMMYFUNCTION("""COMPUTED_VALUE"""),43433.0)</f>
        <v>43433</v>
      </c>
      <c r="C13" t="str">
        <f>IFERROR(__xludf.DUMMYFUNCTION("""COMPUTED_VALUE"""),"JP")</f>
        <v>JP</v>
      </c>
      <c r="D13" s="36">
        <f>IFERROR(__xludf.DUMMYFUNCTION("""COMPUTED_VALUE"""),43572.0)</f>
        <v>43572</v>
      </c>
      <c r="E13" t="str">
        <f>IFERROR(__xludf.DUMMYFUNCTION("""COMPUTED_VALUE"""),"TRH")</f>
        <v>TRH</v>
      </c>
      <c r="F13" s="36">
        <f>IFERROR(__xludf.DUMMYFUNCTION("""COMPUTED_VALUE"""),43579.0)</f>
        <v>43579</v>
      </c>
      <c r="G13" t="str">
        <f>IFERROR(__xludf.DUMMYFUNCTION("""COMPUTED_VALUE"""),"")</f>
        <v/>
      </c>
      <c r="H13" t="str">
        <f>IFERROR(__xludf.DUMMYFUNCTION("""COMPUTED_VALUE"""),"1541-0048")</f>
        <v>1541-0048</v>
      </c>
      <c r="I13" t="str">
        <f>IFERROR(__xludf.DUMMYFUNCTION("""COMPUTED_VALUE"""),"American Journal of Public Health")</f>
        <v>American Journal of Public Health</v>
      </c>
      <c r="J13" t="str">
        <f>IFERROR(__xludf.DUMMYFUNCTION("""COMPUTED_VALUE"""),"Social Sciences")</f>
        <v>Social Sciences</v>
      </c>
      <c r="K13" t="str">
        <f>IFERROR(__xludf.DUMMYFUNCTION("""COMPUTED_VALUE"""),"")</f>
        <v/>
      </c>
      <c r="L13" t="str">
        <f>IFERROR(__xludf.DUMMYFUNCTION("""COMPUTED_VALUE"""),"Double blind")</f>
        <v>Double blind</v>
      </c>
      <c r="M13" s="78" t="str">
        <f>IFERROR(__xludf.DUMMYFUNCTION("""COMPUTED_VALUE"""),"https://ajph.aphapublications.org/page/authors.html")</f>
        <v>https://ajph.aphapublications.org/page/authors.html</v>
      </c>
      <c r="N13" t="str">
        <f>IFERROR(__xludf.DUMMYFUNCTION("""COMPUTED_VALUE"""),"")</f>
        <v/>
      </c>
      <c r="O13" t="str">
        <f>IFERROR(__xludf.DUMMYFUNCTION("""COMPUTED_VALUE"""),"")</f>
        <v/>
      </c>
      <c r="P13" t="str">
        <f>IFERROR(__xludf.DUMMYFUNCTION("""COMPUTED_VALUE"""),"Unsure")</f>
        <v>Unsure</v>
      </c>
      <c r="Q13" t="str">
        <f>IFERROR(__xludf.DUMMYFUNCTION("""COMPUTED_VALUE"""),"")</f>
        <v/>
      </c>
      <c r="R13" t="str">
        <f>IFERROR(__xludf.DUMMYFUNCTION("""COMPUTED_VALUE"""),"")</f>
        <v/>
      </c>
      <c r="S13" t="str">
        <f>IFERROR(__xludf.DUMMYFUNCTION("""COMPUTED_VALUE"""),"Not specified")</f>
        <v>Not specified</v>
      </c>
      <c r="T13" t="str">
        <f>IFERROR(__xludf.DUMMYFUNCTION("""COMPUTED_VALUE"""),"Not specified")</f>
        <v>Not specified</v>
      </c>
      <c r="U13" t="str">
        <f>IFERROR(__xludf.DUMMYFUNCTION("""COMPUTED_VALUE"""),"Not specified")</f>
        <v>Not specified</v>
      </c>
      <c r="V13" t="str">
        <f>IFERROR(__xludf.DUMMYFUNCTION("""COMPUTED_VALUE"""),"Not specified")</f>
        <v>Not specified</v>
      </c>
      <c r="W13" t="str">
        <f>IFERROR(__xludf.DUMMYFUNCTION("""COMPUTED_VALUE"""),"Not specified")</f>
        <v>Not specified</v>
      </c>
      <c r="X13" t="str">
        <f>IFERROR(__xludf.DUMMYFUNCTION("""COMPUTED_VALUE"""),"Not specified")</f>
        <v>Not specified</v>
      </c>
      <c r="Y13" t="str">
        <f>IFERROR(__xludf.DUMMYFUNCTION("""COMPUTED_VALUE"""),"Not specified")</f>
        <v>Not specified</v>
      </c>
      <c r="Z13" t="str">
        <f>IFERROR(__xludf.DUMMYFUNCTION("""COMPUTED_VALUE"""),"Not specified")</f>
        <v>Not specified</v>
      </c>
      <c r="AA13" t="str">
        <f>IFERROR(__xludf.DUMMYFUNCTION("""COMPUTED_VALUE"""),"")</f>
        <v/>
      </c>
      <c r="AB13" t="str">
        <f>IFERROR(__xludf.DUMMYFUNCTION("""COMPUTED_VALUE"""),"")</f>
        <v/>
      </c>
      <c r="AC13" s="78" t="str">
        <f>IFERROR(__xludf.DUMMYFUNCTION("""COMPUTED_VALUE"""),"https://ajph.aphapublications.org/page/authors.html")</f>
        <v>https://ajph.aphapublications.org/page/authors.html</v>
      </c>
      <c r="AD13" t="str">
        <f>IFERROR(__xludf.DUMMYFUNCTION("""COMPUTED_VALUE"""),"Unsure")</f>
        <v>Unsure</v>
      </c>
      <c r="AE13" t="str">
        <f>IFERROR(__xludf.DUMMYFUNCTION("""COMPUTED_VALUE"""),"Unsure")</f>
        <v>Unsure</v>
      </c>
      <c r="AF13" t="str">
        <f>IFERROR(__xludf.DUMMYFUNCTION("""COMPUTED_VALUE"""),"Unsure")</f>
        <v>Unsure</v>
      </c>
      <c r="AG13" t="str">
        <f>IFERROR(__xludf.DUMMYFUNCTION("""COMPUTED_VALUE"""),"")</f>
        <v/>
      </c>
      <c r="AH13" t="str">
        <f>IFERROR(__xludf.DUMMYFUNCTION("""COMPUTED_VALUE"""),"No preprint policy")</f>
        <v>No preprint policy</v>
      </c>
      <c r="AI13" t="str">
        <f>IFERROR(__xludf.DUMMYFUNCTION("""COMPUTED_VALUE"""),"Not specified")</f>
        <v>Not specified</v>
      </c>
      <c r="AJ13" t="str">
        <f>IFERROR(__xludf.DUMMYFUNCTION("""COMPUTED_VALUE"""),"Not specified")</f>
        <v>Not specified</v>
      </c>
      <c r="AK13" t="str">
        <f>IFERROR(__xludf.DUMMYFUNCTION("""COMPUTED_VALUE"""),"No")</f>
        <v>No</v>
      </c>
      <c r="AL13" t="str">
        <f>IFERROR(__xludf.DUMMYFUNCTION("""COMPUTED_VALUE"""),"")</f>
        <v/>
      </c>
      <c r="AM13" t="str">
        <f>IFERROR(__xludf.DUMMYFUNCTION("""COMPUTED_VALUE"""),"")</f>
        <v/>
      </c>
      <c r="AN13" t="str">
        <f>IFERROR(__xludf.DUMMYFUNCTION("""COMPUTED_VALUE"""),"")</f>
        <v/>
      </c>
      <c r="AO13" t="str">
        <f>IFERROR(__xludf.DUMMYFUNCTION("""COMPUTED_VALUE"""),"")</f>
        <v/>
      </c>
      <c r="AP13" t="str">
        <f>IFERROR(__xludf.DUMMYFUNCTION("""COMPUTED_VALUE"""),"")</f>
        <v/>
      </c>
      <c r="AQ13" t="str">
        <f>IFERROR(__xludf.DUMMYFUNCTION("""COMPUTED_VALUE"""),"")</f>
        <v/>
      </c>
      <c r="AR13" t="str">
        <f>IFERROR(__xludf.DUMMYFUNCTION("""COMPUTED_VALUE"""),"")</f>
        <v/>
      </c>
    </row>
    <row r="14">
      <c r="A14" t="str">
        <f>IFERROR(__xludf.DUMMYFUNCTION("""COMPUTED_VALUE"""),"SR")</f>
        <v>SR</v>
      </c>
      <c r="B14" s="34">
        <f>IFERROR(__xludf.DUMMYFUNCTION("""COMPUTED_VALUE"""),43433.0)</f>
        <v>43433</v>
      </c>
      <c r="C14" t="str">
        <f>IFERROR(__xludf.DUMMYFUNCTION("""COMPUTED_VALUE"""),"SH")</f>
        <v>SH</v>
      </c>
      <c r="D14" s="45">
        <f>IFERROR(__xludf.DUMMYFUNCTION("""COMPUTED_VALUE"""),43569.0)</f>
        <v>43569</v>
      </c>
      <c r="E14" t="str">
        <f>IFERROR(__xludf.DUMMYFUNCTION("""COMPUTED_VALUE"""),"TRH")</f>
        <v>TRH</v>
      </c>
      <c r="F14" s="36">
        <f>IFERROR(__xludf.DUMMYFUNCTION("""COMPUTED_VALUE"""),43579.0)</f>
        <v>43579</v>
      </c>
      <c r="G14" t="str">
        <f>IFERROR(__xludf.DUMMYFUNCTION("""COMPUTED_VALUE"""),"")</f>
        <v/>
      </c>
      <c r="H14" t="str">
        <f>IFERROR(__xludf.DUMMYFUNCTION("""COMPUTED_VALUE"""),"1537-5943")</f>
        <v>1537-5943</v>
      </c>
      <c r="I14" t="str">
        <f>IFERROR(__xludf.DUMMYFUNCTION("""COMPUTED_VALUE"""),"American Political Science Review")</f>
        <v>American Political Science Review</v>
      </c>
      <c r="J14" t="str">
        <f>IFERROR(__xludf.DUMMYFUNCTION("""COMPUTED_VALUE"""),"Social Sciences")</f>
        <v>Social Sciences</v>
      </c>
      <c r="K14" t="str">
        <f>IFERROR(__xludf.DUMMYFUNCTION("""COMPUTED_VALUE"""),"Cambridge University Press")</f>
        <v>Cambridge University Press</v>
      </c>
      <c r="L14" t="str">
        <f>IFERROR(__xludf.DUMMYFUNCTION("""COMPUTED_VALUE"""),"Double blind")</f>
        <v>Double blind</v>
      </c>
      <c r="M14" s="78" t="str">
        <f>IFERROR(__xludf.DUMMYFUNCTION("""COMPUTED_VALUE"""),"https://www.apsanet.org/APSR-Submission-Guidelines")</f>
        <v>https://www.apsanet.org/APSR-Submission-Guidelines</v>
      </c>
      <c r="N14" t="str">
        <f>IFERROR(__xludf.DUMMYFUNCTION("""COMPUTED_VALUE"""),"")</f>
        <v/>
      </c>
      <c r="O14" t="str">
        <f>IFERROR(__xludf.DUMMYFUNCTION("""COMPUTED_VALUE"""),"")</f>
        <v/>
      </c>
      <c r="P14" t="str">
        <f>IFERROR(__xludf.DUMMYFUNCTION("""COMPUTED_VALUE"""),"Unsure")</f>
        <v>Unsure</v>
      </c>
      <c r="Q14" t="str">
        <f>IFERROR(__xludf.DUMMYFUNCTION("""COMPUTED_VALUE"""),"")</f>
        <v/>
      </c>
      <c r="R14" t="str">
        <f>IFERROR(__xludf.DUMMYFUNCTION("""COMPUTED_VALUE"""),"")</f>
        <v/>
      </c>
      <c r="S14" t="str">
        <f>IFERROR(__xludf.DUMMYFUNCTION("""COMPUTED_VALUE"""),"Not specified")</f>
        <v>Not specified</v>
      </c>
      <c r="T14" t="str">
        <f>IFERROR(__xludf.DUMMYFUNCTION("""COMPUTED_VALUE"""),"Not specified")</f>
        <v>Not specified</v>
      </c>
      <c r="U14" t="str">
        <f>IFERROR(__xludf.DUMMYFUNCTION("""COMPUTED_VALUE"""),"Not specified")</f>
        <v>Not specified</v>
      </c>
      <c r="V14" t="str">
        <f>IFERROR(__xludf.DUMMYFUNCTION("""COMPUTED_VALUE"""),"Not specified")</f>
        <v>Not specified</v>
      </c>
      <c r="W14" t="str">
        <f>IFERROR(__xludf.DUMMYFUNCTION("""COMPUTED_VALUE"""),"Not specified")</f>
        <v>Not specified</v>
      </c>
      <c r="X14" t="str">
        <f>IFERROR(__xludf.DUMMYFUNCTION("""COMPUTED_VALUE"""),"Not specified")</f>
        <v>Not specified</v>
      </c>
      <c r="Y14" t="str">
        <f>IFERROR(__xludf.DUMMYFUNCTION("""COMPUTED_VALUE"""),"Not specified")</f>
        <v>Not specified</v>
      </c>
      <c r="Z14" t="str">
        <f>IFERROR(__xludf.DUMMYFUNCTION("""COMPUTED_VALUE"""),"Not specified")</f>
        <v>Not specified</v>
      </c>
      <c r="AA14" t="str">
        <f>IFERROR(__xludf.DUMMYFUNCTION("""COMPUTED_VALUE"""),"")</f>
        <v/>
      </c>
      <c r="AB14" t="str">
        <f>IFERROR(__xludf.DUMMYFUNCTION("""COMPUTED_VALUE"""),"")</f>
        <v/>
      </c>
      <c r="AC14" t="str">
        <f>IFERROR(__xludf.DUMMYFUNCTION("""COMPUTED_VALUE"""),"")</f>
        <v/>
      </c>
      <c r="AD14" t="str">
        <f>IFERROR(__xludf.DUMMYFUNCTION("""COMPUTED_VALUE"""),"Unsure")</f>
        <v>Unsure</v>
      </c>
      <c r="AE14" t="str">
        <f>IFERROR(__xludf.DUMMYFUNCTION("""COMPUTED_VALUE"""),"Unsure")</f>
        <v>Unsure</v>
      </c>
      <c r="AF14" t="str">
        <f>IFERROR(__xludf.DUMMYFUNCTION("""COMPUTED_VALUE"""),"Unsure")</f>
        <v>Unsure</v>
      </c>
      <c r="AG14" t="str">
        <f>IFERROR(__xludf.DUMMYFUNCTION("""COMPUTED_VALUE"""),"")</f>
        <v/>
      </c>
      <c r="AH14" t="str">
        <f>IFERROR(__xludf.DUMMYFUNCTION("""COMPUTED_VALUE"""),"Unsure")</f>
        <v>Unsure</v>
      </c>
      <c r="AI14" t="str">
        <f>IFERROR(__xludf.DUMMYFUNCTION("""COMPUTED_VALUE"""),"")</f>
        <v/>
      </c>
      <c r="AJ14" t="str">
        <f>IFERROR(__xludf.DUMMYFUNCTION("""COMPUTED_VALUE"""),"Unsure")</f>
        <v>Unsure</v>
      </c>
      <c r="AK14" t="str">
        <f>IFERROR(__xludf.DUMMYFUNCTION("""COMPUTED_VALUE"""),"Unsure")</f>
        <v>Unsure</v>
      </c>
      <c r="AL14" t="str">
        <f>IFERROR(__xludf.DUMMYFUNCTION("""COMPUTED_VALUE"""),"")</f>
        <v/>
      </c>
      <c r="AM14" t="str">
        <f>IFERROR(__xludf.DUMMYFUNCTION("""COMPUTED_VALUE"""),"")</f>
        <v/>
      </c>
      <c r="AN14" t="str">
        <f>IFERROR(__xludf.DUMMYFUNCTION("""COMPUTED_VALUE"""),"")</f>
        <v/>
      </c>
      <c r="AO14" t="str">
        <f>IFERROR(__xludf.DUMMYFUNCTION("""COMPUTED_VALUE"""),"")</f>
        <v/>
      </c>
      <c r="AP14" t="str">
        <f>IFERROR(__xludf.DUMMYFUNCTION("""COMPUTED_VALUE"""),"OPR options ""Not specified"", though they perform double-blind review so presumably not]; Will soon launch their own preprint server: https://www.cambridge.org/core/services/authors/apsa-preprints; preprint citations -  [Unsure: ""Please include a link t"&amp;"o all non published work, i.e. working papers, conference papers, etc.""]")</f>
        <v>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v>
      </c>
      <c r="AQ14" t="str">
        <f>IFERROR(__xludf.DUMMYFUNCTION("""COMPUTED_VALUE"""),"")</f>
        <v/>
      </c>
      <c r="AR14" t="str">
        <f>IFERROR(__xludf.DUMMYFUNCTION("""COMPUTED_VALUE"""),"")</f>
        <v/>
      </c>
    </row>
    <row r="15">
      <c r="A15" t="str">
        <f>IFERROR(__xludf.DUMMYFUNCTION("""COMPUTED_VALUE"""),"SR")</f>
        <v>SR</v>
      </c>
      <c r="B15" s="34">
        <f>IFERROR(__xludf.DUMMYFUNCTION("""COMPUTED_VALUE"""),43434.0)</f>
        <v>43434</v>
      </c>
      <c r="C15" t="str">
        <f>IFERROR(__xludf.DUMMYFUNCTION("""COMPUTED_VALUE"""),"SH")</f>
        <v>SH</v>
      </c>
      <c r="D15" s="45">
        <f>IFERROR(__xludf.DUMMYFUNCTION("""COMPUTED_VALUE"""),43569.0)</f>
        <v>43569</v>
      </c>
      <c r="E15" t="str">
        <f>IFERROR(__xludf.DUMMYFUNCTION("""COMPUTED_VALUE"""),"TRH")</f>
        <v>TRH</v>
      </c>
      <c r="F15" s="36">
        <f>IFERROR(__xludf.DUMMYFUNCTION("""COMPUTED_VALUE"""),43579.0)</f>
        <v>43579</v>
      </c>
      <c r="G15" t="str">
        <f>IFERROR(__xludf.DUMMYFUNCTION("""COMPUTED_VALUE"""),"")</f>
        <v/>
      </c>
      <c r="H15" t="str">
        <f>IFERROR(__xludf.DUMMYFUNCTION("""COMPUTED_VALUE"""),"1939-8271")</f>
        <v>1939-8271</v>
      </c>
      <c r="I15" t="str">
        <f>IFERROR(__xludf.DUMMYFUNCTION("""COMPUTED_VALUE"""),"American Sociological Review")</f>
        <v>American Sociological Review</v>
      </c>
      <c r="J15" t="str">
        <f>IFERROR(__xludf.DUMMYFUNCTION("""COMPUTED_VALUE"""),"Social Sciences")</f>
        <v>Social Sciences</v>
      </c>
      <c r="K15" t="str">
        <f>IFERROR(__xludf.DUMMYFUNCTION("""COMPUTED_VALUE"""),"SAGE/American Sociological Association")</f>
        <v>SAGE/American Sociological Association</v>
      </c>
      <c r="L15" t="str">
        <f>IFERROR(__xludf.DUMMYFUNCTION("""COMPUTED_VALUE"""),"Double blind")</f>
        <v>Double blind</v>
      </c>
      <c r="M15" s="78" t="str">
        <f>IFERROR(__xludf.DUMMYFUNCTION("""COMPUTED_VALUE"""),"https://us.sagepub.com/en-us/nam/journal/american-sociological-review#submission-guidelines")</f>
        <v>https://us.sagepub.com/en-us/nam/journal/american-sociological-review#submission-guidelines</v>
      </c>
      <c r="N15" t="str">
        <f>IFERROR(__xludf.DUMMYFUNCTION("""COMPUTED_VALUE"""),"")</f>
        <v/>
      </c>
      <c r="O15" s="78" t="str">
        <f>IFERROR(__xludf.DUMMYFUNCTION("""COMPUTED_VALUE"""),"https://us.sagepub.com/en-us/nam/reviewer-rewards")</f>
        <v>https://us.sagepub.com/en-us/nam/reviewer-rewards</v>
      </c>
      <c r="P15" t="str">
        <f>IFERROR(__xludf.DUMMYFUNCTION("""COMPUTED_VALUE"""),"Yes")</f>
        <v>Yes</v>
      </c>
      <c r="Q15" t="str">
        <f>IFERROR(__xludf.DUMMYFUNCTION("""COMPUTED_VALUE"""),"")</f>
        <v/>
      </c>
      <c r="R15" t="str">
        <f>IFERROR(__xludf.DUMMYFUNCTION("""COMPUTED_VALUE"""),"")</f>
        <v/>
      </c>
      <c r="S15" t="str">
        <f>IFERROR(__xludf.DUMMYFUNCTION("""COMPUTED_VALUE"""),"Not specified")</f>
        <v>Not specified</v>
      </c>
      <c r="T15" t="str">
        <f>IFERROR(__xludf.DUMMYFUNCTION("""COMPUTED_VALUE"""),"Not specified")</f>
        <v>Not specified</v>
      </c>
      <c r="U15" t="str">
        <f>IFERROR(__xludf.DUMMYFUNCTION("""COMPUTED_VALUE"""),"Not specified")</f>
        <v>Not specified</v>
      </c>
      <c r="V15" t="str">
        <f>IFERROR(__xludf.DUMMYFUNCTION("""COMPUTED_VALUE"""),"Not specified")</f>
        <v>Not specified</v>
      </c>
      <c r="W15" t="str">
        <f>IFERROR(__xludf.DUMMYFUNCTION("""COMPUTED_VALUE"""),"Not specified")</f>
        <v>Not specified</v>
      </c>
      <c r="X15" t="str">
        <f>IFERROR(__xludf.DUMMYFUNCTION("""COMPUTED_VALUE"""),"Not specified")</f>
        <v>Not specified</v>
      </c>
      <c r="Y15" t="str">
        <f>IFERROR(__xludf.DUMMYFUNCTION("""COMPUTED_VALUE"""),"Not specified")</f>
        <v>Not specified</v>
      </c>
      <c r="Z15" t="str">
        <f>IFERROR(__xludf.DUMMYFUNCTION("""COMPUTED_VALUE"""),"Not specified")</f>
        <v>Not specified</v>
      </c>
      <c r="AA15" t="str">
        <f>IFERROR(__xludf.DUMMYFUNCTION("""COMPUTED_VALUE"""),"")</f>
        <v/>
      </c>
      <c r="AB15" t="str">
        <f>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 Full guidelines for peer reviewers can be found on the Committee on Pub"&amp;"lication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15" s="78" t="str">
        <f>IFERROR(__xludf.DUMMYFUNCTION("""COMPUTED_VALUE"""),"https://uk.sagepub.com/en-gb/eur/how-to-review-articles")</f>
        <v>https://uk.sagepub.com/en-gb/eur/how-to-review-articles</v>
      </c>
      <c r="AD15" t="str">
        <f>IFERROR(__xludf.DUMMYFUNCTION("""COMPUTED_VALUE"""),"Yes")</f>
        <v>Yes</v>
      </c>
      <c r="AE15" t="str">
        <f>IFERROR(__xludf.DUMMYFUNCTION("""COMPUTED_VALUE"""),"Unsure")</f>
        <v>Unsure</v>
      </c>
      <c r="AF15" t="str">
        <f>IFERROR(__xludf.DUMMYFUNCTION("""COMPUTED_VALUE"""),"Unsure")</f>
        <v>Unsure</v>
      </c>
      <c r="AG15" s="78" t="str">
        <f>IFERROR(__xludf.DUMMYFUNCTION("""COMPUTED_VALUE"""),"https://us.sagepub.com/en-us/nam/prior-publication")</f>
        <v>https://us.sagepub.com/en-us/nam/prior-publication</v>
      </c>
      <c r="AH15" t="str">
        <f>IFERROR(__xludf.DUMMYFUNCTION("""COMPUTED_VALUE"""),"First submission only (before peer review)")</f>
        <v>First submission only (before peer review)</v>
      </c>
      <c r="AI15" t="str">
        <f>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15" t="str">
        <f>IFERROR(__xludf.DUMMYFUNCTION("""COMPUTED_VALUE"""),"Yes, in the reference list")</f>
        <v>Yes, in the reference list</v>
      </c>
      <c r="AK15" t="str">
        <f>IFERROR(__xludf.DUMMYFUNCTION("""COMPUTED_VALUE"""),"Unsure")</f>
        <v>Unsure</v>
      </c>
      <c r="AL15" t="str">
        <f>IFERROR(__xludf.DUMMYFUNCTION("""COMPUTED_VALUE"""),"")</f>
        <v/>
      </c>
      <c r="AM15" t="str">
        <f>IFERROR(__xludf.DUMMYFUNCTION("""COMPUTED_VALUE"""),"")</f>
        <v/>
      </c>
      <c r="AN15" t="str">
        <f>IFERROR(__xludf.DUMMYFUNCTION("""COMPUTED_VALUE"""),"")</f>
        <v/>
      </c>
      <c r="AO15" t="str">
        <f>IFERROR(__xludf.DUMMYFUNCTION("""COMPUTED_VALUE"""),"")</f>
        <v/>
      </c>
      <c r="AP15" t="str">
        <f>IFERROR(__xludf.DUMMYFUNCTION("""COMPUTED_VALUE"""),"Regarding reviewer credit - Yes [Publons. They also publlish a list of reviewers annually]; re. preprint citation, they allow citation of website so reasonable to assume preprints ok https://uk.sagepub.com/en-gb/eur/journal/american-sociological-review#su"&amp;"bmission-guidelines")</f>
        <v>Regarding reviewer credit - Yes [Publons. They also publlish a list of reviewers annually]; re. preprint citation, they allow citation of website so reasonable to assume preprints ok https://uk.sagepub.com/en-gb/eur/journal/american-sociological-review#submission-guidelines</v>
      </c>
      <c r="AQ15" t="str">
        <f>IFERROR(__xludf.DUMMYFUNCTION("""COMPUTED_VALUE"""),"")</f>
        <v/>
      </c>
      <c r="AR15" t="str">
        <f>IFERROR(__xludf.DUMMYFUNCTION("""COMPUTED_VALUE"""),"")</f>
        <v/>
      </c>
    </row>
    <row r="16">
      <c r="A16" t="str">
        <f>IFERROR(__xludf.DUMMYFUNCTION("""COMPUTED_VALUE"""),"SR")</f>
        <v>SR</v>
      </c>
      <c r="B16" s="34">
        <f>IFERROR(__xludf.DUMMYFUNCTION("""COMPUTED_VALUE"""),43434.0)</f>
        <v>43434</v>
      </c>
      <c r="C16" t="str">
        <f>IFERROR(__xludf.DUMMYFUNCTION("""COMPUTED_VALUE"""),"SH")</f>
        <v>SH</v>
      </c>
      <c r="D16" s="45">
        <f>IFERROR(__xludf.DUMMYFUNCTION("""COMPUTED_VALUE"""),43569.0)</f>
        <v>43569</v>
      </c>
      <c r="E16" t="str">
        <f>IFERROR(__xludf.DUMMYFUNCTION("""COMPUTED_VALUE"""),"TRH")</f>
        <v>TRH</v>
      </c>
      <c r="F16" s="36">
        <f>IFERROR(__xludf.DUMMYFUNCTION("""COMPUTED_VALUE"""),43579.0)</f>
        <v>43579</v>
      </c>
      <c r="G16" t="str">
        <f>IFERROR(__xludf.DUMMYFUNCTION("""COMPUTED_VALUE"""),"")</f>
        <v/>
      </c>
      <c r="H16" t="str">
        <f>IFERROR(__xludf.DUMMYFUNCTION("""COMPUTED_VALUE"""),"1521-3773")</f>
        <v>1521-3773</v>
      </c>
      <c r="I16" t="str">
        <f>IFERROR(__xludf.DUMMYFUNCTION("""COMPUTED_VALUE"""),"Angewandte Chemie International Edition")</f>
        <v>Angewandte Chemie International Edition</v>
      </c>
      <c r="J16" t="str">
        <f>IFERROR(__xludf.DUMMYFUNCTION("""COMPUTED_VALUE"""),"Chemical &amp; Materials Sciences")</f>
        <v>Chemical &amp; Materials Sciences</v>
      </c>
      <c r="K16" t="str">
        <f>IFERROR(__xludf.DUMMYFUNCTION("""COMPUTED_VALUE"""),"Wiley-VCH")</f>
        <v>Wiley-VCH</v>
      </c>
      <c r="L16" t="str">
        <f>IFERROR(__xludf.DUMMYFUNCTION("""COMPUTED_VALUE"""),"Single blind")</f>
        <v>Single blind</v>
      </c>
      <c r="M16" t="str">
        <f>IFERROR(__xludf.DUMMYFUNCTION("""COMPUTED_VALUE"""),"https://authorservices.wiley.com/Reviewers/journal-reviewers/tools-and-resources/review-confidentiality-policy.html, https://onlinelibrary.wiley.com/page/journal/15213773/homepage/notice-to-authors")</f>
        <v>https://authorservices.wiley.com/Reviewers/journal-reviewers/tools-and-resources/review-confidentiality-policy.html, https://onlinelibrary.wiley.com/page/journal/15213773/homepage/notice-to-authors</v>
      </c>
      <c r="N16" t="str">
        <f>IFERROR(__xludf.DUMMYFUNCTION("""COMPUTED_VALUE"""),"")</f>
        <v/>
      </c>
      <c r="O16" t="str">
        <f>IFERROR(__xludf.DUMMYFUNCTION("""COMPUTED_VALUE"""),"")</f>
        <v/>
      </c>
      <c r="P16" t="str">
        <f>IFERROR(__xludf.DUMMYFUNCTION("""COMPUTED_VALUE"""),"Unsure")</f>
        <v>Unsure</v>
      </c>
      <c r="Q16" t="str">
        <f>IFERROR(__xludf.DUMMYFUNCTION("""COMPUTED_VALUE"""),"")</f>
        <v/>
      </c>
      <c r="R16" t="str">
        <f>IFERROR(__xludf.DUMMYFUNCTION("""COMPUTED_VALUE"""),"")</f>
        <v/>
      </c>
      <c r="S16" t="str">
        <f>IFERROR(__xludf.DUMMYFUNCTION("""COMPUTED_VALUE"""),"Not specified")</f>
        <v>Not specified</v>
      </c>
      <c r="T16" t="str">
        <f>IFERROR(__xludf.DUMMYFUNCTION("""COMPUTED_VALUE"""),"Not specified")</f>
        <v>Not specified</v>
      </c>
      <c r="U16" t="str">
        <f>IFERROR(__xludf.DUMMYFUNCTION("""COMPUTED_VALUE"""),"Not specified")</f>
        <v>Not specified</v>
      </c>
      <c r="V16" t="str">
        <f>IFERROR(__xludf.DUMMYFUNCTION("""COMPUTED_VALUE"""),"Not specified")</f>
        <v>Not specified</v>
      </c>
      <c r="W16" t="str">
        <f>IFERROR(__xludf.DUMMYFUNCTION("""COMPUTED_VALUE"""),"Not specified")</f>
        <v>Not specified</v>
      </c>
      <c r="X16" t="str">
        <f>IFERROR(__xludf.DUMMYFUNCTION("""COMPUTED_VALUE"""),"Not specified")</f>
        <v>Not specified</v>
      </c>
      <c r="Y16" t="str">
        <f>IFERROR(__xludf.DUMMYFUNCTION("""COMPUTED_VALUE"""),"Not specified")</f>
        <v>Not specified</v>
      </c>
      <c r="Z16" t="str">
        <f>IFERROR(__xludf.DUMMYFUNCTION("""COMPUTED_VALUE"""),"Not specified")</f>
        <v>Not specified</v>
      </c>
      <c r="AA16" t="str">
        <f>IFERROR(__xludf.DUMMYFUNCTION("""COMPUTED_VALUE"""),"")</f>
        <v/>
      </c>
      <c r="AB16" t="str">
        <f>IFERROR(__xludf.DUMMYFUNCTION("""COMPUTED_VALUE"""),"")</f>
        <v/>
      </c>
      <c r="AC16" t="str">
        <f>IFERROR(__xludf.DUMMYFUNCTION("""COMPUTED_VALUE"""),"")</f>
        <v/>
      </c>
      <c r="AD16" t="str">
        <f>IFERROR(__xludf.DUMMYFUNCTION("""COMPUTED_VALUE"""),"Unsure")</f>
        <v>Unsure</v>
      </c>
      <c r="AE16" t="str">
        <f>IFERROR(__xludf.DUMMYFUNCTION("""COMPUTED_VALUE"""),"Unsure")</f>
        <v>Unsure</v>
      </c>
      <c r="AF16" t="str">
        <f>IFERROR(__xludf.DUMMYFUNCTION("""COMPUTED_VALUE"""),"Unsure")</f>
        <v>Unsure</v>
      </c>
      <c r="AG16" s="78" t="str">
        <f>IFERROR(__xludf.DUMMYFUNCTION("""COMPUTED_VALUE"""),"https://onlinelibrary.wiley.com/page/journal/15213773/homepage/notice-to-authors")</f>
        <v>https://onlinelibrary.wiley.com/page/journal/15213773/homepage/notice-to-authors</v>
      </c>
      <c r="AH16" t="str">
        <f>IFERROR(__xludf.DUMMYFUNCTION("""COMPUTED_VALUE"""),"First submission only (before peer review)")</f>
        <v>First submission only (before peer review)</v>
      </c>
      <c r="AI16" t="str">
        <f>IFERROR(__xludf.DUMMYFUNCTION("""COMPUTED_VALUE"""),"""Angewandte Chemie, ChemPubSoc Europe, and Asian Chemical Editorial Society (ACES) journals will consider submitted papers that have been previously 1) posted as a preprint on a non-profit community preprint server such as ChemRxiv, bioRxiv, and arXiv""")</f>
        <v>"Angewandte Chemie, ChemPubSoc Europe, and Asian Chemical Editorial Society (ACES) journals will consider submitted papers that have been previously 1) posted as a preprint on a non-profit community preprint server such as ChemRxiv, bioRxiv, and arXiv"</v>
      </c>
      <c r="AJ16" t="str">
        <f>IFERROR(__xludf.DUMMYFUNCTION("""COMPUTED_VALUE"""),"Yes, in the reference list")</f>
        <v>Yes, in the reference list</v>
      </c>
      <c r="AK16" t="str">
        <f>IFERROR(__xludf.DUMMYFUNCTION("""COMPUTED_VALUE"""),"Unsure")</f>
        <v>Unsure</v>
      </c>
      <c r="AL16" t="str">
        <f>IFERROR(__xludf.DUMMYFUNCTION("""COMPUTED_VALUE"""),"""In the case of preprints, journals require that the material is not communicated with the media prior to publication of the paper in the journal family.""")</f>
        <v>"In the case of preprints, journals require that the material is not communicated with the media prior to publication of the paper in the journal family."</v>
      </c>
      <c r="AM16" t="str">
        <f>IFERROR(__xludf.DUMMYFUNCTION("""COMPUTED_VALUE"""),"")</f>
        <v/>
      </c>
      <c r="AN16" t="str">
        <f>IFERROR(__xludf.DUMMYFUNCTION("""COMPUTED_VALUE"""),"")</f>
        <v/>
      </c>
      <c r="AO16" t="str">
        <f>IFERROR(__xludf.DUMMYFUNCTION("""COMPUTED_VALUE"""),"")</f>
        <v/>
      </c>
      <c r="AP16" t="str">
        <f>IFERROR(__xludf.DUMMYFUNCTION("""COMPUTED_VALUE"""),"Wiley does not offer information on the peer review process explicitely on their website. This information can sometimes be found in the ""Guide for Authors"" section, but in the case of Angewandte Chemie IE, this section does not contain a lot of informa"&amp;"tion on the peer review process.")</f>
        <v>Wiley does not offer information on the peer review process explicitely on their website. This information can sometimes be found in the "Guide for Authors" section, but in the case of Angewandte Chemie IE, this section does not contain a lot of information on the peer review process.</v>
      </c>
      <c r="AQ16" t="str">
        <f>IFERROR(__xludf.DUMMYFUNCTION("""COMPUTED_VALUE"""),"")</f>
        <v/>
      </c>
      <c r="AR16" t="str">
        <f>IFERROR(__xludf.DUMMYFUNCTION("""COMPUTED_VALUE"""),"")</f>
        <v/>
      </c>
    </row>
    <row r="17">
      <c r="A17" t="str">
        <f>IFERROR(__xludf.DUMMYFUNCTION("""COMPUTED_VALUE"""),"SR")</f>
        <v>SR</v>
      </c>
      <c r="B17" s="34">
        <f>IFERROR(__xludf.DUMMYFUNCTION("""COMPUTED_VALUE"""),43434.0)</f>
        <v>43434</v>
      </c>
      <c r="C17" t="str">
        <f>IFERROR(__xludf.DUMMYFUNCTION("""COMPUTED_VALUE"""),"SH")</f>
        <v>SH</v>
      </c>
      <c r="D17" s="45">
        <f>IFERROR(__xludf.DUMMYFUNCTION("""COMPUTED_VALUE"""),43569.0)</f>
        <v>43569</v>
      </c>
      <c r="E17" t="str">
        <f>IFERROR(__xludf.DUMMYFUNCTION("""COMPUTED_VALUE"""),"TRH")</f>
        <v>TRH</v>
      </c>
      <c r="F17" s="36">
        <f>IFERROR(__xludf.DUMMYFUNCTION("""COMPUTED_VALUE"""),43580.0)</f>
        <v>43580</v>
      </c>
      <c r="G17" t="str">
        <f>IFERROR(__xludf.DUMMYFUNCTION("""COMPUTED_VALUE"""),"")</f>
        <v/>
      </c>
      <c r="H17" t="str">
        <f>IFERROR(__xludf.DUMMYFUNCTION("""COMPUTED_VALUE"""),"0003-4819")</f>
        <v>0003-4819</v>
      </c>
      <c r="I17" t="str">
        <f>IFERROR(__xludf.DUMMYFUNCTION("""COMPUTED_VALUE"""),"Annals of Internal Medicine")</f>
        <v>Annals of Internal Medicine</v>
      </c>
      <c r="J17" t="str">
        <f>IFERROR(__xludf.DUMMYFUNCTION("""COMPUTED_VALUE"""),"")</f>
        <v/>
      </c>
      <c r="K17" t="str">
        <f>IFERROR(__xludf.DUMMYFUNCTION("""COMPUTED_VALUE"""),"American College of Physicians")</f>
        <v>American College of Physicians</v>
      </c>
      <c r="L17" t="str">
        <f>IFERROR(__xludf.DUMMYFUNCTION("""COMPUTED_VALUE"""),"Single blind")</f>
        <v>Single blind</v>
      </c>
      <c r="M17" s="78" t="str">
        <f>IFERROR(__xludf.DUMMYFUNCTION("""COMPUTED_VALUE"""),"http://annals.org/aim/pages/authors")</f>
        <v>http://annals.org/aim/pages/authors</v>
      </c>
      <c r="N17" t="str">
        <f>IFERROR(__xludf.DUMMYFUNCTION("""COMPUTED_VALUE"""),"")</f>
        <v/>
      </c>
      <c r="O17" s="78" t="str">
        <f>IFERROR(__xludf.DUMMYFUNCTION("""COMPUTED_VALUE"""),"http://annals.org/aim/pages/authors")</f>
        <v>http://annals.org/aim/pages/authors</v>
      </c>
      <c r="P17" t="str">
        <f>IFERROR(__xludf.DUMMYFUNCTION("""COMPUTED_VALUE"""),"Unsure")</f>
        <v>Unsure</v>
      </c>
      <c r="Q17" t="str">
        <f>IFERROR(__xludf.DUMMYFUNCTION("""COMPUTED_VALUE"""),"")</f>
        <v/>
      </c>
      <c r="R17" t="str">
        <f>IFERROR(__xludf.DUMMYFUNCTION("""COMPUTED_VALUE"""),"")</f>
        <v/>
      </c>
      <c r="S17" t="str">
        <f>IFERROR(__xludf.DUMMYFUNCTION("""COMPUTED_VALUE"""),"Not specified")</f>
        <v>Not specified</v>
      </c>
      <c r="T17" t="str">
        <f>IFERROR(__xludf.DUMMYFUNCTION("""COMPUTED_VALUE"""),"Not specified")</f>
        <v>Not specified</v>
      </c>
      <c r="U17" t="str">
        <f>IFERROR(__xludf.DUMMYFUNCTION("""COMPUTED_VALUE"""),"Not specified")</f>
        <v>Not specified</v>
      </c>
      <c r="V17" t="str">
        <f>IFERROR(__xludf.DUMMYFUNCTION("""COMPUTED_VALUE"""),"Not specified")</f>
        <v>Not specified</v>
      </c>
      <c r="W17" t="str">
        <f>IFERROR(__xludf.DUMMYFUNCTION("""COMPUTED_VALUE"""),"Not specified")</f>
        <v>Not specified</v>
      </c>
      <c r="X17" t="str">
        <f>IFERROR(__xludf.DUMMYFUNCTION("""COMPUTED_VALUE"""),"Optional")</f>
        <v>Optional</v>
      </c>
      <c r="Y17" t="str">
        <f>IFERROR(__xludf.DUMMYFUNCTION("""COMPUTED_VALUE"""),"Not specified")</f>
        <v>Not specified</v>
      </c>
      <c r="Z17" t="str">
        <f>IFERROR(__xludf.DUMMYFUNCTION("""COMPUTED_VALUE"""),"Not specified")</f>
        <v>Not specified</v>
      </c>
      <c r="AA17" t="str">
        <f>IFERROR(__xludf.DUMMYFUNCTION("""COMPUTED_VALUE"""),"")</f>
        <v/>
      </c>
      <c r="AB17" t="str">
        <f>IFERROR(__xludf.DUMMYFUNCTION("""COMPUTED_VALUE"""),"Annals of Internal Medicine expects reviewers to handle manuscripts in a confidential manner. Manuscripts sent for review are privileged communications and are the private property of the authors. Therefore, reviewers (like members of the editorial staff)"&amp;" must not publicly discuss the authors' work or appropriate their ideas before the manuscript is published. Reviewers should not keep copies of reviewed manuscripts in their personal files and are prohibited from sharing copies of the manuscript with othe"&amp;"rs, except with the permission of the editor. Reviewers should destroy copies of manuscripts after submitting reviews.")</f>
        <v>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v>
      </c>
      <c r="AC17" s="78" t="str">
        <f>IFERROR(__xludf.DUMMYFUNCTION("""COMPUTED_VALUE"""),"http://annals.org/aim/pages/authors")</f>
        <v>http://annals.org/aim/pages/authors</v>
      </c>
      <c r="AD17" t="str">
        <f>IFERROR(__xludf.DUMMYFUNCTION("""COMPUTED_VALUE"""),"No")</f>
        <v>No</v>
      </c>
      <c r="AE17" t="str">
        <f>IFERROR(__xludf.DUMMYFUNCTION("""COMPUTED_VALUE"""),"No")</f>
        <v>No</v>
      </c>
      <c r="AF17" t="str">
        <f>IFERROR(__xludf.DUMMYFUNCTION("""COMPUTED_VALUE"""),"No")</f>
        <v>No</v>
      </c>
      <c r="AG17" s="78" t="str">
        <f>IFERROR(__xludf.DUMMYFUNCTION("""COMPUTED_VALUE"""),"http://annals.org/aim/pages/authors")</f>
        <v>http://annals.org/aim/pages/authors</v>
      </c>
      <c r="AH17" t="str">
        <f>IFERROR(__xludf.DUMMYFUNCTION("""COMPUTED_VALUE"""),"No preprint policy")</f>
        <v>No preprint policy</v>
      </c>
      <c r="AI17" t="str">
        <f>IFERROR(__xludf.DUMMYFUNCTION("""COMPUTED_VALUE"""),"")</f>
        <v/>
      </c>
      <c r="AJ17" t="str">
        <f>IFERROR(__xludf.DUMMYFUNCTION("""COMPUTED_VALUE"""),"Yes, but only in the text (not the reference list)")</f>
        <v>Yes, but only in the text (not the reference list)</v>
      </c>
      <c r="AK17" t="str">
        <f>IFERROR(__xludf.DUMMYFUNCTION("""COMPUTED_VALUE"""),"Unsure")</f>
        <v>Unsure</v>
      </c>
      <c r="AL17" t="str">
        <f>IFERROR(__xludf.DUMMYFUNCTION("""COMPUTED_VALUE"""),"")</f>
        <v/>
      </c>
      <c r="AM17" t="str">
        <f>IFERROR(__xludf.DUMMYFUNCTION("""COMPUTED_VALUE"""),"")</f>
        <v/>
      </c>
      <c r="AN17" t="str">
        <f>IFERROR(__xludf.DUMMYFUNCTION("""COMPUTED_VALUE"""),"")</f>
        <v/>
      </c>
      <c r="AO17" t="str">
        <f>IFERROR(__xludf.DUMMYFUNCTION("""COMPUTED_VALUE"""),"")</f>
        <v/>
      </c>
      <c r="AP17" t="str">
        <f>IFERROR(__xludf.DUMMYFUNCTION("""COMPUTED_VALUE"""),"Concerning preprints, Annals of Internal Medicine currently does not offer any information, which can be taken to mean that the editors do not consider preprints an option for authors. Contrary to other journal policies studied here, however, the journal "&amp;"is rather specific as far as the peer review policies are concerned.; Regarding preprint citation: [""Include references to unpublished material in the text, not in the references (for example, papers presented orally at a meeting; unpublished work [perso"&amp;"nal communications, papers in preparation])""]")</f>
        <v>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v>
      </c>
      <c r="AQ17" t="str">
        <f>IFERROR(__xludf.DUMMYFUNCTION("""COMPUTED_VALUE"""),"")</f>
        <v/>
      </c>
      <c r="AR17" t="str">
        <f>IFERROR(__xludf.DUMMYFUNCTION("""COMPUTED_VALUE"""),"")</f>
        <v/>
      </c>
    </row>
    <row r="18">
      <c r="A18" t="str">
        <f>IFERROR(__xludf.DUMMYFUNCTION("""COMPUTED_VALUE"""),"SR")</f>
        <v>SR</v>
      </c>
      <c r="B18" s="34">
        <f>IFERROR(__xludf.DUMMYFUNCTION("""COMPUTED_VALUE"""),43434.0)</f>
        <v>43434</v>
      </c>
      <c r="C18" t="str">
        <f>IFERROR(__xludf.DUMMYFUNCTION("""COMPUTED_VALUE"""),"JP")</f>
        <v>JP</v>
      </c>
      <c r="D18" s="36">
        <f>IFERROR(__xludf.DUMMYFUNCTION("""COMPUTED_VALUE"""),43566.0)</f>
        <v>43566</v>
      </c>
      <c r="E18" t="str">
        <f>IFERROR(__xludf.DUMMYFUNCTION("""COMPUTED_VALUE"""),"TRH")</f>
        <v>TRH</v>
      </c>
      <c r="F18" s="36">
        <f>IFERROR(__xludf.DUMMYFUNCTION("""COMPUTED_VALUE"""),43580.0)</f>
        <v>43580</v>
      </c>
      <c r="G18" s="36" t="str">
        <f>IFERROR(__xludf.DUMMYFUNCTION("""COMPUTED_VALUE"""),"")</f>
        <v/>
      </c>
      <c r="H18" t="str">
        <f>IFERROR(__xludf.DUMMYFUNCTION("""COMPUTED_VALUE"""),"1569-8041")</f>
        <v>1569-8041</v>
      </c>
      <c r="I18" t="str">
        <f>IFERROR(__xludf.DUMMYFUNCTION("""COMPUTED_VALUE"""),"Annals of Oncology")</f>
        <v>Annals of Oncology</v>
      </c>
      <c r="J18" t="str">
        <f>IFERROR(__xludf.DUMMYFUNCTION("""COMPUTED_VALUE"""),"")</f>
        <v/>
      </c>
      <c r="K18" t="str">
        <f>IFERROR(__xludf.DUMMYFUNCTION("""COMPUTED_VALUE"""),"Oxford Academic")</f>
        <v>Oxford Academic</v>
      </c>
      <c r="L18" t="str">
        <f>IFERROR(__xludf.DUMMYFUNCTION("""COMPUTED_VALUE"""),"Unsure")</f>
        <v>Unsure</v>
      </c>
      <c r="M18" s="78" t="str">
        <f>IFERROR(__xludf.DUMMYFUNCTION("""COMPUTED_VALUE"""),"https://academic.oup.com/annonc/pages/General_Instructions")</f>
        <v>https://academic.oup.com/annonc/pages/General_Instructions</v>
      </c>
      <c r="N18" t="str">
        <f>IFERROR(__xludf.DUMMYFUNCTION("""COMPUTED_VALUE"""),"")</f>
        <v/>
      </c>
      <c r="O18" t="str">
        <f>IFERROR(__xludf.DUMMYFUNCTION("""COMPUTED_VALUE"""),"")</f>
        <v/>
      </c>
      <c r="P18" t="str">
        <f>IFERROR(__xludf.DUMMYFUNCTION("""COMPUTED_VALUE"""),"Unsure")</f>
        <v>Unsure</v>
      </c>
      <c r="Q18" t="str">
        <f>IFERROR(__xludf.DUMMYFUNCTION("""COMPUTED_VALUE"""),"")</f>
        <v/>
      </c>
      <c r="R18" t="str">
        <f>IFERROR(__xludf.DUMMYFUNCTION("""COMPUTED_VALUE"""),"")</f>
        <v/>
      </c>
      <c r="S18" t="str">
        <f>IFERROR(__xludf.DUMMYFUNCTION("""COMPUTED_VALUE"""),"Not specified")</f>
        <v>Not specified</v>
      </c>
      <c r="T18" t="str">
        <f>IFERROR(__xludf.DUMMYFUNCTION("""COMPUTED_VALUE"""),"Not specified")</f>
        <v>Not specified</v>
      </c>
      <c r="U18" t="str">
        <f>IFERROR(__xludf.DUMMYFUNCTION("""COMPUTED_VALUE"""),"Not specified")</f>
        <v>Not specified</v>
      </c>
      <c r="V18" t="str">
        <f>IFERROR(__xludf.DUMMYFUNCTION("""COMPUTED_VALUE"""),"Not specified")</f>
        <v>Not specified</v>
      </c>
      <c r="W18" t="str">
        <f>IFERROR(__xludf.DUMMYFUNCTION("""COMPUTED_VALUE"""),"Not specified")</f>
        <v>Not specified</v>
      </c>
      <c r="X18" t="str">
        <f>IFERROR(__xludf.DUMMYFUNCTION("""COMPUTED_VALUE"""),"Not specified")</f>
        <v>Not specified</v>
      </c>
      <c r="Y18" t="str">
        <f>IFERROR(__xludf.DUMMYFUNCTION("""COMPUTED_VALUE"""),"Not specified")</f>
        <v>Not specified</v>
      </c>
      <c r="Z18" t="str">
        <f>IFERROR(__xludf.DUMMYFUNCTION("""COMPUTED_VALUE"""),"Not specified")</f>
        <v>Not specified</v>
      </c>
      <c r="AA18" t="str">
        <f>IFERROR(__xludf.DUMMYFUNCTION("""COMPUTED_VALUE"""),"")</f>
        <v/>
      </c>
      <c r="AB18" t="str">
        <f>IFERROR(__xludf.DUMMYFUNCTION("""COMPUTED_VALUE"""),"")</f>
        <v/>
      </c>
      <c r="AC18" t="str">
        <f>IFERROR(__xludf.DUMMYFUNCTION("""COMPUTED_VALUE"""),"")</f>
        <v/>
      </c>
      <c r="AD18" t="str">
        <f>IFERROR(__xludf.DUMMYFUNCTION("""COMPUTED_VALUE"""),"Unsure")</f>
        <v>Unsure</v>
      </c>
      <c r="AE18" t="str">
        <f>IFERROR(__xludf.DUMMYFUNCTION("""COMPUTED_VALUE"""),"Unsure")</f>
        <v>Unsure</v>
      </c>
      <c r="AF18" t="str">
        <f>IFERROR(__xludf.DUMMYFUNCTION("""COMPUTED_VALUE"""),"Unsure")</f>
        <v>Unsure</v>
      </c>
      <c r="AG18" s="78" t="str">
        <f>IFERROR(__xludf.DUMMYFUNCTION("""COMPUTED_VALUE"""),"https://academic.oup.com/journals/pages/access_purchase/rights_and_permissions/author_self_archiving_policy")</f>
        <v>https://academic.oup.com/journals/pages/access_purchase/rights_and_permissions/author_self_archiving_policy</v>
      </c>
      <c r="AH18" t="str">
        <f>IFERROR(__xludf.DUMMYFUNCTION("""COMPUTED_VALUE"""),"First submission only (before peer review)")</f>
        <v>First submission only (before peer review)</v>
      </c>
      <c r="AI18" t="str">
        <f>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8" t="str">
        <f>IFERROR(__xludf.DUMMYFUNCTION("""COMPUTED_VALUE"""),"Yes, but only in the text")</f>
        <v>Yes, but only in the text</v>
      </c>
      <c r="AK18" t="str">
        <f>IFERROR(__xludf.DUMMYFUNCTION("""COMPUTED_VALUE"""),"Unsure")</f>
        <v>Unsure</v>
      </c>
      <c r="AL18" t="str">
        <f>IFERROR(__xludf.DUMMYFUNCTION("""COMPUTED_VALUE"""),"")</f>
        <v/>
      </c>
      <c r="AM18" t="str">
        <f>IFERROR(__xludf.DUMMYFUNCTION("""COMPUTED_VALUE"""),"")</f>
        <v/>
      </c>
      <c r="AN18" t="str">
        <f>IFERROR(__xludf.DUMMYFUNCTION("""COMPUTED_VALUE"""),"")</f>
        <v/>
      </c>
      <c r="AO18" t="str">
        <f>IFERROR(__xludf.DUMMYFUNCTION("""COMPUTED_VALUE"""),"")</f>
        <v/>
      </c>
      <c r="AP18" t="str">
        <f>IFERROR(__xludf.DUMMYFUNCTION("""COMPUTED_VALUE"""),"The author information provided by Annals of Onkology is not very user-friendly, as it is basically one long page of text without content menu to ease the search process. There is scarce information on the review process; however, some information may be "&amp;"found on pre-print policies. Their licensing policies for different paper versions concerning preprints and self-archiving are stated very clearly on a separate website for instance.")</f>
        <v>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v>
      </c>
      <c r="AQ18" t="str">
        <f>IFERROR(__xludf.DUMMYFUNCTION("""COMPUTED_VALUE"""),"")</f>
        <v/>
      </c>
      <c r="AR18" t="str">
        <f>IFERROR(__xludf.DUMMYFUNCTION("""COMPUTED_VALUE"""),"")</f>
        <v/>
      </c>
    </row>
    <row r="19">
      <c r="A19" t="str">
        <f>IFERROR(__xludf.DUMMYFUNCTION("""COMPUTED_VALUE"""),"SR")</f>
        <v>SR</v>
      </c>
      <c r="B19" s="34">
        <f>IFERROR(__xludf.DUMMYFUNCTION("""COMPUTED_VALUE"""),43437.0)</f>
        <v>43437</v>
      </c>
      <c r="C19" t="str">
        <f>IFERROR(__xludf.DUMMYFUNCTION("""COMPUTED_VALUE"""),"JP")</f>
        <v>JP</v>
      </c>
      <c r="D19" s="36">
        <f>IFERROR(__xludf.DUMMYFUNCTION("""COMPUTED_VALUE"""),43566.0)</f>
        <v>43566</v>
      </c>
      <c r="E19" t="str">
        <f>IFERROR(__xludf.DUMMYFUNCTION("""COMPUTED_VALUE"""),"TRH")</f>
        <v>TRH</v>
      </c>
      <c r="F19" s="36">
        <f>IFERROR(__xludf.DUMMYFUNCTION("""COMPUTED_VALUE"""),43580.0)</f>
        <v>43580</v>
      </c>
      <c r="G19" s="36" t="str">
        <f>IFERROR(__xludf.DUMMYFUNCTION("""COMPUTED_VALUE"""),"")</f>
        <v/>
      </c>
      <c r="H19" t="str">
        <f>IFERROR(__xludf.DUMMYFUNCTION("""COMPUTED_VALUE"""),"1468-2060")</f>
        <v>1468-2060</v>
      </c>
      <c r="I19" t="str">
        <f>IFERROR(__xludf.DUMMYFUNCTION("""COMPUTED_VALUE"""),"Annals of the Rheumatic Diseases")</f>
        <v>Annals of the Rheumatic Diseases</v>
      </c>
      <c r="J19" t="str">
        <f>IFERROR(__xludf.DUMMYFUNCTION("""COMPUTED_VALUE"""),"")</f>
        <v/>
      </c>
      <c r="K19" t="str">
        <f>IFERROR(__xludf.DUMMYFUNCTION("""COMPUTED_VALUE"""),"BMJ/EULAR")</f>
        <v>BMJ/EULAR</v>
      </c>
      <c r="L19" t="str">
        <f>IFERROR(__xludf.DUMMYFUNCTION("""COMPUTED_VALUE"""),"Single blind")</f>
        <v>Single blind</v>
      </c>
      <c r="M19" s="78" t="str">
        <f>IFERROR(__xludf.DUMMYFUNCTION("""COMPUTED_VALUE"""),"https://ard.bmj.com/pages/about/")</f>
        <v>https://ard.bmj.com/pages/about/</v>
      </c>
      <c r="N19" t="str">
        <f>IFERROR(__xludf.DUMMYFUNCTION("""COMPUTED_VALUE"""),"")</f>
        <v/>
      </c>
      <c r="O19" s="78" t="str">
        <f>IFERROR(__xludf.DUMMYFUNCTION("""COMPUTED_VALUE"""),"https://authors.bmj.com/policies/peer-review-terms-and-conditions/")</f>
        <v>https://authors.bmj.com/policies/peer-review-terms-and-conditions/</v>
      </c>
      <c r="P19" t="str">
        <f>IFERROR(__xludf.DUMMYFUNCTION("""COMPUTED_VALUE"""),"Unsure")</f>
        <v>Unsure</v>
      </c>
      <c r="Q19" t="str">
        <f>IFERROR(__xludf.DUMMYFUNCTION("""COMPUTED_VALUE"""),"Authors are given the option of nominating other journals from BMJ to which they would like their manuscript passed if it is rejected for publication by their first choice.")</f>
        <v>Authors are given the option of nominating other journals from BMJ to which they would like their manuscript passed if it is rejected for publication by their first choice.</v>
      </c>
      <c r="R19" s="78" t="str">
        <f>IFERROR(__xludf.DUMMYFUNCTION("""COMPUTED_VALUE"""),"https://authors.bmj.com/policies/peer-review-terms-and-conditions/")</f>
        <v>https://authors.bmj.com/policies/peer-review-terms-and-conditions/</v>
      </c>
      <c r="S19" t="str">
        <f>IFERROR(__xludf.DUMMYFUNCTION("""COMPUTED_VALUE"""),"Not specified")</f>
        <v>Not specified</v>
      </c>
      <c r="T19" t="str">
        <f>IFERROR(__xludf.DUMMYFUNCTION("""COMPUTED_VALUE"""),"Not specified")</f>
        <v>Not specified</v>
      </c>
      <c r="U19" t="str">
        <f>IFERROR(__xludf.DUMMYFUNCTION("""COMPUTED_VALUE"""),"Not specified")</f>
        <v>Not specified</v>
      </c>
      <c r="V19" t="str">
        <f>IFERROR(__xludf.DUMMYFUNCTION("""COMPUTED_VALUE"""),"Not specified")</f>
        <v>Not specified</v>
      </c>
      <c r="W19" t="str">
        <f>IFERROR(__xludf.DUMMYFUNCTION("""COMPUTED_VALUE"""),"Not specified")</f>
        <v>Not specified</v>
      </c>
      <c r="X19" t="str">
        <f>IFERROR(__xludf.DUMMYFUNCTION("""COMPUTED_VALUE"""),"Not specified")</f>
        <v>Not specified</v>
      </c>
      <c r="Y19" t="str">
        <f>IFERROR(__xludf.DUMMYFUNCTION("""COMPUTED_VALUE"""),"Not specified")</f>
        <v>Not specified</v>
      </c>
      <c r="Z19" t="str">
        <f>IFERROR(__xludf.DUMMYFUNCTION("""COMPUTED_VALUE"""),"Not specified")</f>
        <v>Not specified</v>
      </c>
      <c r="AA19" t="str">
        <f>IFERROR(__xludf.DUMMYFUNCTION("""COMPUTED_VALUE"""),"")</f>
        <v/>
      </c>
      <c r="AB19" t="str">
        <f>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19" s="78" t="str">
        <f>IFERROR(__xludf.DUMMYFUNCTION("""COMPUTED_VALUE"""),"https://authors.bmj.com/policies/peer-review-terms-and-conditions/")</f>
        <v>https://authors.bmj.com/policies/peer-review-terms-and-conditions/</v>
      </c>
      <c r="AD19" t="str">
        <f>IFERROR(__xludf.DUMMYFUNCTION("""COMPUTED_VALUE"""),"Yes")</f>
        <v>Yes</v>
      </c>
      <c r="AE19" t="str">
        <f>IFERROR(__xludf.DUMMYFUNCTION("""COMPUTED_VALUE"""),"Unsure")</f>
        <v>Unsure</v>
      </c>
      <c r="AF19" t="str">
        <f>IFERROR(__xludf.DUMMYFUNCTION("""COMPUTED_VALUE"""),"Unsure")</f>
        <v>Unsure</v>
      </c>
      <c r="AG19" s="78" t="str">
        <f>IFERROR(__xludf.DUMMYFUNCTION("""COMPUTED_VALUE"""),"https://authors.bmj.com/policies/preprints/")</f>
        <v>https://authors.bmj.com/policies/preprints/</v>
      </c>
      <c r="AH19" t="str">
        <f>IFERROR(__xludf.DUMMYFUNCTION("""COMPUTED_VALUE"""),"After peer review (but not final, copyedited version)")</f>
        <v>After peer review (but not final, copyedited version)</v>
      </c>
      <c r="AI19" t="str">
        <f>IFERROR(__xludf.DUMMYFUNCTION("""COMPUTED_VALUE"""),"any recognised, not-for-profit, preprint server, such as arXiv, bioRxiv or medRxiv")</f>
        <v>any recognised, not-for-profit, preprint server, such as arXiv, bioRxiv or medRxiv</v>
      </c>
      <c r="AJ19" t="str">
        <f>IFERROR(__xludf.DUMMYFUNCTION("""COMPUTED_VALUE"""),"Not specified")</f>
        <v>Not specified</v>
      </c>
      <c r="AK19" t="str">
        <f>IFERROR(__xludf.DUMMYFUNCTION("""COMPUTED_VALUE"""),"No")</f>
        <v>No</v>
      </c>
      <c r="AL19" t="str">
        <f>IFERROR(__xludf.DUMMYFUNCTION("""COMPUTED_VALUE"""),"Authors whose research has been presented at a scientific meeting are of course still able to publish in any of our journals, but we ask that the media is not provided with any additional information prior to publication of the full article in the journal"&amp;" because it is important that journalists and readers have access to the full peer reviewed version of record. Prior presentation of the work at a conference should be acknowledged in the manuscript.")</f>
        <v>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v>
      </c>
      <c r="AM19" t="str">
        <f>IFERROR(__xludf.DUMMYFUNCTION("""COMPUTED_VALUE"""),"BMJ places no restrictions on the licence chosen when posting a preprint version of work")</f>
        <v>BMJ places no restrictions on the licence chosen when posting a preprint version of work</v>
      </c>
      <c r="AN19" t="str">
        <f>IFERROR(__xludf.DUMMYFUNCTION("""COMPUTED_VALUE"""),"")</f>
        <v/>
      </c>
      <c r="AO19" t="str">
        <f>IFERROR(__xludf.DUMMYFUNCTION("""COMPUTED_VALUE"""),"")</f>
        <v/>
      </c>
      <c r="AP19" t="str">
        <f>IFERROR(__xludf.DUMMYFUNCTION("""COMPUTED_VALUE"""),"preprint-version: After peer review (""BMJ does not recommend that Author Accepted Manuscripts are placed on preprint servers."")")</f>
        <v>preprint-version: After peer review ("BMJ does not recommend that Author Accepted Manuscripts are placed on preprint servers.")</v>
      </c>
      <c r="AQ19" t="str">
        <f>IFERROR(__xludf.DUMMYFUNCTION("""COMPUTED_VALUE"""),"")</f>
        <v/>
      </c>
      <c r="AR19" t="str">
        <f>IFERROR(__xludf.DUMMYFUNCTION("""COMPUTED_VALUE"""),"")</f>
        <v/>
      </c>
    </row>
    <row r="20">
      <c r="A20" t="str">
        <f>IFERROR(__xludf.DUMMYFUNCTION("""COMPUTED_VALUE"""),"SR")</f>
        <v>SR</v>
      </c>
      <c r="B20" s="34">
        <f>IFERROR(__xludf.DUMMYFUNCTION("""COMPUTED_VALUE"""),43437.0)</f>
        <v>43437</v>
      </c>
      <c r="C20" t="str">
        <f>IFERROR(__xludf.DUMMYFUNCTION("""COMPUTED_VALUE"""),"JP")</f>
        <v>JP</v>
      </c>
      <c r="D20" s="36">
        <f>IFERROR(__xludf.DUMMYFUNCTION("""COMPUTED_VALUE"""),43566.0)</f>
        <v>43566</v>
      </c>
      <c r="E20" t="str">
        <f>IFERROR(__xludf.DUMMYFUNCTION("""COMPUTED_VALUE"""),"TRH")</f>
        <v>TRH</v>
      </c>
      <c r="F20" s="36">
        <f>IFERROR(__xludf.DUMMYFUNCTION("""COMPUTED_VALUE"""),43580.0)</f>
        <v>43580</v>
      </c>
      <c r="G20" s="36" t="str">
        <f>IFERROR(__xludf.DUMMYFUNCTION("""COMPUTED_VALUE"""),"")</f>
        <v/>
      </c>
      <c r="H20" t="str">
        <f>IFERROR(__xludf.DUMMYFUNCTION("""COMPUTED_VALUE"""),"0160-7383")</f>
        <v>0160-7383</v>
      </c>
      <c r="I20" t="str">
        <f>IFERROR(__xludf.DUMMYFUNCTION("""COMPUTED_VALUE"""),"Annals of Tourism Research")</f>
        <v>Annals of Tourism Research</v>
      </c>
      <c r="J20" t="str">
        <f>IFERROR(__xludf.DUMMYFUNCTION("""COMPUTED_VALUE"""),"Social Sciences")</f>
        <v>Social Sciences</v>
      </c>
      <c r="K20" t="str">
        <f>IFERROR(__xludf.DUMMYFUNCTION("""COMPUTED_VALUE"""),"Elsevier")</f>
        <v>Elsevier</v>
      </c>
      <c r="L20" t="str">
        <f>IFERROR(__xludf.DUMMYFUNCTION("""COMPUTED_VALUE"""),"Double blind")</f>
        <v>Double blind</v>
      </c>
      <c r="M20" s="78" t="str">
        <f>IFERROR(__xludf.DUMMYFUNCTION("""COMPUTED_VALUE"""),"https://www.elsevier.com/journals/annals-of-tourism-research/0160-7383?generatepdf=true")</f>
        <v>https://www.elsevier.com/journals/annals-of-tourism-research/0160-7383?generatepdf=true</v>
      </c>
      <c r="N20" t="str">
        <f>IFERROR(__xludf.DUMMYFUNCTION("""COMPUTED_VALUE"""),"")</f>
        <v/>
      </c>
      <c r="O20" s="78" t="str">
        <f>IFERROR(__xludf.DUMMYFUNCTION("""COMPUTED_VALUE"""),"https://www.elsevier.com/reviewers/role#recognizing")</f>
        <v>https://www.elsevier.com/reviewers/role#recognizing</v>
      </c>
      <c r="P20" t="str">
        <f>IFERROR(__xludf.DUMMYFUNCTION("""COMPUTED_VALUE"""),"Yes")</f>
        <v>Yes</v>
      </c>
      <c r="Q20"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0" s="78" t="str">
        <f>IFERROR(__xludf.DUMMYFUNCTION("""COMPUTED_VALUE"""),"https://www.elsevier.com/reviewers/what-is-peer-review")</f>
        <v>https://www.elsevier.com/reviewers/what-is-peer-review</v>
      </c>
      <c r="S20" t="str">
        <f>IFERROR(__xludf.DUMMYFUNCTION("""COMPUTED_VALUE"""),"Not specified")</f>
        <v>Not specified</v>
      </c>
      <c r="T20" t="str">
        <f>IFERROR(__xludf.DUMMYFUNCTION("""COMPUTED_VALUE"""),"Not specified")</f>
        <v>Not specified</v>
      </c>
      <c r="U20" t="str">
        <f>IFERROR(__xludf.DUMMYFUNCTION("""COMPUTED_VALUE"""),"Not specified")</f>
        <v>Not specified</v>
      </c>
      <c r="V20" t="str">
        <f>IFERROR(__xludf.DUMMYFUNCTION("""COMPUTED_VALUE"""),"Not specified")</f>
        <v>Not specified</v>
      </c>
      <c r="W20" t="str">
        <f>IFERROR(__xludf.DUMMYFUNCTION("""COMPUTED_VALUE"""),"Not specified")</f>
        <v>Not specified</v>
      </c>
      <c r="X20" t="str">
        <f>IFERROR(__xludf.DUMMYFUNCTION("""COMPUTED_VALUE"""),"Not specified")</f>
        <v>Not specified</v>
      </c>
      <c r="Y20" t="str">
        <f>IFERROR(__xludf.DUMMYFUNCTION("""COMPUTED_VALUE"""),"Not specified")</f>
        <v>Not specified</v>
      </c>
      <c r="Z20" t="str">
        <f>IFERROR(__xludf.DUMMYFUNCTION("""COMPUTED_VALUE"""),"Not specified")</f>
        <v>Not specified</v>
      </c>
      <c r="AA20" t="str">
        <f>IFERROR(__xludf.DUMMYFUNCTION("""COMPUTED_VALUE"""),"")</f>
        <v/>
      </c>
      <c r="AB20" t="str">
        <f>IFERROR(__xludf.DUMMYFUNCTION("""COMPUTED_VALUE"""),"")</f>
        <v/>
      </c>
      <c r="AC20" t="str">
        <f>IFERROR(__xludf.DUMMYFUNCTION("""COMPUTED_VALUE"""),"")</f>
        <v/>
      </c>
      <c r="AD20" t="str">
        <f>IFERROR(__xludf.DUMMYFUNCTION("""COMPUTED_VALUE"""),"Unsure")</f>
        <v>Unsure</v>
      </c>
      <c r="AE20" t="str">
        <f>IFERROR(__xludf.DUMMYFUNCTION("""COMPUTED_VALUE"""),"Unsure")</f>
        <v>Unsure</v>
      </c>
      <c r="AF20" t="str">
        <f>IFERROR(__xludf.DUMMYFUNCTION("""COMPUTED_VALUE"""),"Unsure")</f>
        <v>Unsure</v>
      </c>
      <c r="AG20" s="78" t="str">
        <f>IFERROR(__xludf.DUMMYFUNCTION("""COMPUTED_VALUE"""),"https://www.elsevier.com/about/policies/sharing")</f>
        <v>https://www.elsevier.com/about/policies/sharing</v>
      </c>
      <c r="AH20" t="str">
        <f>IFERROR(__xludf.DUMMYFUNCTION("""COMPUTED_VALUE"""),"Any")</f>
        <v>Any</v>
      </c>
      <c r="AI20" t="str">
        <f>IFERROR(__xludf.DUMMYFUNCTION("""COMPUTED_VALUE"""),"")</f>
        <v/>
      </c>
      <c r="AJ20" t="str">
        <f>IFERROR(__xludf.DUMMYFUNCTION("""COMPUTED_VALUE"""),"Not specified")</f>
        <v>Not specified</v>
      </c>
      <c r="AK20" t="str">
        <f>IFERROR(__xludf.DUMMYFUNCTION("""COMPUTED_VALUE"""),"No")</f>
        <v>No</v>
      </c>
      <c r="AL20" t="str">
        <f>IFERROR(__xludf.DUMMYFUNCTION("""COMPUTED_VALUE"""),"")</f>
        <v/>
      </c>
      <c r="AM20" t="str">
        <f>IFERROR(__xludf.DUMMYFUNCTION("""COMPUTED_VALUE"""),"")</f>
        <v/>
      </c>
      <c r="AN20" t="str">
        <f>IFERROR(__xludf.DUMMYFUNCTION("""COMPUTED_VALUE"""),"")</f>
        <v/>
      </c>
      <c r="AO20" t="str">
        <f>IFERROR(__xludf.DUMMYFUNCTION("""COMPUTED_VALUE"""),"Not specified")</f>
        <v>Not specified</v>
      </c>
      <c r="AP20" t="str">
        <f>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 preprint-version: Any (if on arXiv or RePEc)")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v>
      </c>
      <c r="AQ20" t="str">
        <f>IFERROR(__xludf.DUMMYFUNCTION("""COMPUTED_VALUE"""),"")</f>
        <v/>
      </c>
      <c r="AR20" t="str">
        <f>IFERROR(__xludf.DUMMYFUNCTION("""COMPUTED_VALUE"""),"")</f>
        <v/>
      </c>
    </row>
    <row r="21">
      <c r="A21" t="str">
        <f>IFERROR(__xludf.DUMMYFUNCTION("""COMPUTED_VALUE"""),"SR")</f>
        <v>SR</v>
      </c>
      <c r="B21" s="34">
        <f>IFERROR(__xludf.DUMMYFUNCTION("""COMPUTED_VALUE"""),43437.0)</f>
        <v>43437</v>
      </c>
      <c r="C21" t="str">
        <f>IFERROR(__xludf.DUMMYFUNCTION("""COMPUTED_VALUE"""),"JP")</f>
        <v>JP</v>
      </c>
      <c r="D21" s="36">
        <f>IFERROR(__xludf.DUMMYFUNCTION("""COMPUTED_VALUE"""),43566.0)</f>
        <v>43566</v>
      </c>
      <c r="E21" t="str">
        <f>IFERROR(__xludf.DUMMYFUNCTION("""COMPUTED_VALUE"""),"TRH")</f>
        <v>TRH</v>
      </c>
      <c r="F21" s="36">
        <f>IFERROR(__xludf.DUMMYFUNCTION("""COMPUTED_VALUE"""),43580.0)</f>
        <v>43580</v>
      </c>
      <c r="G21" s="36" t="str">
        <f>IFERROR(__xludf.DUMMYFUNCTION("""COMPUTED_VALUE"""),"")</f>
        <v/>
      </c>
      <c r="H21" t="str">
        <f>IFERROR(__xludf.DUMMYFUNCTION("""COMPUTED_VALUE"""),"0306-2619")</f>
        <v>0306-2619</v>
      </c>
      <c r="I21" t="str">
        <f>IFERROR(__xludf.DUMMYFUNCTION("""COMPUTED_VALUE"""),"Applied Energy")</f>
        <v>Applied Energy</v>
      </c>
      <c r="J21" t="str">
        <f>IFERROR(__xludf.DUMMYFUNCTION("""COMPUTED_VALUE"""),"")</f>
        <v/>
      </c>
      <c r="K21" t="str">
        <f>IFERROR(__xludf.DUMMYFUNCTION("""COMPUTED_VALUE"""),"Elsevier")</f>
        <v>Elsevier</v>
      </c>
      <c r="L21" t="str">
        <f>IFERROR(__xludf.DUMMYFUNCTION("""COMPUTED_VALUE"""),"Single blind")</f>
        <v>Single blind</v>
      </c>
      <c r="M21" s="78" t="str">
        <f>IFERROR(__xludf.DUMMYFUNCTION("""COMPUTED_VALUE"""),"https://www.elsevier.com/journals/applied-energy/0306-2619/guide-for-authors#20910")</f>
        <v>https://www.elsevier.com/journals/applied-energy/0306-2619/guide-for-authors#20910</v>
      </c>
      <c r="N21" t="str">
        <f>IFERROR(__xludf.DUMMYFUNCTION("""COMPUTED_VALUE"""),"")</f>
        <v/>
      </c>
      <c r="O21" s="78" t="str">
        <f>IFERROR(__xludf.DUMMYFUNCTION("""COMPUTED_VALUE"""),"https://www.elsevier.com/reviewers/role#recognizing")</f>
        <v>https://www.elsevier.com/reviewers/role#recognizing</v>
      </c>
      <c r="P21" t="str">
        <f>IFERROR(__xludf.DUMMYFUNCTION("""COMPUTED_VALUE"""),"Unsure")</f>
        <v>Unsure</v>
      </c>
      <c r="Q21"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1" s="78" t="str">
        <f>IFERROR(__xludf.DUMMYFUNCTION("""COMPUTED_VALUE"""),"https://www.elsevier.com/reviewers/what-is-peer-review")</f>
        <v>https://www.elsevier.com/reviewers/what-is-peer-review</v>
      </c>
      <c r="S21" t="str">
        <f>IFERROR(__xludf.DUMMYFUNCTION("""COMPUTED_VALUE"""),"Not specified")</f>
        <v>Not specified</v>
      </c>
      <c r="T21" t="str">
        <f>IFERROR(__xludf.DUMMYFUNCTION("""COMPUTED_VALUE"""),"Not specified")</f>
        <v>Not specified</v>
      </c>
      <c r="U21" t="str">
        <f>IFERROR(__xludf.DUMMYFUNCTION("""COMPUTED_VALUE"""),"Not specified")</f>
        <v>Not specified</v>
      </c>
      <c r="V21" t="str">
        <f>IFERROR(__xludf.DUMMYFUNCTION("""COMPUTED_VALUE"""),"Not specified")</f>
        <v>Not specified</v>
      </c>
      <c r="W21" t="str">
        <f>IFERROR(__xludf.DUMMYFUNCTION("""COMPUTED_VALUE"""),"Not specified")</f>
        <v>Not specified</v>
      </c>
      <c r="X21" t="str">
        <f>IFERROR(__xludf.DUMMYFUNCTION("""COMPUTED_VALUE"""),"Not specified")</f>
        <v>Not specified</v>
      </c>
      <c r="Y21" t="str">
        <f>IFERROR(__xludf.DUMMYFUNCTION("""COMPUTED_VALUE"""),"Not specified")</f>
        <v>Not specified</v>
      </c>
      <c r="Z21" t="str">
        <f>IFERROR(__xludf.DUMMYFUNCTION("""COMPUTED_VALUE"""),"Not specified")</f>
        <v>Not specified</v>
      </c>
      <c r="AA21" t="str">
        <f>IFERROR(__xludf.DUMMYFUNCTION("""COMPUTED_VALUE"""),"")</f>
        <v/>
      </c>
      <c r="AB21" t="str">
        <f>IFERROR(__xludf.DUMMYFUNCTION("""COMPUTED_VALUE"""),"")</f>
        <v/>
      </c>
      <c r="AC21" t="str">
        <f>IFERROR(__xludf.DUMMYFUNCTION("""COMPUTED_VALUE"""),"")</f>
        <v/>
      </c>
      <c r="AD21" t="str">
        <f>IFERROR(__xludf.DUMMYFUNCTION("""COMPUTED_VALUE"""),"Unsure")</f>
        <v>Unsure</v>
      </c>
      <c r="AE21" t="str">
        <f>IFERROR(__xludf.DUMMYFUNCTION("""COMPUTED_VALUE"""),"Unsure")</f>
        <v>Unsure</v>
      </c>
      <c r="AF21" t="str">
        <f>IFERROR(__xludf.DUMMYFUNCTION("""COMPUTED_VALUE"""),"Unsure")</f>
        <v>Unsure</v>
      </c>
      <c r="AG21" s="78" t="str">
        <f>IFERROR(__xludf.DUMMYFUNCTION("""COMPUTED_VALUE"""),"https://www.elsevier.com/about/policies/sharing")</f>
        <v>https://www.elsevier.com/about/policies/sharing</v>
      </c>
      <c r="AH21" t="str">
        <f>IFERROR(__xludf.DUMMYFUNCTION("""COMPUTED_VALUE"""),"Any")</f>
        <v>Any</v>
      </c>
      <c r="AI21" t="str">
        <f>IFERROR(__xludf.DUMMYFUNCTION("""COMPUTED_VALUE"""),"")</f>
        <v/>
      </c>
      <c r="AJ21" t="str">
        <f>IFERROR(__xludf.DUMMYFUNCTION("""COMPUTED_VALUE"""),"Not specified")</f>
        <v>Not specified</v>
      </c>
      <c r="AK21" t="str">
        <f>IFERROR(__xludf.DUMMYFUNCTION("""COMPUTED_VALUE"""),"No")</f>
        <v>No</v>
      </c>
      <c r="AL21" t="str">
        <f>IFERROR(__xludf.DUMMYFUNCTION("""COMPUTED_VALUE"""),"")</f>
        <v/>
      </c>
      <c r="AM21" t="str">
        <f>IFERROR(__xludf.DUMMYFUNCTION("""COMPUTED_VALUE"""),"")</f>
        <v/>
      </c>
      <c r="AN21" t="str">
        <f>IFERROR(__xludf.DUMMYFUNCTION("""COMPUTED_VALUE"""),"")</f>
        <v/>
      </c>
      <c r="AO21" t="str">
        <f>IFERROR(__xludf.DUMMYFUNCTION("""COMPUTED_VALUE"""),"")</f>
        <v/>
      </c>
      <c r="AP21" t="str">
        <f>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v>
      </c>
      <c r="AQ21" t="str">
        <f>IFERROR(__xludf.DUMMYFUNCTION("""COMPUTED_VALUE"""),"")</f>
        <v/>
      </c>
      <c r="AR21" t="str">
        <f>IFERROR(__xludf.DUMMYFUNCTION("""COMPUTED_VALUE"""),"")</f>
        <v/>
      </c>
    </row>
    <row r="22">
      <c r="A22" t="str">
        <f>IFERROR(__xludf.DUMMYFUNCTION("""COMPUTED_VALUE"""),"SR")</f>
        <v>SR</v>
      </c>
      <c r="B22" s="34">
        <f>IFERROR(__xludf.DUMMYFUNCTION("""COMPUTED_VALUE"""),43437.0)</f>
        <v>43437</v>
      </c>
      <c r="C22" t="str">
        <f>IFERROR(__xludf.DUMMYFUNCTION("""COMPUTED_VALUE"""),"GMD")</f>
        <v>GMD</v>
      </c>
      <c r="D22" s="36">
        <f>IFERROR(__xludf.DUMMYFUNCTION("""COMPUTED_VALUE"""),43579.0)</f>
        <v>43579</v>
      </c>
      <c r="E22" t="str">
        <f>IFERROR(__xludf.DUMMYFUNCTION("""COMPUTED_VALUE"""),"JP")</f>
        <v>JP</v>
      </c>
      <c r="F22" s="36">
        <f>IFERROR(__xludf.DUMMYFUNCTION("""COMPUTED_VALUE"""),43583.0)</f>
        <v>43583</v>
      </c>
      <c r="G22" t="str">
        <f>IFERROR(__xludf.DUMMYFUNCTION("""COMPUTED_VALUE"""),"Change preprint licensing fields to reflect AOV rather than later versions, remove quotes about AM &amp; VOR, leave citation policy blank [trh - ok]")</f>
        <v>Change preprint licensing fields to reflect AOV rather than later versions, remove quotes about AM &amp; VOR, leave citation policy blank [trh - ok]</v>
      </c>
      <c r="H22" t="str">
        <f>IFERROR(__xludf.DUMMYFUNCTION("""COMPUTED_VALUE"""),"1477-450X")</f>
        <v>1477-450X</v>
      </c>
      <c r="I22" t="str">
        <f>IFERROR(__xludf.DUMMYFUNCTION("""COMPUTED_VALUE"""),"Applied Linguistics")</f>
        <v>Applied Linguistics</v>
      </c>
      <c r="J22" t="str">
        <f>IFERROR(__xludf.DUMMYFUNCTION("""COMPUTED_VALUE"""),"Humanities, Literature &amp; Arts")</f>
        <v>Humanities, Literature &amp; Arts</v>
      </c>
      <c r="K22" t="str">
        <f>IFERROR(__xludf.DUMMYFUNCTION("""COMPUTED_VALUE"""),"Oxford Academic")</f>
        <v>Oxford Academic</v>
      </c>
      <c r="L22" t="str">
        <f>IFERROR(__xludf.DUMMYFUNCTION("""COMPUTED_VALUE"""),"Double blind")</f>
        <v>Double blind</v>
      </c>
      <c r="M22" s="78" t="str">
        <f>IFERROR(__xludf.DUMMYFUNCTION("""COMPUTED_VALUE"""),"https://academic.oup.com/applij/pages/General_Instructions")</f>
        <v>https://academic.oup.com/applij/pages/General_Instructions</v>
      </c>
      <c r="N22" t="str">
        <f>IFERROR(__xludf.DUMMYFUNCTION("""COMPUTED_VALUE"""),"")</f>
        <v/>
      </c>
      <c r="O22" t="str">
        <f>IFERROR(__xludf.DUMMYFUNCTION("""COMPUTED_VALUE"""),"")</f>
        <v/>
      </c>
      <c r="P22" t="str">
        <f>IFERROR(__xludf.DUMMYFUNCTION("""COMPUTED_VALUE"""),"Unsure")</f>
        <v>Unsure</v>
      </c>
      <c r="Q22" t="str">
        <f>IFERROR(__xludf.DUMMYFUNCTION("""COMPUTED_VALUE"""),"Not specified")</f>
        <v>Not specified</v>
      </c>
      <c r="R22" t="str">
        <f>IFERROR(__xludf.DUMMYFUNCTION("""COMPUTED_VALUE"""),"")</f>
        <v/>
      </c>
      <c r="S22" t="str">
        <f>IFERROR(__xludf.DUMMYFUNCTION("""COMPUTED_VALUE"""),"No")</f>
        <v>No</v>
      </c>
      <c r="T22" t="str">
        <f>IFERROR(__xludf.DUMMYFUNCTION("""COMPUTED_VALUE"""),"Not specified")</f>
        <v>Not specified</v>
      </c>
      <c r="U22" t="str">
        <f>IFERROR(__xludf.DUMMYFUNCTION("""COMPUTED_VALUE"""),"No")</f>
        <v>No</v>
      </c>
      <c r="V22" t="str">
        <f>IFERROR(__xludf.DUMMYFUNCTION("""COMPUTED_VALUE"""),"No")</f>
        <v>No</v>
      </c>
      <c r="W22" t="str">
        <f>IFERROR(__xludf.DUMMYFUNCTION("""COMPUTED_VALUE"""),"No")</f>
        <v>No</v>
      </c>
      <c r="X22" t="str">
        <f>IFERROR(__xludf.DUMMYFUNCTION("""COMPUTED_VALUE"""),"No")</f>
        <v>No</v>
      </c>
      <c r="Y22" t="str">
        <f>IFERROR(__xludf.DUMMYFUNCTION("""COMPUTED_VALUE"""),"No")</f>
        <v>No</v>
      </c>
      <c r="Z22" t="str">
        <f>IFERROR(__xludf.DUMMYFUNCTION("""COMPUTED_VALUE"""),"Conditional")</f>
        <v>Conditional</v>
      </c>
      <c r="AA22" t="str">
        <f>IFERROR(__xludf.DUMMYFUNCTION("""COMPUTED_VALUE"""),"")</f>
        <v/>
      </c>
      <c r="AB22" t="str">
        <f>IFERROR(__xludf.DUMMYFUNCTION("""COMPUTED_VALUE"""),"Unless otherwise specified, OUP expects editors and reviewers to handle all submissions in confidence. If a reviewer wishes to delegate the review or seek the opinion of a colleague on a specific aspect of the paper, they are expected to clear this with t"&amp;"he editor in the first instance.")</f>
        <v>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v>
      </c>
      <c r="AC22" s="78" t="str">
        <f>IFERROR(__xludf.DUMMYFUNCTION("""COMPUTED_VALUE"""),"https://academic.oup.com/journals/pages/authors/ethics")</f>
        <v>https://academic.oup.com/journals/pages/authors/ethics</v>
      </c>
      <c r="AD22" t="str">
        <f>IFERROR(__xludf.DUMMYFUNCTION("""COMPUTED_VALUE"""),"Yes")</f>
        <v>Yes</v>
      </c>
      <c r="AE22" t="str">
        <f>IFERROR(__xludf.DUMMYFUNCTION("""COMPUTED_VALUE"""),"Unsure")</f>
        <v>Unsure</v>
      </c>
      <c r="AF22" t="str">
        <f>IFERROR(__xludf.DUMMYFUNCTION("""COMPUTED_VALUE"""),"Unsure")</f>
        <v>Unsure</v>
      </c>
      <c r="AG22" s="78" t="str">
        <f>IFERROR(__xludf.DUMMYFUNCTION("""COMPUTED_VALUE"""),"https://academic.oup.com/journals/pages/access_purchase/rights_and_permissions/author_self_archiving_policy")</f>
        <v>https://academic.oup.com/journals/pages/access_purchase/rights_and_permissions/author_self_archiving_policy</v>
      </c>
      <c r="AH22" t="str">
        <f>IFERROR(__xludf.DUMMYFUNCTION("""COMPUTED_VALUE"""),"Unsure (preprint can be posted)")</f>
        <v>Unsure (preprint can be posted)</v>
      </c>
      <c r="AI22" t="str">
        <f>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22" t="str">
        <f>IFERROR(__xludf.DUMMYFUNCTION("""COMPUTED_VALUE"""),"Yes, but only in the text")</f>
        <v>Yes, but only in the text</v>
      </c>
      <c r="AK22" t="str">
        <f>IFERROR(__xludf.DUMMYFUNCTION("""COMPUTED_VALUE"""),"Unsure")</f>
        <v>Unsure</v>
      </c>
      <c r="AL22" t="str">
        <f>IFERROR(__xludf.DUMMYFUNCTION("""COMPUTED_VALUE"""),"")</f>
        <v/>
      </c>
      <c r="AM22" t="str">
        <f>IFERROR(__xludf.DUMMYFUNCTION("""COMPUTED_VALUE"""),"")</f>
        <v/>
      </c>
      <c r="AN22" t="str">
        <f>IFERROR(__xludf.DUMMYFUNCTION("""COMPUTED_VALUE"""),"")</f>
        <v/>
      </c>
      <c r="AO22" t="str">
        <f>IFERROR(__xludf.DUMMYFUNCTION("""COMPUTED_VALUE"""),"")</f>
        <v/>
      </c>
      <c r="AP22" t="str">
        <f>IFERROR(__xludf.DUMMYFUNCTION("""COMPUTED_VALUE"""),"")</f>
        <v/>
      </c>
      <c r="AQ22" t="str">
        <f>IFERROR(__xludf.DUMMYFUNCTION("""COMPUTED_VALUE"""),"")</f>
        <v/>
      </c>
      <c r="AR22" t="str">
        <f>IFERROR(__xludf.DUMMYFUNCTION("""COMPUTED_VALUE"""),"")</f>
        <v/>
      </c>
    </row>
    <row r="23">
      <c r="A23" t="str">
        <f>IFERROR(__xludf.DUMMYFUNCTION("""COMPUTED_VALUE"""),"SR")</f>
        <v>SR</v>
      </c>
      <c r="B23" s="34">
        <f>IFERROR(__xludf.DUMMYFUNCTION("""COMPUTED_VALUE"""),43437.0)</f>
        <v>43437</v>
      </c>
      <c r="C23" t="str">
        <f>IFERROR(__xludf.DUMMYFUNCTION("""COMPUTED_VALUE"""),"GMD")</f>
        <v>GMD</v>
      </c>
      <c r="D23" s="36">
        <f>IFERROR(__xludf.DUMMYFUNCTION("""COMPUTED_VALUE"""),43579.0)</f>
        <v>43579</v>
      </c>
      <c r="E23" t="str">
        <f>IFERROR(__xludf.DUMMYFUNCTION("""COMPUTED_VALUE"""),"JP")</f>
        <v>JP</v>
      </c>
      <c r="F23" s="36">
        <f>IFERROR(__xludf.DUMMYFUNCTION("""COMPUTED_VALUE"""),43583.0)</f>
        <v>43583</v>
      </c>
      <c r="G23" t="str">
        <f>IFERROR(__xludf.DUMMYFUNCTION("""COMPUTED_VALUE"""),"")</f>
        <v/>
      </c>
      <c r="H23" t="str">
        <f>IFERROR(__xludf.DUMMYFUNCTION("""COMPUTED_VALUE"""),"1077-3118")</f>
        <v>1077-3118</v>
      </c>
      <c r="I23" t="str">
        <f>IFERROR(__xludf.DUMMYFUNCTION("""COMPUTED_VALUE"""),"Applied Physics Letters")</f>
        <v>Applied Physics Letters</v>
      </c>
      <c r="J23" t="str">
        <f>IFERROR(__xludf.DUMMYFUNCTION("""COMPUTED_VALUE"""),"")</f>
        <v/>
      </c>
      <c r="K23" t="str">
        <f>IFERROR(__xludf.DUMMYFUNCTION("""COMPUTED_VALUE"""),"American Institute of Physics")</f>
        <v>American Institute of Physics</v>
      </c>
      <c r="L23" t="str">
        <f>IFERROR(__xludf.DUMMYFUNCTION("""COMPUTED_VALUE"""),"Unsure")</f>
        <v>Unsure</v>
      </c>
      <c r="M23" s="78" t="str">
        <f>IFERROR(__xludf.DUMMYFUNCTION("""COMPUTED_VALUE"""),"https://aip.scitation.org/apl/info/policies")</f>
        <v>https://aip.scitation.org/apl/info/policies</v>
      </c>
      <c r="N23" t="str">
        <f>IFERROR(__xludf.DUMMYFUNCTION("""COMPUTED_VALUE"""),"")</f>
        <v/>
      </c>
      <c r="O23" t="str">
        <f>IFERROR(__xludf.DUMMYFUNCTION("""COMPUTED_VALUE"""),"")</f>
        <v/>
      </c>
      <c r="P23" t="str">
        <f>IFERROR(__xludf.DUMMYFUNCTION("""COMPUTED_VALUE"""),"Unsure")</f>
        <v>Unsure</v>
      </c>
      <c r="Q23" t="str">
        <f>IFERROR(__xludf.DUMMYFUNCTION("""COMPUTED_VALUE"""),"If your manuscript is not accepted for publication in APL, an editor may recommend a transfer to AIP Advances for immediate consideration. AIP Advances is a peer-reviewed, fully open access journal covering all areas of the physical sciences. Articles pub"&amp;"lished in the journal are always freely accessible to download without a subscription. If you choose to transfer your manuscript to AIP Advances, all reviewer reports and editor recommendations will be transferred along with the manuscript. Once transferr"&amp;"ed, your article may be published online within 14 days, depending on the initial reviewer feedback and editor’s decision. This option may save you up to eight months because you do not have to resubmit your manuscript for review. For more information abo"&amp;"ut AIP Advances, visit http://aip.scitation.org/journal/adv.")</f>
        <v>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v>
      </c>
      <c r="R23" s="78" t="str">
        <f>IFERROR(__xludf.DUMMYFUNCTION("""COMPUTED_VALUE"""),"https://aip.scitation.org/apl/info/policies")</f>
        <v>https://aip.scitation.org/apl/info/policies</v>
      </c>
      <c r="S23" t="str">
        <f>IFERROR(__xludf.DUMMYFUNCTION("""COMPUTED_VALUE"""),"Not specified")</f>
        <v>Not specified</v>
      </c>
      <c r="T23" t="str">
        <f>IFERROR(__xludf.DUMMYFUNCTION("""COMPUTED_VALUE"""),"Not specified")</f>
        <v>Not specified</v>
      </c>
      <c r="U23" t="str">
        <f>IFERROR(__xludf.DUMMYFUNCTION("""COMPUTED_VALUE"""),"Not specified")</f>
        <v>Not specified</v>
      </c>
      <c r="V23" t="str">
        <f>IFERROR(__xludf.DUMMYFUNCTION("""COMPUTED_VALUE"""),"Not specified")</f>
        <v>Not specified</v>
      </c>
      <c r="W23" t="str">
        <f>IFERROR(__xludf.DUMMYFUNCTION("""COMPUTED_VALUE"""),"Not specified")</f>
        <v>Not specified</v>
      </c>
      <c r="X23" t="str">
        <f>IFERROR(__xludf.DUMMYFUNCTION("""COMPUTED_VALUE"""),"Not specified")</f>
        <v>Not specified</v>
      </c>
      <c r="Y23" t="str">
        <f>IFERROR(__xludf.DUMMYFUNCTION("""COMPUTED_VALUE"""),"Not specified")</f>
        <v>Not specified</v>
      </c>
      <c r="Z23" t="str">
        <f>IFERROR(__xludf.DUMMYFUNCTION("""COMPUTED_VALUE"""),"Not specified")</f>
        <v>Not specified</v>
      </c>
      <c r="AA23" t="str">
        <f>IFERROR(__xludf.DUMMYFUNCTION("""COMPUTED_VALUE"""),"")</f>
        <v/>
      </c>
      <c r="AB23" t="str">
        <f>IFERROR(__xludf.DUMMYFUNCTION("""COMPUTED_VALUE"""),"Not specified")</f>
        <v>Not specified</v>
      </c>
      <c r="AC23" t="str">
        <f>IFERROR(__xludf.DUMMYFUNCTION("""COMPUTED_VALUE"""),"")</f>
        <v/>
      </c>
      <c r="AD23" t="str">
        <f>IFERROR(__xludf.DUMMYFUNCTION("""COMPUTED_VALUE"""),"Not specified")</f>
        <v>Not specified</v>
      </c>
      <c r="AE23" t="str">
        <f>IFERROR(__xludf.DUMMYFUNCTION("""COMPUTED_VALUE"""),"Not specified")</f>
        <v>Not specified</v>
      </c>
      <c r="AF23" t="str">
        <f>IFERROR(__xludf.DUMMYFUNCTION("""COMPUTED_VALUE"""),"Not specified")</f>
        <v>Not specified</v>
      </c>
      <c r="AG23" t="str">
        <f>IFERROR(__xludf.DUMMYFUNCTION("""COMPUTED_VALUE"""),"")</f>
        <v/>
      </c>
      <c r="AH23" t="str">
        <f>IFERROR(__xludf.DUMMYFUNCTION("""COMPUTED_VALUE"""),"No preprint policy")</f>
        <v>No preprint policy</v>
      </c>
      <c r="AI23" t="str">
        <f>IFERROR(__xludf.DUMMYFUNCTION("""COMPUTED_VALUE"""),"Not specified")</f>
        <v>Not specified</v>
      </c>
      <c r="AJ23" t="str">
        <f>IFERROR(__xludf.DUMMYFUNCTION("""COMPUTED_VALUE"""),"Not specified")</f>
        <v>Not specified</v>
      </c>
      <c r="AK23" t="str">
        <f>IFERROR(__xludf.DUMMYFUNCTION("""COMPUTED_VALUE"""),"Unsure")</f>
        <v>Unsure</v>
      </c>
      <c r="AL23" t="str">
        <f>IFERROR(__xludf.DUMMYFUNCTION("""COMPUTED_VALUE"""),"")</f>
        <v/>
      </c>
      <c r="AM23" t="str">
        <f>IFERROR(__xludf.DUMMYFUNCTION("""COMPUTED_VALUE"""),"")</f>
        <v/>
      </c>
      <c r="AN23" t="str">
        <f>IFERROR(__xludf.DUMMYFUNCTION("""COMPUTED_VALUE"""),"")</f>
        <v/>
      </c>
      <c r="AO23" t="str">
        <f>IFERROR(__xludf.DUMMYFUNCTION("""COMPUTED_VALUE"""),"")</f>
        <v/>
      </c>
      <c r="AP23" t="str">
        <f>IFERROR(__xludf.DUMMYFUNCTION("""COMPUTED_VALUE"""),"Applied Physics Letters is difficult to assess with respect to their peer review policies and their policies concerning pre-preint, because these terms rarely appear anywhere on the website resp. In the documents on the website. It was rather difficult to"&amp;" determine their stance on peer-review, then.")</f>
        <v>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v>
      </c>
      <c r="AQ23" t="str">
        <f>IFERROR(__xludf.DUMMYFUNCTION("""COMPUTED_VALUE"""),"45 mins")</f>
        <v>45 mins</v>
      </c>
      <c r="AR23" t="str">
        <f>IFERROR(__xludf.DUMMYFUNCTION("""COMPUTED_VALUE"""),"")</f>
        <v/>
      </c>
    </row>
    <row r="24">
      <c r="A24" t="str">
        <f>IFERROR(__xludf.DUMMYFUNCTION("""COMPUTED_VALUE"""),"SR")</f>
        <v>SR</v>
      </c>
      <c r="B24" s="34">
        <f>IFERROR(__xludf.DUMMYFUNCTION("""COMPUTED_VALUE"""),43437.0)</f>
        <v>43437</v>
      </c>
      <c r="C24" t="str">
        <f>IFERROR(__xludf.DUMMYFUNCTION("""COMPUTED_VALUE"""),"GMD")</f>
        <v>GMD</v>
      </c>
      <c r="D24" s="36">
        <f>IFERROR(__xludf.DUMMYFUNCTION("""COMPUTED_VALUE"""),43579.0)</f>
        <v>43579</v>
      </c>
      <c r="E24" t="str">
        <f>IFERROR(__xludf.DUMMYFUNCTION("""COMPUTED_VALUE"""),"JP")</f>
        <v>JP</v>
      </c>
      <c r="F24" s="36">
        <f>IFERROR(__xludf.DUMMYFUNCTION("""COMPUTED_VALUE"""),43583.0)</f>
        <v>43583</v>
      </c>
      <c r="G24" t="str">
        <f>IFERROR(__xludf.DUMMYFUNCTION("""COMPUTED_VALUE"""),"I also could not find a peer review policy URL")</f>
        <v>I also could not find a peer review policy URL</v>
      </c>
      <c r="H24" t="str">
        <f>IFERROR(__xludf.DUMMYFUNCTION("""COMPUTED_VALUE"""),"1432-0746")</f>
        <v>1432-0746</v>
      </c>
      <c r="I24" t="str">
        <f>IFERROR(__xludf.DUMMYFUNCTION("""COMPUTED_VALUE"""),"Astronomy &amp; Astrophysics")</f>
        <v>Astronomy &amp; Astrophysics</v>
      </c>
      <c r="J24" t="str">
        <f>IFERROR(__xludf.DUMMYFUNCTION("""COMPUTED_VALUE"""),"Physics &amp; Mathematics")</f>
        <v>Physics &amp; Mathematics</v>
      </c>
      <c r="K24" t="str">
        <f>IFERROR(__xludf.DUMMYFUNCTION("""COMPUTED_VALUE"""),"EDP Sciences")</f>
        <v>EDP Sciences</v>
      </c>
      <c r="L24" t="str">
        <f>IFERROR(__xludf.DUMMYFUNCTION("""COMPUTED_VALUE"""),"Unsure")</f>
        <v>Unsure</v>
      </c>
      <c r="M24" t="str">
        <f>IFERROR(__xludf.DUMMYFUNCTION("""COMPUTED_VALUE"""),"https://www.aanda.org/doc_journal/instructions/aadoc.pdf (p 16)")</f>
        <v>https://www.aanda.org/doc_journal/instructions/aadoc.pdf (p 16)</v>
      </c>
      <c r="N24" t="str">
        <f>IFERROR(__xludf.DUMMYFUNCTION("""COMPUTED_VALUE"""),"")</f>
        <v/>
      </c>
      <c r="O24" t="str">
        <f>IFERROR(__xludf.DUMMYFUNCTION("""COMPUTED_VALUE"""),"")</f>
        <v/>
      </c>
      <c r="P24" t="str">
        <f>IFERROR(__xludf.DUMMYFUNCTION("""COMPUTED_VALUE"""),"Unsure")</f>
        <v>Unsure</v>
      </c>
      <c r="Q24" t="str">
        <f>IFERROR(__xludf.DUMMYFUNCTION("""COMPUTED_VALUE"""),"Not specified")</f>
        <v>Not specified</v>
      </c>
      <c r="R24" t="str">
        <f>IFERROR(__xludf.DUMMYFUNCTION("""COMPUTED_VALUE"""),"")</f>
        <v/>
      </c>
      <c r="S24" t="str">
        <f>IFERROR(__xludf.DUMMYFUNCTION("""COMPUTED_VALUE"""),"Not specified")</f>
        <v>Not specified</v>
      </c>
      <c r="T24" t="str">
        <f>IFERROR(__xludf.DUMMYFUNCTION("""COMPUTED_VALUE"""),"Not specified")</f>
        <v>Not specified</v>
      </c>
      <c r="U24" t="str">
        <f>IFERROR(__xludf.DUMMYFUNCTION("""COMPUTED_VALUE"""),"Not specified")</f>
        <v>Not specified</v>
      </c>
      <c r="V24" t="str">
        <f>IFERROR(__xludf.DUMMYFUNCTION("""COMPUTED_VALUE"""),"Not specified")</f>
        <v>Not specified</v>
      </c>
      <c r="W24" t="str">
        <f>IFERROR(__xludf.DUMMYFUNCTION("""COMPUTED_VALUE"""),"Not specified")</f>
        <v>Not specified</v>
      </c>
      <c r="X24" t="str">
        <f>IFERROR(__xludf.DUMMYFUNCTION("""COMPUTED_VALUE"""),"Not specified")</f>
        <v>Not specified</v>
      </c>
      <c r="Y24" t="str">
        <f>IFERROR(__xludf.DUMMYFUNCTION("""COMPUTED_VALUE"""),"Not specified")</f>
        <v>Not specified</v>
      </c>
      <c r="Z24" t="str">
        <f>IFERROR(__xludf.DUMMYFUNCTION("""COMPUTED_VALUE"""),"Not specified")</f>
        <v>Not specified</v>
      </c>
      <c r="AA24" t="str">
        <f>IFERROR(__xludf.DUMMYFUNCTION("""COMPUTED_VALUE"""),"")</f>
        <v/>
      </c>
      <c r="AB24" t="str">
        <f>IFERROR(__xludf.DUMMYFUNCTION("""COMPUTED_VALUE"""),"Not specified")</f>
        <v>Not specified</v>
      </c>
      <c r="AC24" t="str">
        <f>IFERROR(__xludf.DUMMYFUNCTION("""COMPUTED_VALUE"""),"")</f>
        <v/>
      </c>
      <c r="AD24" t="str">
        <f>IFERROR(__xludf.DUMMYFUNCTION("""COMPUTED_VALUE"""),"Not specified")</f>
        <v>Not specified</v>
      </c>
      <c r="AE24" t="str">
        <f>IFERROR(__xludf.DUMMYFUNCTION("""COMPUTED_VALUE"""),"Not specified")</f>
        <v>Not specified</v>
      </c>
      <c r="AF24" t="str">
        <f>IFERROR(__xludf.DUMMYFUNCTION("""COMPUTED_VALUE"""),"Not specified")</f>
        <v>Not specified</v>
      </c>
      <c r="AG24" s="78" t="str">
        <f>IFERROR(__xludf.DUMMYFUNCTION("""COMPUTED_VALUE"""),"https://www.aanda.org/author-information")</f>
        <v>https://www.aanda.org/author-information</v>
      </c>
      <c r="AH24" t="str">
        <f>IFERROR(__xludf.DUMMYFUNCTION("""COMPUTED_VALUE"""),"Unsure")</f>
        <v>Unsure</v>
      </c>
      <c r="AI24" t="str">
        <f>IFERROR(__xludf.DUMMYFUNCTION("""COMPUTED_VALUE"""),"Not specified")</f>
        <v>Not specified</v>
      </c>
      <c r="AJ24" t="str">
        <f>IFERROR(__xludf.DUMMYFUNCTION("""COMPUTED_VALUE"""),"Not specified")</f>
        <v>Not specified</v>
      </c>
      <c r="AK24" t="str">
        <f>IFERROR(__xludf.DUMMYFUNCTION("""COMPUTED_VALUE"""),"Unsure")</f>
        <v>Unsure</v>
      </c>
      <c r="AL24" t="str">
        <f>IFERROR(__xludf.DUMMYFUNCTION("""COMPUTED_VALUE"""),"")</f>
        <v/>
      </c>
      <c r="AM24" t="str">
        <f>IFERROR(__xludf.DUMMYFUNCTION("""COMPUTED_VALUE"""),"")</f>
        <v/>
      </c>
      <c r="AN24" t="str">
        <f>IFERROR(__xludf.DUMMYFUNCTION("""COMPUTED_VALUE"""),"")</f>
        <v/>
      </c>
      <c r="AO24" t="str">
        <f>IFERROR(__xludf.DUMMYFUNCTION("""COMPUTED_VALUE"""),"")</f>
        <v/>
      </c>
      <c r="AP24" t="str">
        <f>IFERROR(__xludf.DUMMYFUNCTION("""COMPUTED_VALUE"""),"Astronomy &amp; Astrophysics is extremely difficult to assess with respect to their peer review policies as the term ""peer review"" does not pop up on their website once. Interestingly, while not providing information on the peer review process as such, the "&amp;"website offers information on the kinds of pre-print servers the journal allows (which is rarely the case based on previous experience).")</f>
        <v>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v>
      </c>
      <c r="AQ24" t="str">
        <f>IFERROR(__xludf.DUMMYFUNCTION("""COMPUTED_VALUE"""),"30 mins")</f>
        <v>30 mins</v>
      </c>
      <c r="AR24" t="str">
        <f>IFERROR(__xludf.DUMMYFUNCTION("""COMPUTED_VALUE"""),"Policy on peer review is unclear - appears to be peer-reviewed by Associate Editors of the journal as described on p16 of https://www.aanda.org/doc_journal/instructions/aadoc.pdf ")</f>
        <v>Policy on peer review is unclear - appears to be peer-reviewed by Associate Editors of the journal as described on p16 of https://www.aanda.org/doc_journal/instructions/aadoc.pdf </v>
      </c>
    </row>
    <row r="25">
      <c r="A25" t="str">
        <f>IFERROR(__xludf.DUMMYFUNCTION("""COMPUTED_VALUE"""),"SR")</f>
        <v>SR</v>
      </c>
      <c r="B25" s="34">
        <f>IFERROR(__xludf.DUMMYFUNCTION("""COMPUTED_VALUE"""),43437.0)</f>
        <v>43437</v>
      </c>
      <c r="C25" t="str">
        <f>IFERROR(__xludf.DUMMYFUNCTION("""COMPUTED_VALUE"""),"GMD")</f>
        <v>GMD</v>
      </c>
      <c r="D25" s="36">
        <f>IFERROR(__xludf.DUMMYFUNCTION("""COMPUTED_VALUE"""),43579.0)</f>
        <v>43579</v>
      </c>
      <c r="E25" t="str">
        <f>IFERROR(__xludf.DUMMYFUNCTION("""COMPUTED_VALUE"""),"JP")</f>
        <v>JP</v>
      </c>
      <c r="F25" s="36">
        <f>IFERROR(__xludf.DUMMYFUNCTION("""COMPUTED_VALUE"""),43583.0)</f>
        <v>43583</v>
      </c>
      <c r="G25" t="str">
        <f>IFERROR(__xludf.DUMMYFUNCTION("""COMPUTED_VALUE"""),"Corrected preprint policy (leaving most fields blank) - may wish to compare with other standard Elsevier policies [trh - ok]")</f>
        <v>Corrected preprint policy (leaving most fields blank) - may wish to compare with other standard Elsevier policies [trh - ok]</v>
      </c>
      <c r="H25" t="str">
        <f>IFERROR(__xludf.DUMMYFUNCTION("""COMPUTED_VALUE"""),"0142-9612")</f>
        <v>0142-9612</v>
      </c>
      <c r="I25" t="str">
        <f>IFERROR(__xludf.DUMMYFUNCTION("""COMPUTED_VALUE"""),"Biomaterials")</f>
        <v>Biomaterials</v>
      </c>
      <c r="J25" t="str">
        <f>IFERROR(__xludf.DUMMYFUNCTION("""COMPUTED_VALUE"""),"")</f>
        <v/>
      </c>
      <c r="K25" t="str">
        <f>IFERROR(__xludf.DUMMYFUNCTION("""COMPUTED_VALUE"""),"Elsevier")</f>
        <v>Elsevier</v>
      </c>
      <c r="L25" t="str">
        <f>IFERROR(__xludf.DUMMYFUNCTION("""COMPUTED_VALUE"""),"Single blind")</f>
        <v>Single blind</v>
      </c>
      <c r="M25" s="78" t="str">
        <f>IFERROR(__xludf.DUMMYFUNCTION("""COMPUTED_VALUE"""),"https://www.elsevier.com/journals/biomaterials/0142-9612?generatepdf=true")</f>
        <v>https://www.elsevier.com/journals/biomaterials/0142-9612?generatepdf=true</v>
      </c>
      <c r="N25" t="str">
        <f>IFERROR(__xludf.DUMMYFUNCTION("""COMPUTED_VALUE"""),"")</f>
        <v/>
      </c>
      <c r="O25" s="78" t="str">
        <f>IFERROR(__xludf.DUMMYFUNCTION("""COMPUTED_VALUE"""),"https://www.elsevier.com/reviewers/role#recognizing")</f>
        <v>https://www.elsevier.com/reviewers/role#recognizing</v>
      </c>
      <c r="P25" t="str">
        <f>IFERROR(__xludf.DUMMYFUNCTION("""COMPUTED_VALUE"""),"Yes")</f>
        <v>Yes</v>
      </c>
      <c r="Q25"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5" s="78" t="str">
        <f>IFERROR(__xludf.DUMMYFUNCTION("""COMPUTED_VALUE"""),"https://www.elsevier.com/reviewers/what-is-peer-review")</f>
        <v>https://www.elsevier.com/reviewers/what-is-peer-review</v>
      </c>
      <c r="S25" t="str">
        <f>IFERROR(__xludf.DUMMYFUNCTION("""COMPUTED_VALUE"""),"No")</f>
        <v>No</v>
      </c>
      <c r="T25" t="str">
        <f>IFERROR(__xludf.DUMMYFUNCTION("""COMPUTED_VALUE"""),"No")</f>
        <v>No</v>
      </c>
      <c r="U25" t="str">
        <f>IFERROR(__xludf.DUMMYFUNCTION("""COMPUTED_VALUE"""),"No")</f>
        <v>No</v>
      </c>
      <c r="V25" t="str">
        <f>IFERROR(__xludf.DUMMYFUNCTION("""COMPUTED_VALUE"""),"No")</f>
        <v>No</v>
      </c>
      <c r="W25" t="str">
        <f>IFERROR(__xludf.DUMMYFUNCTION("""COMPUTED_VALUE"""),"No")</f>
        <v>No</v>
      </c>
      <c r="X25" t="str">
        <f>IFERROR(__xludf.DUMMYFUNCTION("""COMPUTED_VALUE"""),"No")</f>
        <v>No</v>
      </c>
      <c r="Y25" t="str">
        <f>IFERROR(__xludf.DUMMYFUNCTION("""COMPUTED_VALUE"""),"No")</f>
        <v>No</v>
      </c>
      <c r="Z25" t="str">
        <f>IFERROR(__xludf.DUMMYFUNCTION("""COMPUTED_VALUE"""),"No")</f>
        <v>No</v>
      </c>
      <c r="AA25" t="str">
        <f>IFERROR(__xludf.DUMMYFUNCTION("""COMPUTED_VALUE"""),"")</f>
        <v/>
      </c>
      <c r="AB25"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25" s="78" t="str">
        <f>IFERROR(__xludf.DUMMYFUNCTION("""COMPUTED_VALUE"""),"https://www.elsevier.com/reviewers/how-to-review")</f>
        <v>https://www.elsevier.com/reviewers/how-to-review</v>
      </c>
      <c r="AD25" t="str">
        <f>IFERROR(__xludf.DUMMYFUNCTION("""COMPUTED_VALUE"""),"Unsure")</f>
        <v>Unsure</v>
      </c>
      <c r="AE25" t="str">
        <f>IFERROR(__xludf.DUMMYFUNCTION("""COMPUTED_VALUE"""),"Unsure")</f>
        <v>Unsure</v>
      </c>
      <c r="AF25" t="str">
        <f>IFERROR(__xludf.DUMMYFUNCTION("""COMPUTED_VALUE"""),"Unsure")</f>
        <v>Unsure</v>
      </c>
      <c r="AG25" t="str">
        <f>IFERROR(__xludf.DUMMYFUNCTION("""COMPUTED_VALUE"""),"https://www.elsevier.com/authors/journal-authors/policies-and-ethics
https://www.elsevier.com/about/policies/sharing#preprint
https://www.elsevier.com/journals/biomaterials/0142-9612?generatepdf=true")</f>
        <v>https://www.elsevier.com/authors/journal-authors/policies-and-ethics
https://www.elsevier.com/about/policies/sharing#preprint
https://www.elsevier.com/journals/biomaterials/0142-9612?generatepdf=true</v>
      </c>
      <c r="AH25" t="str">
        <f>IFERROR(__xludf.DUMMYFUNCTION("""COMPUTED_VALUE"""),"Any (arXiv &amp; RePEc)")</f>
        <v>Any (arXiv &amp; RePEc)</v>
      </c>
      <c r="AI25" t="str">
        <f>IFERROR(__xludf.DUMMYFUNCTION("""COMPUTED_VALUE"""),"Authors can share their preprint anywhere at any time.")</f>
        <v>Authors can share their preprint anywhere at any time.</v>
      </c>
      <c r="AJ25" t="str">
        <f>IFERROR(__xludf.DUMMYFUNCTION("""COMPUTED_VALUE"""),"Not specified")</f>
        <v>Not specified</v>
      </c>
      <c r="AK25" t="str">
        <f>IFERROR(__xludf.DUMMYFUNCTION("""COMPUTED_VALUE"""),"No")</f>
        <v>No</v>
      </c>
      <c r="AL25" t="str">
        <f>IFERROR(__xludf.DUMMYFUNCTION("""COMPUTED_VALUE"""),"")</f>
        <v/>
      </c>
      <c r="AM25" t="str">
        <f>IFERROR(__xludf.DUMMYFUNCTION("""COMPUTED_VALUE"""),"")</f>
        <v/>
      </c>
      <c r="AN25" t="str">
        <f>IFERROR(__xludf.DUMMYFUNCTION("""COMPUTED_VALUE"""),"")</f>
        <v/>
      </c>
      <c r="AO25" t="str">
        <f>IFERROR(__xludf.DUMMYFUNCTION("""COMPUTED_VALUE"""),"")</f>
        <v/>
      </c>
      <c r="AP25" t="str">
        <f>IFERROR(__xludf.DUMMYFUNCTION("""COMPUTED_VALUE"""),"")</f>
        <v/>
      </c>
      <c r="AQ25" t="str">
        <f>IFERROR(__xludf.DUMMYFUNCTION("""COMPUTED_VALUE"""),"")</f>
        <v/>
      </c>
      <c r="AR25" t="str">
        <f>IFERROR(__xludf.DUMMYFUNCTION("""COMPUTED_VALUE"""),"")</f>
        <v/>
      </c>
    </row>
    <row r="26">
      <c r="A26" t="str">
        <f>IFERROR(__xludf.DUMMYFUNCTION("""COMPUTED_VALUE"""),"SR")</f>
        <v>SR</v>
      </c>
      <c r="B26" s="34">
        <f>IFERROR(__xludf.DUMMYFUNCTION("""COMPUTED_VALUE"""),43437.0)</f>
        <v>43437</v>
      </c>
      <c r="C26" t="str">
        <f>IFERROR(__xludf.DUMMYFUNCTION("""COMPUTED_VALUE"""),"GMD")</f>
        <v>GMD</v>
      </c>
      <c r="D26" s="36">
        <f>IFERROR(__xludf.DUMMYFUNCTION("""COMPUTED_VALUE"""),43579.0)</f>
        <v>43579</v>
      </c>
      <c r="E26" t="str">
        <f>IFERROR(__xludf.DUMMYFUNCTION("""COMPUTED_VALUE"""),"JP")</f>
        <v>JP</v>
      </c>
      <c r="F26" s="36">
        <f>IFERROR(__xludf.DUMMYFUNCTION("""COMPUTED_VALUE"""),43583.0)</f>
        <v>43583</v>
      </c>
      <c r="G26" t="str">
        <f>IFERROR(__xludf.DUMMYFUNCTION("""COMPUTED_VALUE"""),"Corrected co-reviewer policy and added preprint policy info")</f>
        <v>Corrected co-reviewer policy and added preprint policy info</v>
      </c>
      <c r="H26" t="str">
        <f>IFERROR(__xludf.DUMMYFUNCTION("""COMPUTED_VALUE"""),"1528-0020")</f>
        <v>1528-0020</v>
      </c>
      <c r="I26" t="str">
        <f>IFERROR(__xludf.DUMMYFUNCTION("""COMPUTED_VALUE"""),"Blood")</f>
        <v>Blood</v>
      </c>
      <c r="J26" t="str">
        <f>IFERROR(__xludf.DUMMYFUNCTION("""COMPUTED_VALUE"""),"Health &amp; Medical Sciences")</f>
        <v>Health &amp; Medical Sciences</v>
      </c>
      <c r="K26" t="str">
        <f>IFERROR(__xludf.DUMMYFUNCTION("""COMPUTED_VALUE"""),"")</f>
        <v/>
      </c>
      <c r="L26" t="str">
        <f>IFERROR(__xludf.DUMMYFUNCTION("""COMPUTED_VALUE"""),"Single blind")</f>
        <v>Single blind</v>
      </c>
      <c r="M26" s="78" t="str">
        <f>IFERROR(__xludf.DUMMYFUNCTION("""COMPUTED_VALUE"""),"http://www.bloodjournal.org/page/authors/author-guide/peer-review        ")</f>
        <v>http://www.bloodjournal.org/page/authors/author-guide/peer-review        </v>
      </c>
      <c r="N26" t="str">
        <f>IFERROR(__xludf.DUMMYFUNCTION("""COMPUTED_VALUE"""),"")</f>
        <v/>
      </c>
      <c r="O26" s="78" t="str">
        <f>IFERROR(__xludf.DUMMYFUNCTION("""COMPUTED_VALUE"""),"http://www.bloodjournal.org/page/authors/author-guide/peer-review")</f>
        <v>http://www.bloodjournal.org/page/authors/author-guide/peer-review</v>
      </c>
      <c r="P26" t="str">
        <f>IFERROR(__xludf.DUMMYFUNCTION("""COMPUTED_VALUE"""),"No")</f>
        <v>No</v>
      </c>
      <c r="Q26" t="str">
        <f>IFERROR(__xludf.DUMMYFUNCTION("""COMPUTED_VALUE"""),"Not specified")</f>
        <v>Not specified</v>
      </c>
      <c r="R26" t="str">
        <f>IFERROR(__xludf.DUMMYFUNCTION("""COMPUTED_VALUE"""),"")</f>
        <v/>
      </c>
      <c r="S26" t="str">
        <f>IFERROR(__xludf.DUMMYFUNCTION("""COMPUTED_VALUE"""),"Not specified")</f>
        <v>Not specified</v>
      </c>
      <c r="T26" t="str">
        <f>IFERROR(__xludf.DUMMYFUNCTION("""COMPUTED_VALUE"""),"Not specified")</f>
        <v>Not specified</v>
      </c>
      <c r="U26" t="str">
        <f>IFERROR(__xludf.DUMMYFUNCTION("""COMPUTED_VALUE"""),"Not specified")</f>
        <v>Not specified</v>
      </c>
      <c r="V26" t="str">
        <f>IFERROR(__xludf.DUMMYFUNCTION("""COMPUTED_VALUE"""),"Not specified")</f>
        <v>Not specified</v>
      </c>
      <c r="W26" t="str">
        <f>IFERROR(__xludf.DUMMYFUNCTION("""COMPUTED_VALUE"""),"Not specified")</f>
        <v>Not specified</v>
      </c>
      <c r="X26" t="str">
        <f>IFERROR(__xludf.DUMMYFUNCTION("""COMPUTED_VALUE"""),"Not specified")</f>
        <v>Not specified</v>
      </c>
      <c r="Y26" t="str">
        <f>IFERROR(__xludf.DUMMYFUNCTION("""COMPUTED_VALUE"""),"Not specified")</f>
        <v>Not specified</v>
      </c>
      <c r="Z26" t="str">
        <f>IFERROR(__xludf.DUMMYFUNCTION("""COMPUTED_VALUE"""),"Not specified")</f>
        <v>Not specified</v>
      </c>
      <c r="AA26" t="str">
        <f>IFERROR(__xludf.DUMMYFUNCTION("""COMPUTED_VALUE"""),"")</f>
        <v/>
      </c>
      <c r="AB26" t="str">
        <f>IFERROR(__xludf.DUMMYFUNCTION("""COMPUTED_VALUE"""),"Please note that all information regarding a submitted paper should be kept confidential.")</f>
        <v>Please note that all information regarding a submitted paper should be kept confidential.</v>
      </c>
      <c r="AC26" s="78" t="str">
        <f>IFERROR(__xludf.DUMMYFUNCTION("""COMPUTED_VALUE"""),"http://www.bloodjournal.org/page/authors/author-guide/peer-review")</f>
        <v>http://www.bloodjournal.org/page/authors/author-guide/peer-review</v>
      </c>
      <c r="AD26" t="str">
        <f>IFERROR(__xludf.DUMMYFUNCTION("""COMPUTED_VALUE"""),"No")</f>
        <v>No</v>
      </c>
      <c r="AE26" t="str">
        <f>IFERROR(__xludf.DUMMYFUNCTION("""COMPUTED_VALUE"""),"Unsure")</f>
        <v>Unsure</v>
      </c>
      <c r="AF26" t="str">
        <f>IFERROR(__xludf.DUMMYFUNCTION("""COMPUTED_VALUE"""),"Unsure")</f>
        <v>Unsure</v>
      </c>
      <c r="AG26" s="78" t="str">
        <f>IFERROR(__xludf.DUMMYFUNCTION("""COMPUTED_VALUE"""),"http://www.bloodjournal.org/page/authors/author-guide/Editorial-policies-for-authors")</f>
        <v>http://www.bloodjournal.org/page/authors/author-guide/Editorial-policies-for-authors</v>
      </c>
      <c r="AH26" t="str">
        <f>IFERROR(__xludf.DUMMYFUNCTION("""COMPUTED_VALUE"""),"First submission only (before peer review)")</f>
        <v>First submission only (before peer review)</v>
      </c>
      <c r="AI26" t="str">
        <f>IFERROR(__xludf.DUMMYFUNCTION("""COMPUTED_VALUE"""),"Public release of the manuscript as a preprint before or during submission is allowed under these provisions:
Authors must retain copyright for the manuscript so that it may be transferred to the American Society of Hematology if the manuscript is accept"&amp;"ed, per the journal’s copyright policy.
The preprint cannot be updated while the manuscript is under review and cannot be updated if it is accepted for publication in Blood.
The publication of the manuscript as a preprint, as well as public comments or co"&amp;"verage about that preprint, will be considered in the evaluation of the manuscript's impact.
Publication of any related preprints must be noted in the cover letter for the submission and PDFs of those preprints must be included in the submission as supple"&amp;"mental files.
Because of the potential impact on patient care, preprints of a clinical nature are discouraged but will be considered.")</f>
        <v>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v>
      </c>
      <c r="AJ26" t="str">
        <f>IFERROR(__xludf.DUMMYFUNCTION("""COMPUTED_VALUE"""),"Not specified")</f>
        <v>Not specified</v>
      </c>
      <c r="AK26" t="str">
        <f>IFERROR(__xludf.DUMMYFUNCTION("""COMPUTED_VALUE"""),"Unsure")</f>
        <v>Unsure</v>
      </c>
      <c r="AL26" t="str">
        <f>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M26" t="str">
        <f>IFERROR(__xludf.DUMMYFUNCTION("""COMPUTED_VALUE"""),"")</f>
        <v/>
      </c>
      <c r="AN26" t="str">
        <f>IFERROR(__xludf.DUMMYFUNCTION("""COMPUTED_VALUE"""),"")</f>
        <v/>
      </c>
      <c r="AO26" t="str">
        <f>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P26" t="str">
        <f>IFERROR(__xludf.DUMMYFUNCTION("""COMPUTED_VALUE"""),"")</f>
        <v/>
      </c>
      <c r="AQ26" t="str">
        <f>IFERROR(__xludf.DUMMYFUNCTION("""COMPUTED_VALUE"""),"")</f>
        <v/>
      </c>
      <c r="AR26" t="str">
        <f>IFERROR(__xludf.DUMMYFUNCTION("""COMPUTED_VALUE"""),"")</f>
        <v/>
      </c>
    </row>
    <row r="27">
      <c r="A27" s="32" t="str">
        <f>IFERROR(__xludf.DUMMYFUNCTION("""COMPUTED_VALUE"""),"NP")</f>
        <v>NP</v>
      </c>
      <c r="B27" s="36">
        <f>IFERROR(__xludf.DUMMYFUNCTION("""COMPUTED_VALUE"""),43483.0)</f>
        <v>43483</v>
      </c>
      <c r="C27" t="str">
        <f>IFERROR(__xludf.DUMMYFUNCTION("""COMPUTED_VALUE"""),"TRH")</f>
        <v>TRH</v>
      </c>
      <c r="D27" s="36">
        <f>IFERROR(__xludf.DUMMYFUNCTION("""COMPUTED_VALUE"""),43575.0)</f>
        <v>43575</v>
      </c>
      <c r="E27" t="str">
        <f>IFERROR(__xludf.DUMMYFUNCTION("""COMPUTED_VALUE"""),"JP")</f>
        <v>JP</v>
      </c>
      <c r="F27" s="36">
        <f>IFERROR(__xludf.DUMMYFUNCTION("""COMPUTED_VALUE"""),43581.0)</f>
        <v>43581</v>
      </c>
      <c r="G27" t="str">
        <f>IFERROR(__xludf.DUMMYFUNCTION("""COMPUTED_VALUE"""),"")</f>
        <v/>
      </c>
      <c r="H27" t="str">
        <f>IFERROR(__xludf.DUMMYFUNCTION("""COMPUTED_VALUE"""),"1756-1833")</f>
        <v>1756-1833</v>
      </c>
      <c r="I27" t="str">
        <f>IFERROR(__xludf.DUMMYFUNCTION("""COMPUTED_VALUE"""),"BMJ")</f>
        <v>BMJ</v>
      </c>
      <c r="J27" t="str">
        <f>IFERROR(__xludf.DUMMYFUNCTION("""COMPUTED_VALUE"""),"Health &amp; Medical Sciences")</f>
        <v>Health &amp; Medical Sciences</v>
      </c>
      <c r="K27" t="str">
        <f>IFERROR(__xludf.DUMMYFUNCTION("""COMPUTED_VALUE"""),"British Medical Association")</f>
        <v>British Medical Association</v>
      </c>
      <c r="L27" t="str">
        <f>IFERROR(__xludf.DUMMYFUNCTION("""COMPUTED_VALUE"""),"Not blinded")</f>
        <v>Not blinded</v>
      </c>
      <c r="M27" s="78" t="str">
        <f>IFERROR(__xludf.DUMMYFUNCTION("""COMPUTED_VALUE"""),"https://www.bmj.com/about-bmj/resources-reviewers")</f>
        <v>https://www.bmj.com/about-bmj/resources-reviewers</v>
      </c>
      <c r="N27" t="str">
        <f>IFERROR(__xludf.DUMMYFUNCTION("""COMPUTED_VALUE"""),"")</f>
        <v/>
      </c>
      <c r="O27" s="78" t="str">
        <f>IFERROR(__xludf.DUMMYFUNCTION("""COMPUTED_VALUE"""),"https://authors.bmj.com/for-reviewers/reviewer-recognition/")</f>
        <v>https://authors.bmj.com/for-reviewers/reviewer-recognition/</v>
      </c>
      <c r="P27" t="str">
        <f>IFERROR(__xludf.DUMMYFUNCTION("""COMPUTED_VALUE"""),"Unsure")</f>
        <v>Unsure</v>
      </c>
      <c r="Q27" s="78" t="str">
        <f>IFERROR(__xludf.DUMMYFUNCTION("""COMPUTED_VALUE"""),"Internal transfer: “Authors are given the option of nominating other journals from BMJ to which they would like their manuscript passed if it is rejected for publication by their first choice. This may result in the paper being resubmitted to other journa"&amp;"ls from BMJ in succession. If the author of the manuscript you reviewed has taken up this option, your review will be passed on to the editor(s) of the nominated journal(s) along with the manuscript and you might be invited to review a revised version. If"&amp;" the article is selected for publication in another journal from BMJ, your review may also be published (depending on the editorial policy of the journal in question). You will be contacted for your permission before this happens.” — https://authors.bmj.c"&amp;"om/policies/peer-review-terms-and-conditions/ &amp; External transfer: “For rejected research papers, we expect that authors will keep the identity and comments of peer reviewers confidential. They may, however, share the peer review comments (though not peer"&amp;" reviewer names) in confidence with other journals. — https://www.bmj.com/about-bmj/publishing-model")</f>
        <v>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v>
      </c>
      <c r="R27" s="78" t="str">
        <f>IFERROR(__xludf.DUMMYFUNCTION("""COMPUTED_VALUE"""),"https://authors.bmj.com/policies/peer-review-terms-and-conditions/")</f>
        <v>https://authors.bmj.com/policies/peer-review-terms-and-conditions/</v>
      </c>
      <c r="S27" t="str">
        <f>IFERROR(__xludf.DUMMYFUNCTION("""COMPUTED_VALUE"""),"Conditional; Free to read (not paywalled)")</f>
        <v>Conditional; Free to read (not paywalled)</v>
      </c>
      <c r="T27" t="str">
        <f>IFERROR(__xludf.DUMMYFUNCTION("""COMPUTED_VALUE"""),"Conditional; Free to read (not paywalled)")</f>
        <v>Conditional; Free to read (not paywalled)</v>
      </c>
      <c r="U27" t="str">
        <f>IFERROR(__xludf.DUMMYFUNCTION("""COMPUTED_VALUE"""),"Conditional; Free to read (not paywalled)")</f>
        <v>Conditional; Free to read (not paywalled)</v>
      </c>
      <c r="V27" t="str">
        <f>IFERROR(__xludf.DUMMYFUNCTION("""COMPUTED_VALUE"""),"Conditional; Free to read (not paywalled)")</f>
        <v>Conditional; Free to read (not paywalled)</v>
      </c>
      <c r="W27" t="str">
        <f>IFERROR(__xludf.DUMMYFUNCTION("""COMPUTED_VALUE"""),"Conditional; Free to read (not paywalled)")</f>
        <v>Conditional; Free to read (not paywalled)</v>
      </c>
      <c r="X27" t="str">
        <f>IFERROR(__xludf.DUMMYFUNCTION("""COMPUTED_VALUE"""),"Mandatory")</f>
        <v>Mandatory</v>
      </c>
      <c r="Y27" t="str">
        <f>IFERROR(__xludf.DUMMYFUNCTION("""COMPUTED_VALUE"""),"No")</f>
        <v>No</v>
      </c>
      <c r="Z27" t="str">
        <f>IFERROR(__xludf.DUMMYFUNCTION("""COMPUTED_VALUE"""),"No")</f>
        <v>No</v>
      </c>
      <c r="AA27" s="78" t="str">
        <f>IFERROR(__xludf.DUMMYFUNCTION("""COMPUTED_VALUE"""),"Further peer review policies found at https://authors.bmj.com/policies/peer-review-terms-and-conditions/; “Reviewers for The BMJ agree to have their signed comments posted if a paper is published, but not otherwise.”, and stated on every publication pre-p"&amp;"ublication history page: “For research papers The BMJ has fully open peer review. This means that accepted research papers submitted from September 2014 onwards usually have their prepublication history posted alongside them on thebmj.com. This prepublica"&amp;"tion history comprises all previous versions of the manuscript, the study protocol (submitting the protocol is mandatory for all clinical trials and encouraged for all other studies at The BMJ), the report from the manuscript committee meeting, the review"&amp;"ers’ comments, and the authors’ responses to all the comments from reviewers and editors. In rare instances we determine after careful consideration that we should not make certain portions of the prepublication record publicly available. For example, in "&amp;"cases of stigmatised illnesses we seek to protect the confidentiality of reviewers who have these illnesses. In other instances there may be legal or regulatory considerations that make it inadvisable or impermissible to make available certain parts of th"&amp;"e prepublication record. In all instances in which we have determined that elements of the prepublication record should not be made publicly available, we expect that authors will respect these decisions and also will not share this information.”; Credit "&amp;"and transfer: Publons records policy as not able to post reviews but can share review activity (https://publons.com/journal/278/bmj); “With the exception of BMJ Open (see below) and BMJ Open Science, journals from BMJ do not publish peer reviews.” // Revi"&amp;"ews may be posted online elsewhere once the manuscript has been published; if not published, reviewers may say they have reviewed for the BMJ: “We do not restrict the use you make of your review once the manuscript has been published. However, an author’s"&amp;" manuscript remains confidential until it is published, and you must not disclose any information about an unpublished manuscript, including your review of it. Please note that if the article is NOT published you may refer to the journal which requested y"&amp;"our review and the fact that you have reviewed an article for it. However, you may not post any details of the article which was reviewed, or any part of the review that would breach the confidentiality under which the article was provided to you for revi"&amp;"ew.”")</f>
        <v>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v>
      </c>
      <c r="AB27" t="str">
        <f>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27" s="78" t="str">
        <f>IFERROR(__xludf.DUMMYFUNCTION("""COMPUTED_VALUE"""),"https://www.bmj.com/about-bmj/resources-reviewers")</f>
        <v>https://www.bmj.com/about-bmj/resources-reviewers</v>
      </c>
      <c r="AD27" t="str">
        <f>IFERROR(__xludf.DUMMYFUNCTION("""COMPUTED_VALUE"""),"Yes")</f>
        <v>Yes</v>
      </c>
      <c r="AE27" t="str">
        <f>IFERROR(__xludf.DUMMYFUNCTION("""COMPUTED_VALUE"""),"Unsure")</f>
        <v>Unsure</v>
      </c>
      <c r="AF27" t="str">
        <f>IFERROR(__xludf.DUMMYFUNCTION("""COMPUTED_VALUE"""),"Unsure")</f>
        <v>Unsure</v>
      </c>
      <c r="AG27" s="78" t="str">
        <f>IFERROR(__xludf.DUMMYFUNCTION("""COMPUTED_VALUE"""),"https://authors.bmj.com/policies/preprints/")</f>
        <v>https://authors.bmj.com/policies/preprints/</v>
      </c>
      <c r="AH27" t="str">
        <f>IFERROR(__xludf.DUMMYFUNCTION("""COMPUTED_VALUE"""),"Any")</f>
        <v>Any</v>
      </c>
      <c r="AI27" t="str">
        <f>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27" t="str">
        <f>IFERROR(__xludf.DUMMYFUNCTION("""COMPUTED_VALUE"""),"Not specified")</f>
        <v>Not specified</v>
      </c>
      <c r="AK27" t="str">
        <f>IFERROR(__xludf.DUMMYFUNCTION("""COMPUTED_VALUE"""),"Unsure")</f>
        <v>Unsure</v>
      </c>
      <c r="AL27" t="str">
        <f>IFERROR(__xludf.DUMMYFUNCTION("""COMPUTED_VALUE"""),"")</f>
        <v/>
      </c>
      <c r="AM27" t="str">
        <f>IFERROR(__xludf.DUMMYFUNCTION("""COMPUTED_VALUE"""),"BMJ places no restrictions on the licence chosen when posting a preprint version of work (eg authors may choose CC BY or CC BY NC), but authors must retain copyright of their work when posting to a preprint server.")</f>
        <v>BMJ places no restrictions on the licence chosen when posting a preprint version of work (eg authors may choose CC BY or CC BY NC), but authors must retain copyright of their work when posting to a preprint server.</v>
      </c>
      <c r="AN27" t="str">
        <f>IFERROR(__xludf.DUMMYFUNCTION("""COMPUTED_VALUE"""),"")</f>
        <v/>
      </c>
      <c r="AO27" t="str">
        <f>IFERROR(__xludf.DUMMYFUNCTION("""COMPUTED_VALUE"""),"")</f>
        <v/>
      </c>
      <c r="AP27" t="str">
        <f>IFERROR(__xludf.DUMMYFUNCTION("""COMPUTED_VALUE"""),"Regarding PR - this states it is an OPR journal, and OPR is defined as ""Reviewer and author are known to each other. These journals publish the reviewer comments and previous versions of the manuscript alongside the accepted paper."" here: https://author"&amp;"s.bmj.com/after-submitting/peer-review-process/")</f>
        <v>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v>
      </c>
      <c r="AQ27" t="str">
        <f>IFERROR(__xludf.DUMMYFUNCTION("""COMPUTED_VALUE"""),"")</f>
        <v/>
      </c>
      <c r="AR27" t="str">
        <f>IFERROR(__xludf.DUMMYFUNCTION("""COMPUTED_VALUE"""),"")</f>
        <v/>
      </c>
    </row>
    <row r="28">
      <c r="A28" s="32" t="str">
        <f>IFERROR(__xludf.DUMMYFUNCTION("""COMPUTED_VALUE"""),"NP")</f>
        <v>NP</v>
      </c>
      <c r="B28" s="36">
        <f>IFERROR(__xludf.DUMMYFUNCTION("""COMPUTED_VALUE"""),43483.0)</f>
        <v>43483</v>
      </c>
      <c r="C28" t="str">
        <f>IFERROR(__xludf.DUMMYFUNCTION("""COMPUTED_VALUE"""),"TRH")</f>
        <v>TRH</v>
      </c>
      <c r="D28" s="36">
        <f>IFERROR(__xludf.DUMMYFUNCTION("""COMPUTED_VALUE"""),43575.0)</f>
        <v>43575</v>
      </c>
      <c r="E28" t="str">
        <f>IFERROR(__xludf.DUMMYFUNCTION("""COMPUTED_VALUE"""),"JP")</f>
        <v>JP</v>
      </c>
      <c r="F28" s="39">
        <f>IFERROR(__xludf.DUMMYFUNCTION("""COMPUTED_VALUE"""),43581.0)</f>
        <v>43581</v>
      </c>
      <c r="G28" t="str">
        <f>IFERROR(__xludf.DUMMYFUNCTION("""COMPUTED_VALUE"""),"")</f>
        <v/>
      </c>
      <c r="H28" t="str">
        <f>IFERROR(__xludf.DUMMYFUNCTION("""COMPUTED_VALUE"""),"1535-6108")</f>
        <v>1535-6108</v>
      </c>
      <c r="I28" t="str">
        <f>IFERROR(__xludf.DUMMYFUNCTION("""COMPUTED_VALUE"""),"Cancer Cell")</f>
        <v>Cancer Cell</v>
      </c>
      <c r="J28" t="str">
        <f>IFERROR(__xludf.DUMMYFUNCTION("""COMPUTED_VALUE"""),"")</f>
        <v/>
      </c>
      <c r="K28" t="str">
        <f>IFERROR(__xludf.DUMMYFUNCTION("""COMPUTED_VALUE"""),"CellPress (Elsevier)")</f>
        <v>CellPress (Elsevier)</v>
      </c>
      <c r="L28" t="str">
        <f>IFERROR(__xludf.DUMMYFUNCTION("""COMPUTED_VALUE"""),"Single blind")</f>
        <v>Single blind</v>
      </c>
      <c r="M28" s="78" t="str">
        <f>IFERROR(__xludf.DUMMYFUNCTION("""COMPUTED_VALUE"""),"https://www.cell.com/reviewers")</f>
        <v>https://www.cell.com/reviewers</v>
      </c>
      <c r="N28" t="str">
        <f>IFERROR(__xludf.DUMMYFUNCTION("""COMPUTED_VALUE"""),"")</f>
        <v/>
      </c>
      <c r="O28" t="str">
        <f>IFERROR(__xludf.DUMMYFUNCTION("""COMPUTED_VALUE"""),"")</f>
        <v/>
      </c>
      <c r="P28" t="str">
        <f>IFERROR(__xludf.DUMMYFUNCTION("""COMPUTED_VALUE"""),"Unsure")</f>
        <v>Unsure</v>
      </c>
      <c r="Q28" t="str">
        <f>IFERROR(__xludf.DUMMYFUNCTION("""COMPUTED_VALUE"""),"Relationship between Cell Press Journals
Cosubmission
If you think your paper might be suitable for two Cell Press journals, you can submit the paper for joint consideration. To do this, upload your manuscript to one of the journals. In your cover letter,"&amp;" indicate that you are seeking co-consideration and mention the name of the other journal. Each journal will evaluate the paper independently. If both journals decide to review the paper, they will agree on reviewers and will make independent decisions ba"&amp;"sed on feedback from those reviewers.
Transfer of Papers between Cell Press Journals
We know it can be time consuming to serially submit your paper to multiple journals, restarting the review process each time. Cell Press publishes many journals, and we "&amp;"give you the opportunity to transfer your paper, along with the reviews and the reviewers' identities, from one journal to another. If you have questions about the suitability of your paper for transfer, please contact the editor of the receiving journal."&amp;" If you have general questions about the transfer process, please refer to our FAQs on article transfers. Often, the Editor of the target journal will be able to reach a decision based on the existing reviews. Occasionally, the Editor may seek comments fr"&amp;"om additional reviewers. If you transfer your paper using our online system, you will have a chance to edit your files before they are sent to the receiving journal. You can always submit your paper to another Cell Press journal without mentioning the fir"&amp;"st review process. In this case, the manuscript will be evaluated as a regular new submission.")</f>
        <v>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28" s="78" t="str">
        <f>IFERROR(__xludf.DUMMYFUNCTION("""COMPUTED_VALUE"""),"https://www.cell.com/cancer-cell/articletransfer")</f>
        <v>https://www.cell.com/cancer-cell/articletransfer</v>
      </c>
      <c r="S28" t="str">
        <f>IFERROR(__xludf.DUMMYFUNCTION("""COMPUTED_VALUE"""),"Not specified")</f>
        <v>Not specified</v>
      </c>
      <c r="T28" t="str">
        <f>IFERROR(__xludf.DUMMYFUNCTION("""COMPUTED_VALUE"""),"Not specified")</f>
        <v>Not specified</v>
      </c>
      <c r="U28" t="str">
        <f>IFERROR(__xludf.DUMMYFUNCTION("""COMPUTED_VALUE"""),"Not specified")</f>
        <v>Not specified</v>
      </c>
      <c r="V28" t="str">
        <f>IFERROR(__xludf.DUMMYFUNCTION("""COMPUTED_VALUE"""),"Not specified")</f>
        <v>Not specified</v>
      </c>
      <c r="W28" t="str">
        <f>IFERROR(__xludf.DUMMYFUNCTION("""COMPUTED_VALUE"""),"No")</f>
        <v>No</v>
      </c>
      <c r="X28" t="str">
        <f>IFERROR(__xludf.DUMMYFUNCTION("""COMPUTED_VALUE"""),"No")</f>
        <v>No</v>
      </c>
      <c r="Y28" t="str">
        <f>IFERROR(__xludf.DUMMYFUNCTION("""COMPUTED_VALUE"""),"Not specified")</f>
        <v>Not specified</v>
      </c>
      <c r="Z28" t="str">
        <f>IFERROR(__xludf.DUMMYFUNCTION("""COMPUTED_VALUE"""),"Not specified")</f>
        <v>Not specified</v>
      </c>
      <c r="AA28" s="78" t="str">
        <f>IFERROR(__xludf.DUMMYFUNCTION("""COMPUTED_VALUE"""),"Peer review activity but not full reviews may be posted to Publons according to entry at Publons — https://publons.com/journal/573/cancer-cell")</f>
        <v>Peer review activity but not full reviews may be posted to Publons according to entry at Publons — https://publons.com/journal/573/cancer-cell</v>
      </c>
      <c r="AB28" t="str">
        <f>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28" s="78" t="str">
        <f>IFERROR(__xludf.DUMMYFUNCTION("""COMPUTED_VALUE"""),"https://www.cell.com/reviewers")</f>
        <v>https://www.cell.com/reviewers</v>
      </c>
      <c r="AD28" t="str">
        <f>IFERROR(__xludf.DUMMYFUNCTION("""COMPUTED_VALUE"""),"Yes")</f>
        <v>Yes</v>
      </c>
      <c r="AE28" t="str">
        <f>IFERROR(__xludf.DUMMYFUNCTION("""COMPUTED_VALUE"""),"Unsure")</f>
        <v>Unsure</v>
      </c>
      <c r="AF28" t="str">
        <f>IFERROR(__xludf.DUMMYFUNCTION("""COMPUTED_VALUE"""),"Unsure")</f>
        <v>Unsure</v>
      </c>
      <c r="AG28" s="78" t="str">
        <f>IFERROR(__xludf.DUMMYFUNCTION("""COMPUTED_VALUE"""),"https://www.cell.com/cancer-cell/authors")</f>
        <v>https://www.cell.com/cancer-cell/authors</v>
      </c>
      <c r="AH28" t="str">
        <f>IFERROR(__xludf.DUMMYFUNCTION("""COMPUTED_VALUE"""),"First submission only (before peer review)")</f>
        <v>First submission only (before peer review)</v>
      </c>
      <c r="AI28" s="78" t="str">
        <f>IFERROR(__xludf.DUMMYFUNCTION("""COMPUTED_VALUE"""),"“We will consider papers previously posted on preprint servers like arXiv, bioRxiv, BioRN, ChemRxiv, or ChemRN.""")</f>
        <v>“We will consider papers previously posted on preprint servers like arXiv, bioRxiv, BioRN, ChemRxiv, or ChemRN."</v>
      </c>
      <c r="AJ28" t="str">
        <f>IFERROR(__xludf.DUMMYFUNCTION("""COMPUTED_VALUE"""),"Not specified")</f>
        <v>Not specified</v>
      </c>
      <c r="AK28" t="str">
        <f>IFERROR(__xludf.DUMMYFUNCTION("""COMPUTED_VALUE"""),"Unsure")</f>
        <v>Unsure</v>
      </c>
      <c r="AL28" s="78" t="str">
        <f>IFERROR(__xludf.DUMMYFUNCTION("""COMPUTED_VALUE"""),"""we ask that you refrain from talking to the media until one week prior to the online publication date of the paper… we ask that you not discuss the findings with the media beyond the formal presentation. This policy covers work that is intended for subm"&amp;"ission, currently under consideration, or in press at a Cell Press journal… Additionally, before your paper is published, please do not discuss it or cite it as in press in review articles.“ https://www.cell.com/cancer-cell/authors#prepub")</f>
        <v>"we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v>
      </c>
      <c r="AM28" t="str">
        <f>IFERROR(__xludf.DUMMYFUNCTION("""COMPUTED_VALUE"""),"")</f>
        <v/>
      </c>
      <c r="AN28" t="str">
        <f>IFERROR(__xludf.DUMMYFUNCTION("""COMPUTED_VALUE"""),"")</f>
        <v/>
      </c>
      <c r="AO28" t="str">
        <f>IFERROR(__xludf.DUMMYFUNCTION("""COMPUTED_VALUE"""),"")</f>
        <v/>
      </c>
      <c r="AP28" t="str">
        <f>IFERROR(__xludf.DUMMYFUNCTION("""COMPUTED_VALUE"""),"OPR options are listed as ""not specified"" as no information is given, but the answer is known to be No")</f>
        <v>OPR options are listed as "not specified" as no information is given, but the answer is known to be No</v>
      </c>
      <c r="AQ28" t="str">
        <f>IFERROR(__xludf.DUMMYFUNCTION("""COMPUTED_VALUE"""),"")</f>
        <v/>
      </c>
      <c r="AR28" t="str">
        <f>IFERROR(__xludf.DUMMYFUNCTION("""COMPUTED_VALUE"""),"")</f>
        <v/>
      </c>
    </row>
    <row r="29">
      <c r="A29" s="32" t="str">
        <f>IFERROR(__xludf.DUMMYFUNCTION("""COMPUTED_VALUE"""),"NP")</f>
        <v>NP</v>
      </c>
      <c r="B29" s="36">
        <f>IFERROR(__xludf.DUMMYFUNCTION("""COMPUTED_VALUE"""),43483.0)</f>
        <v>43483</v>
      </c>
      <c r="C29" t="str">
        <f>IFERROR(__xludf.DUMMYFUNCTION("""COMPUTED_VALUE"""),"TRH")</f>
        <v>TRH</v>
      </c>
      <c r="D29" s="36">
        <f>IFERROR(__xludf.DUMMYFUNCTION("""COMPUTED_VALUE"""),43575.0)</f>
        <v>43575</v>
      </c>
      <c r="E29" t="str">
        <f>IFERROR(__xludf.DUMMYFUNCTION("""COMPUTED_VALUE"""),"JP")</f>
        <v>JP</v>
      </c>
      <c r="F29" s="36">
        <f>IFERROR(__xludf.DUMMYFUNCTION("""COMPUTED_VALUE"""),43581.0)</f>
        <v>43581</v>
      </c>
      <c r="G29" t="str">
        <f>IFERROR(__xludf.DUMMYFUNCTION("""COMPUTED_VALUE"""),"")</f>
        <v/>
      </c>
      <c r="H29" t="str">
        <f>IFERROR(__xludf.DUMMYFUNCTION("""COMPUTED_VALUE"""),"0099-7013")</f>
        <v>0099-7013</v>
      </c>
      <c r="I29" t="str">
        <f>IFERROR(__xludf.DUMMYFUNCTION("""COMPUTED_VALUE"""),"Cancer Research")</f>
        <v>Cancer Research</v>
      </c>
      <c r="J29" t="str">
        <f>IFERROR(__xludf.DUMMYFUNCTION("""COMPUTED_VALUE"""),"")</f>
        <v/>
      </c>
      <c r="K29" t="str">
        <f>IFERROR(__xludf.DUMMYFUNCTION("""COMPUTED_VALUE"""),"American Association for Cancer Research (AACR)")</f>
        <v>American Association for Cancer Research (AACR)</v>
      </c>
      <c r="L29" t="str">
        <f>IFERROR(__xludf.DUMMYFUNCTION("""COMPUTED_VALUE"""),"Unsure")</f>
        <v>Unsure</v>
      </c>
      <c r="M29" s="78" t="str">
        <f>IFERROR(__xludf.DUMMYFUNCTION("""COMPUTED_VALUE"""),"http://aacrjournals.org/content/authors/editorial-process#peerrev")</f>
        <v>http://aacrjournals.org/content/authors/editorial-process#peerrev</v>
      </c>
      <c r="N29" t="str">
        <f>IFERROR(__xludf.DUMMYFUNCTION("""COMPUTED_VALUE"""),"Not found")</f>
        <v>Not found</v>
      </c>
      <c r="O29" s="78" t="str">
        <f>IFERROR(__xludf.DUMMYFUNCTION("""COMPUTED_VALUE"""),"http://aacrjournals.org/site/Info/Reviewers.xhtml")</f>
        <v>http://aacrjournals.org/site/Info/Reviewers.xhtml</v>
      </c>
      <c r="P29" t="str">
        <f>IFERROR(__xludf.DUMMYFUNCTION("""COMPUTED_VALUE"""),"Unsure")</f>
        <v>Unsure</v>
      </c>
      <c r="Q29" t="str">
        <f>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29" s="78" t="str">
        <f>IFERROR(__xludf.DUMMYFUNCTION("""COMPUTED_VALUE"""),"http://aacrjournals.org/content/authors/manuscript-transfer")</f>
        <v>http://aacrjournals.org/content/authors/manuscript-transfer</v>
      </c>
      <c r="S29" t="str">
        <f>IFERROR(__xludf.DUMMYFUNCTION("""COMPUTED_VALUE"""),"Not specified")</f>
        <v>Not specified</v>
      </c>
      <c r="T29" t="str">
        <f>IFERROR(__xludf.DUMMYFUNCTION("""COMPUTED_VALUE"""),"Not specified")</f>
        <v>Not specified</v>
      </c>
      <c r="U29" t="str">
        <f>IFERROR(__xludf.DUMMYFUNCTION("""COMPUTED_VALUE"""),"Not specified")</f>
        <v>Not specified</v>
      </c>
      <c r="V29" t="str">
        <f>IFERROR(__xludf.DUMMYFUNCTION("""COMPUTED_VALUE"""),"Not specified")</f>
        <v>Not specified</v>
      </c>
      <c r="W29" t="str">
        <f>IFERROR(__xludf.DUMMYFUNCTION("""COMPUTED_VALUE"""),"Not specified")</f>
        <v>Not specified</v>
      </c>
      <c r="X29" t="str">
        <f>IFERROR(__xludf.DUMMYFUNCTION("""COMPUTED_VALUE"""),"Not specified")</f>
        <v>Not specified</v>
      </c>
      <c r="Y29" t="str">
        <f>IFERROR(__xludf.DUMMYFUNCTION("""COMPUTED_VALUE"""),"Not specified")</f>
        <v>Not specified</v>
      </c>
      <c r="Z29" t="str">
        <f>IFERROR(__xludf.DUMMYFUNCTION("""COMPUTED_VALUE"""),"Not specified")</f>
        <v>Not specified</v>
      </c>
      <c r="AA29" t="str">
        <f>IFERROR(__xludf.DUMMYFUNCTION("""COMPUTED_VALUE"""),"")</f>
        <v/>
      </c>
      <c r="AB29" t="str">
        <f>IFERROR(__xludf.DUMMYFUNCTION("""COMPUTED_VALUE"""),"Not found")</f>
        <v>Not found</v>
      </c>
      <c r="AC29" t="str">
        <f>IFERROR(__xludf.DUMMYFUNCTION("""COMPUTED_VALUE"""),"Not found")</f>
        <v>Not found</v>
      </c>
      <c r="AD29" t="str">
        <f>IFERROR(__xludf.DUMMYFUNCTION("""COMPUTED_VALUE"""),"Unsure")</f>
        <v>Unsure</v>
      </c>
      <c r="AE29" t="str">
        <f>IFERROR(__xludf.DUMMYFUNCTION("""COMPUTED_VALUE"""),"Unsure")</f>
        <v>Unsure</v>
      </c>
      <c r="AF29" t="str">
        <f>IFERROR(__xludf.DUMMYFUNCTION("""COMPUTED_VALUE"""),"Unsure")</f>
        <v>Unsure</v>
      </c>
      <c r="AG29" s="78" t="str">
        <f>IFERROR(__xludf.DUMMYFUNCTION("""COMPUTED_VALUE"""),"http://aacrjournals.org/content/authors/editorial-policies")</f>
        <v>http://aacrjournals.org/content/authors/editorial-policies</v>
      </c>
      <c r="AH29" t="str">
        <f>IFERROR(__xludf.DUMMYFUNCTION("""COMPUTED_VALUE"""),"First submission only (before peer review)")</f>
        <v>First submission only (before peer review)</v>
      </c>
      <c r="AI29" t="str">
        <f>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29" t="str">
        <f>IFERROR(__xludf.DUMMYFUNCTION("""COMPUTED_VALUE"""),"Not specified")</f>
        <v>Not specified</v>
      </c>
      <c r="AK29" t="str">
        <f>IFERROR(__xludf.DUMMYFUNCTION("""COMPUTED_VALUE"""),"Unsure")</f>
        <v>Unsure</v>
      </c>
      <c r="AL29" t="str">
        <f>IFERROR(__xludf.DUMMYFUNCTION("""COMPUTED_VALUE"""),"Not specified for preprints, but general media policy: ""press coverage and presentation at scientific conferences can sometimes affect consideration of submissions. For example, reporting the main findings of a manuscript in the mass media can compromise"&amp;" the novelty of the work and thus its appropriateness for publication by the AACR. Therefore, authors should feel free to present their data at scientific meetings but should not intentionally seek media attention or give copies of the figures or data fro"&amp;"m their manuscript to any reporter. If a reporter attends an author's session at a meeting and writes a story based only on the presentation, such coverage will not affect consideration of the author's manuscript.”")</f>
        <v>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v>
      </c>
      <c r="AM29" t="str">
        <f>IFERROR(__xludf.DUMMYFUNCTION("""COMPUTED_VALUE"""),"Not specified")</f>
        <v>Not specified</v>
      </c>
      <c r="AN29" t="str">
        <f>IFERROR(__xludf.DUMMYFUNCTION("""COMPUTED_VALUE"""),"Not specified")</f>
        <v>Not specified</v>
      </c>
      <c r="AO29" t="str">
        <f>IFERROR(__xludf.DUMMYFUNCTION("""COMPUTED_VALUE"""),"Not specified")</f>
        <v>Not specified</v>
      </c>
      <c r="AP29" t="str">
        <f>IFERROR(__xludf.DUMMYFUNCTION("""COMPUTED_VALUE"""),"")</f>
        <v/>
      </c>
      <c r="AQ29" t="str">
        <f>IFERROR(__xludf.DUMMYFUNCTION("""COMPUTED_VALUE"""),"")</f>
        <v/>
      </c>
      <c r="AR29" t="str">
        <f>IFERROR(__xludf.DUMMYFUNCTION("""COMPUTED_VALUE"""),"")</f>
        <v/>
      </c>
    </row>
    <row r="30">
      <c r="A30" s="32" t="str">
        <f>IFERROR(__xludf.DUMMYFUNCTION("""COMPUTED_VALUE"""),"NP")</f>
        <v>NP</v>
      </c>
      <c r="B30" s="36">
        <f>IFERROR(__xludf.DUMMYFUNCTION("""COMPUTED_VALUE"""),43483.0)</f>
        <v>43483</v>
      </c>
      <c r="C30" t="str">
        <f>IFERROR(__xludf.DUMMYFUNCTION("""COMPUTED_VALUE"""),"TRH")</f>
        <v>TRH</v>
      </c>
      <c r="D30" s="36">
        <f>IFERROR(__xludf.DUMMYFUNCTION("""COMPUTED_VALUE"""),43575.0)</f>
        <v>43575</v>
      </c>
      <c r="E30" t="str">
        <f>IFERROR(__xludf.DUMMYFUNCTION("""COMPUTED_VALUE"""),"JP")</f>
        <v>JP</v>
      </c>
      <c r="F30" s="36">
        <f>IFERROR(__xludf.DUMMYFUNCTION("""COMPUTED_VALUE"""),43581.0)</f>
        <v>43581</v>
      </c>
      <c r="G30" t="str">
        <f>IFERROR(__xludf.DUMMYFUNCTION("""COMPUTED_VALUE"""),"Review identity to author to optional, whole quote for coreviewers, who are asked to be identified in comments to editor (so assuming there is no dedicated form), added additional text to preprint media policies")</f>
        <v>Review identity to author to optional, whole quote for coreviewers, who are asked to be identified in comments to editor (so assuming there is no dedicated form), added additional text to preprint media policies</v>
      </c>
      <c r="H30" t="str">
        <f>IFERROR(__xludf.DUMMYFUNCTION("""COMPUTED_VALUE"""),"1097-4172")</f>
        <v>1097-4172</v>
      </c>
      <c r="I30" t="str">
        <f>IFERROR(__xludf.DUMMYFUNCTION("""COMPUTED_VALUE"""),"Cell")</f>
        <v>Cell</v>
      </c>
      <c r="J30" t="str">
        <f>IFERROR(__xludf.DUMMYFUNCTION("""COMPUTED_VALUE"""),"Health &amp; Medical Sciences, Life Sciences &amp; Earth Sciences")</f>
        <v>Health &amp; Medical Sciences, Life Sciences &amp; Earth Sciences</v>
      </c>
      <c r="K30" t="str">
        <f>IFERROR(__xludf.DUMMYFUNCTION("""COMPUTED_VALUE"""),"CellPress (Elsevier)")</f>
        <v>CellPress (Elsevier)</v>
      </c>
      <c r="L30" t="str">
        <f>IFERROR(__xludf.DUMMYFUNCTION("""COMPUTED_VALUE"""),"Single blind")</f>
        <v>Single blind</v>
      </c>
      <c r="M30" s="78" t="str">
        <f>IFERROR(__xludf.DUMMYFUNCTION("""COMPUTED_VALUE"""),"https://www.cell.com/reviewers")</f>
        <v>https://www.cell.com/reviewers</v>
      </c>
      <c r="N30" t="str">
        <f>IFERROR(__xludf.DUMMYFUNCTION("""COMPUTED_VALUE"""),"Not found")</f>
        <v>Not found</v>
      </c>
      <c r="O30" t="str">
        <f>IFERROR(__xludf.DUMMYFUNCTION("""COMPUTED_VALUE"""),"Not found")</f>
        <v>Not found</v>
      </c>
      <c r="P30" t="str">
        <f>IFERROR(__xludf.DUMMYFUNCTION("""COMPUTED_VALUE"""),"Unsure")</f>
        <v>Unsure</v>
      </c>
      <c r="Q30" t="str">
        <f>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0" s="78" t="str">
        <f>IFERROR(__xludf.DUMMYFUNCTION("""COMPUTED_VALUE"""),"https://www.cell.com/cell/articletransfer")</f>
        <v>https://www.cell.com/cell/articletransfer</v>
      </c>
      <c r="S30" t="str">
        <f>IFERROR(__xludf.DUMMYFUNCTION("""COMPUTED_VALUE"""),"Not specified")</f>
        <v>Not specified</v>
      </c>
      <c r="T30" t="str">
        <f>IFERROR(__xludf.DUMMYFUNCTION("""COMPUTED_VALUE"""),"Not specified")</f>
        <v>Not specified</v>
      </c>
      <c r="U30" t="str">
        <f>IFERROR(__xludf.DUMMYFUNCTION("""COMPUTED_VALUE"""),"Not specified")</f>
        <v>Not specified</v>
      </c>
      <c r="V30" t="str">
        <f>IFERROR(__xludf.DUMMYFUNCTION("""COMPUTED_VALUE"""),"Not specified")</f>
        <v>Not specified</v>
      </c>
      <c r="W30" t="str">
        <f>IFERROR(__xludf.DUMMYFUNCTION("""COMPUTED_VALUE"""),"No")</f>
        <v>No</v>
      </c>
      <c r="X30" t="str">
        <f>IFERROR(__xludf.DUMMYFUNCTION("""COMPUTED_VALUE"""),"Optional")</f>
        <v>Optional</v>
      </c>
      <c r="Y30" t="str">
        <f>IFERROR(__xludf.DUMMYFUNCTION("""COMPUTED_VALUE"""),"Not specified")</f>
        <v>Not specified</v>
      </c>
      <c r="Z30" t="str">
        <f>IFERROR(__xludf.DUMMYFUNCTION("""COMPUTED_VALUE"""),"Not specified")</f>
        <v>Not specified</v>
      </c>
      <c r="AA30" t="str">
        <f>IFERROR(__xludf.DUMMYFUNCTION("""COMPUTED_VALUE"""),"Peer review activity but not full reviews may be posted to Publons according to entry at Publons — https://publons.com/journal/270/cell
""Cell Press will not disclose any reviewer’s identity except at the specific reviewer’s request."" - https://www.cell."&amp;"com/reviewers")</f>
        <v>Peer review activity but not full reviews may be posted to Publons according to entry at Publons — https://publons.com/journal/270/cell
"Cell Press will not disclose any reviewer’s identity except at the specific reviewer’s request." - https://www.cell.com/reviewers</v>
      </c>
      <c r="AB30" t="str">
        <f>IFERROR(__xludf.DUMMYFUNCTION("""COMPUTED_VALUE"""),""" In some instances, reviewers may feel that it would be helpful to obtain additional advice from a colleague. In such cases, we ask that the reviewer contact the editor in advance to ensure that the editor has the opportunity to take additional informat"&amp;"ion into account before permitting communications that have the potential to violate confidentiality. It is not appropriate to discuss unpublished manuscripts at laboratory meetings or journal clubs. Reviewers can collaborate with trainees (graduate stude"&amp;"nts and post-docs) in the evaluation of manuscripts, and we appreciate that such collaboration functions as an important training exercise. However, we ask that reviewers keep the number of collaborators to a minimum and include the identities of all the "&amp;"individuals involved in the “comments to the editors” component of their review. Regardless, the person originally invited to review the manuscript is ultimately responsible for maintaining confidentiality and for the content and accuracy of the report. W"&amp;"e encourage referees to inform collaborating reviewers about appropriate guidelines and ethics for peer review, as outlined in this document.""")</f>
        <v>"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30" s="78" t="str">
        <f>IFERROR(__xludf.DUMMYFUNCTION("""COMPUTED_VALUE"""),"https://www.cell.com/reviewers")</f>
        <v>https://www.cell.com/reviewers</v>
      </c>
      <c r="AD30" t="str">
        <f>IFERROR(__xludf.DUMMYFUNCTION("""COMPUTED_VALUE"""),"Yes")</f>
        <v>Yes</v>
      </c>
      <c r="AE30" t="str">
        <f>IFERROR(__xludf.DUMMYFUNCTION("""COMPUTED_VALUE"""),"No")</f>
        <v>No</v>
      </c>
      <c r="AF30" t="str">
        <f>IFERROR(__xludf.DUMMYFUNCTION("""COMPUTED_VALUE"""),"Unsure")</f>
        <v>Unsure</v>
      </c>
      <c r="AG30" s="78" t="str">
        <f>IFERROR(__xludf.DUMMYFUNCTION("""COMPUTED_VALUE"""),"https://www.cell.com/cell/authors")</f>
        <v>https://www.cell.com/cell/authors</v>
      </c>
      <c r="AH30" t="str">
        <f>IFERROR(__xludf.DUMMYFUNCTION("""COMPUTED_VALUE"""),"First submission only (before peer review)")</f>
        <v>First submission only (before peer review)</v>
      </c>
      <c r="AI30" s="78" t="str">
        <f>IFERROR(__xludf.DUMMYFUNCTION("""COMPUTED_VALUE"""),"“We will consider papers previously posted on preprint servers like arXiv, bioRxiv, BioRN, ChemRxiv, or ChemRN.""")</f>
        <v>“We will consider papers previously posted on preprint servers like arXiv, bioRxiv, BioRN, ChemRxiv, or ChemRN."</v>
      </c>
      <c r="AJ30" t="str">
        <f>IFERROR(__xludf.DUMMYFUNCTION("""COMPUTED_VALUE"""),"Not specified")</f>
        <v>Not specified</v>
      </c>
      <c r="AK30" t="str">
        <f>IFERROR(__xludf.DUMMYFUNCTION("""COMPUTED_VALUE"""),"Unsure")</f>
        <v>Unsure</v>
      </c>
      <c r="AL30" t="str">
        <f>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https://www.cell.co"&amp;"m/cell/authors
""Also, our prepublication publicity policies with regard to coverage in the broader media still apply to studies posted on preprint servers."" — https://www.cell.com/cell/authors")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v>
      </c>
      <c r="AM30" t="str">
        <f>IFERROR(__xludf.DUMMYFUNCTION("""COMPUTED_VALUE"""),"Not specified")</f>
        <v>Not specified</v>
      </c>
      <c r="AN30" t="str">
        <f>IFERROR(__xludf.DUMMYFUNCTION("""COMPUTED_VALUE"""),"Not specified")</f>
        <v>Not specified</v>
      </c>
      <c r="AO30" t="str">
        <f>IFERROR(__xludf.DUMMYFUNCTION("""COMPUTED_VALUE"""),"Not specified")</f>
        <v>Not specified</v>
      </c>
      <c r="AP30" t="str">
        <f>IFERROR(__xludf.DUMMYFUNCTION("""COMPUTED_VALUE"""),"")</f>
        <v/>
      </c>
      <c r="AQ30" t="str">
        <f>IFERROR(__xludf.DUMMYFUNCTION("""COMPUTED_VALUE"""),"")</f>
        <v/>
      </c>
      <c r="AR30" t="str">
        <f>IFERROR(__xludf.DUMMYFUNCTION("""COMPUTED_VALUE"""),"")</f>
        <v/>
      </c>
    </row>
    <row r="31">
      <c r="A31" s="32" t="str">
        <f>IFERROR(__xludf.DUMMYFUNCTION("""COMPUTED_VALUE"""),"NP")</f>
        <v>NP</v>
      </c>
      <c r="B31" s="36">
        <f>IFERROR(__xludf.DUMMYFUNCTION("""COMPUTED_VALUE"""),43483.0)</f>
        <v>43483</v>
      </c>
      <c r="C31" t="str">
        <f>IFERROR(__xludf.DUMMYFUNCTION("""COMPUTED_VALUE"""),"TRH")</f>
        <v>TRH</v>
      </c>
      <c r="D31" s="36">
        <f>IFERROR(__xludf.DUMMYFUNCTION("""COMPUTED_VALUE"""),43576.0)</f>
        <v>43576</v>
      </c>
      <c r="E31" t="str">
        <f>IFERROR(__xludf.DUMMYFUNCTION("""COMPUTED_VALUE"""),"JP")</f>
        <v>JP</v>
      </c>
      <c r="F31" s="36">
        <f>IFERROR(__xludf.DUMMYFUNCTION("""COMPUTED_VALUE"""),43581.0)</f>
        <v>43581</v>
      </c>
      <c r="G31" t="str">
        <f>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1" t="str">
        <f>IFERROR(__xludf.DUMMYFUNCTION("""COMPUTED_VALUE"""),"1550-4131")</f>
        <v>1550-4131</v>
      </c>
      <c r="I31" t="str">
        <f>IFERROR(__xludf.DUMMYFUNCTION("""COMPUTED_VALUE"""),"Cell Metabolism")</f>
        <v>Cell Metabolism</v>
      </c>
      <c r="J31" t="str">
        <f>IFERROR(__xludf.DUMMYFUNCTION("""COMPUTED_VALUE"""),"Life Sciences &amp; Earth Sciences")</f>
        <v>Life Sciences &amp; Earth Sciences</v>
      </c>
      <c r="K31" t="str">
        <f>IFERROR(__xludf.DUMMYFUNCTION("""COMPUTED_VALUE"""),"CellPress (Elsevier)")</f>
        <v>CellPress (Elsevier)</v>
      </c>
      <c r="L31" t="str">
        <f>IFERROR(__xludf.DUMMYFUNCTION("""COMPUTED_VALUE"""),"Single blind")</f>
        <v>Single blind</v>
      </c>
      <c r="M31" s="78" t="str">
        <f>IFERROR(__xludf.DUMMYFUNCTION("""COMPUTED_VALUE"""),"https://www.cell.com/reviewers")</f>
        <v>https://www.cell.com/reviewers</v>
      </c>
      <c r="N31" t="str">
        <f>IFERROR(__xludf.DUMMYFUNCTION("""COMPUTED_VALUE"""),"Not found")</f>
        <v>Not found</v>
      </c>
      <c r="O31" t="str">
        <f>IFERROR(__xludf.DUMMYFUNCTION("""COMPUTED_VALUE"""),"Not found")</f>
        <v>Not found</v>
      </c>
      <c r="P31" t="str">
        <f>IFERROR(__xludf.DUMMYFUNCTION("""COMPUTED_VALUE"""),"Unsure")</f>
        <v>Unsure</v>
      </c>
      <c r="Q31" t="str">
        <f>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1" s="78" t="str">
        <f>IFERROR(__xludf.DUMMYFUNCTION("""COMPUTED_VALUE"""),"https://www.cell.com/cell-metabolism/articletransfer")</f>
        <v>https://www.cell.com/cell-metabolism/articletransfer</v>
      </c>
      <c r="S31" t="str">
        <f>IFERROR(__xludf.DUMMYFUNCTION("""COMPUTED_VALUE"""),"Not specified")</f>
        <v>Not specified</v>
      </c>
      <c r="T31" t="str">
        <f>IFERROR(__xludf.DUMMYFUNCTION("""COMPUTED_VALUE"""),"Not specified")</f>
        <v>Not specified</v>
      </c>
      <c r="U31" t="str">
        <f>IFERROR(__xludf.DUMMYFUNCTION("""COMPUTED_VALUE"""),"Not specified")</f>
        <v>Not specified</v>
      </c>
      <c r="V31" t="str">
        <f>IFERROR(__xludf.DUMMYFUNCTION("""COMPUTED_VALUE"""),"Not specified")</f>
        <v>Not specified</v>
      </c>
      <c r="W31" t="str">
        <f>IFERROR(__xludf.DUMMYFUNCTION("""COMPUTED_VALUE"""),"No")</f>
        <v>No</v>
      </c>
      <c r="X31" t="str">
        <f>IFERROR(__xludf.DUMMYFUNCTION("""COMPUTED_VALUE"""),"Optional")</f>
        <v>Optional</v>
      </c>
      <c r="Y31" t="str">
        <f>IFERROR(__xludf.DUMMYFUNCTION("""COMPUTED_VALUE"""),"Not specified")</f>
        <v>Not specified</v>
      </c>
      <c r="Z31" t="str">
        <f>IFERROR(__xludf.DUMMYFUNCTION("""COMPUTED_VALUE"""),"Not specified")</f>
        <v>Not specified</v>
      </c>
      <c r="AA31" t="str">
        <f>IFERROR(__xludf.DUMMYFUNCTION("""COMPUTED_VALUE"""),"Peer review activity but not full reviews may be posted to Publons according to entry at Publons — https://publons.com/journal/628/cell-metabolism
""Cell Press will not disclose any reviewer’s identity except at the specific reviewer’s request."" - https:"&amp;"//www.cell.com/reviewers")</f>
        <v>Peer review activity but not full reviews may be posted to Publons according to entry at Publons — https://publons.com/journal/628/cell-metabolism
"Cell Press will not disclose any reviewer’s identity except at the specific reviewer’s request." - https://www.cell.com/reviewers</v>
      </c>
      <c r="AB31" t="str">
        <f>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1" s="78" t="str">
        <f>IFERROR(__xludf.DUMMYFUNCTION("""COMPUTED_VALUE"""),"https://www.cell.com/reviewers")</f>
        <v>https://www.cell.com/reviewers</v>
      </c>
      <c r="AD31" t="str">
        <f>IFERROR(__xludf.DUMMYFUNCTION("""COMPUTED_VALUE"""),"Yes")</f>
        <v>Yes</v>
      </c>
      <c r="AE31" t="str">
        <f>IFERROR(__xludf.DUMMYFUNCTION("""COMPUTED_VALUE"""),"No")</f>
        <v>No</v>
      </c>
      <c r="AF31" t="str">
        <f>IFERROR(__xludf.DUMMYFUNCTION("""COMPUTED_VALUE"""),"Unsure")</f>
        <v>Unsure</v>
      </c>
      <c r="AG31" s="78" t="str">
        <f>IFERROR(__xludf.DUMMYFUNCTION("""COMPUTED_VALUE"""),"https://www.cell.com/cell-metabolism/authors")</f>
        <v>https://www.cell.com/cell-metabolism/authors</v>
      </c>
      <c r="AH31" t="str">
        <f>IFERROR(__xludf.DUMMYFUNCTION("""COMPUTED_VALUE"""),"First submission only (before peer review)")</f>
        <v>First submission only (before peer review)</v>
      </c>
      <c r="AI31" s="78" t="str">
        <f>IFERROR(__xludf.DUMMYFUNCTION("""COMPUTED_VALUE"""),"“We will consider papers previously posted on preprint servers like arXiv, bioRxiv, BioRN, ChemRxiv, or ChemRN.""")</f>
        <v>“We will consider papers previously posted on preprint servers like arXiv, bioRxiv, BioRN, ChemRxiv, or ChemRN."</v>
      </c>
      <c r="AJ31" t="str">
        <f>IFERROR(__xludf.DUMMYFUNCTION("""COMPUTED_VALUE"""),"Not specified")</f>
        <v>Not specified</v>
      </c>
      <c r="AK31" t="str">
        <f>IFERROR(__xludf.DUMMYFUNCTION("""COMPUTED_VALUE"""),"Unsure")</f>
        <v>Unsure</v>
      </c>
      <c r="AL31" t="str">
        <f>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https://www.cell.co"&amp;"m/cell-metabolism/authors
""Also, our prepublication publicity policies with regard to coverage in the broader media still apply to studies posted on preprint servers."" — https://www.cell.com/cell-metabolism/authors")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v>
      </c>
      <c r="AM31" t="str">
        <f>IFERROR(__xludf.DUMMYFUNCTION("""COMPUTED_VALUE"""),"Not specified")</f>
        <v>Not specified</v>
      </c>
      <c r="AN31" t="str">
        <f>IFERROR(__xludf.DUMMYFUNCTION("""COMPUTED_VALUE"""),"Not specified")</f>
        <v>Not specified</v>
      </c>
      <c r="AO31" t="str">
        <f>IFERROR(__xludf.DUMMYFUNCTION("""COMPUTED_VALUE"""),"Not specified")</f>
        <v>Not specified</v>
      </c>
      <c r="AP31" t="str">
        <f>IFERROR(__xludf.DUMMYFUNCTION("""COMPUTED_VALUE"""),"")</f>
        <v/>
      </c>
      <c r="AQ31" t="str">
        <f>IFERROR(__xludf.DUMMYFUNCTION("""COMPUTED_VALUE"""),"")</f>
        <v/>
      </c>
      <c r="AR31" t="str">
        <f>IFERROR(__xludf.DUMMYFUNCTION("""COMPUTED_VALUE"""),"")</f>
        <v/>
      </c>
    </row>
    <row r="32">
      <c r="A32" t="str">
        <f>IFERROR(__xludf.DUMMYFUNCTION("""COMPUTED_VALUE"""),"NP")</f>
        <v>NP</v>
      </c>
      <c r="B32" s="36">
        <f>IFERROR(__xludf.DUMMYFUNCTION("""COMPUTED_VALUE"""),43483.0)</f>
        <v>43483</v>
      </c>
      <c r="C32" t="str">
        <f>IFERROR(__xludf.DUMMYFUNCTION("""COMPUTED_VALUE"""),"TRH")</f>
        <v>TRH</v>
      </c>
      <c r="D32" s="36">
        <f>IFERROR(__xludf.DUMMYFUNCTION("""COMPUTED_VALUE"""),43576.0)</f>
        <v>43576</v>
      </c>
      <c r="E32" t="str">
        <f>IFERROR(__xludf.DUMMYFUNCTION("""COMPUTED_VALUE"""),"JP")</f>
        <v>JP</v>
      </c>
      <c r="F32" s="36">
        <f>IFERROR(__xludf.DUMMYFUNCTION("""COMPUTED_VALUE"""),43581.0)</f>
        <v>43581</v>
      </c>
      <c r="G32" t="str">
        <f>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2" t="str">
        <f>IFERROR(__xludf.DUMMYFUNCTION("""COMPUTED_VALUE"""),"1934-5909")</f>
        <v>1934-5909</v>
      </c>
      <c r="I32" t="str">
        <f>IFERROR(__xludf.DUMMYFUNCTION("""COMPUTED_VALUE"""),"Cell Stem Cell")</f>
        <v>Cell Stem Cell</v>
      </c>
      <c r="J32" t="str">
        <f>IFERROR(__xludf.DUMMYFUNCTION("""COMPUTED_VALUE"""),"Life Sciences &amp; Earth Sciences")</f>
        <v>Life Sciences &amp; Earth Sciences</v>
      </c>
      <c r="K32" t="str">
        <f>IFERROR(__xludf.DUMMYFUNCTION("""COMPUTED_VALUE"""),"CellPress (Elsevier)")</f>
        <v>CellPress (Elsevier)</v>
      </c>
      <c r="L32" t="str">
        <f>IFERROR(__xludf.DUMMYFUNCTION("""COMPUTED_VALUE"""),"Single blind")</f>
        <v>Single blind</v>
      </c>
      <c r="M32" s="78" t="str">
        <f>IFERROR(__xludf.DUMMYFUNCTION("""COMPUTED_VALUE"""),"https://www.cell.com/reviewers")</f>
        <v>https://www.cell.com/reviewers</v>
      </c>
      <c r="N32" t="str">
        <f>IFERROR(__xludf.DUMMYFUNCTION("""COMPUTED_VALUE"""),"Not found")</f>
        <v>Not found</v>
      </c>
      <c r="O32" t="str">
        <f>IFERROR(__xludf.DUMMYFUNCTION("""COMPUTED_VALUE"""),"Not found")</f>
        <v>Not found</v>
      </c>
      <c r="P32" t="str">
        <f>IFERROR(__xludf.DUMMYFUNCTION("""COMPUTED_VALUE"""),"Unsure")</f>
        <v>Unsure</v>
      </c>
      <c r="Q32" t="str">
        <f>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2" s="78" t="str">
        <f>IFERROR(__xludf.DUMMYFUNCTION("""COMPUTED_VALUE"""),"https://www.cell.com/cell-stem-cell/articletransfer")</f>
        <v>https://www.cell.com/cell-stem-cell/articletransfer</v>
      </c>
      <c r="S32" t="str">
        <f>IFERROR(__xludf.DUMMYFUNCTION("""COMPUTED_VALUE"""),"Not specified")</f>
        <v>Not specified</v>
      </c>
      <c r="T32" t="str">
        <f>IFERROR(__xludf.DUMMYFUNCTION("""COMPUTED_VALUE"""),"Not specified")</f>
        <v>Not specified</v>
      </c>
      <c r="U32" t="str">
        <f>IFERROR(__xludf.DUMMYFUNCTION("""COMPUTED_VALUE"""),"Not specified")</f>
        <v>Not specified</v>
      </c>
      <c r="V32" t="str">
        <f>IFERROR(__xludf.DUMMYFUNCTION("""COMPUTED_VALUE"""),"Not specified")</f>
        <v>Not specified</v>
      </c>
      <c r="W32" t="str">
        <f>IFERROR(__xludf.DUMMYFUNCTION("""COMPUTED_VALUE"""),"No")</f>
        <v>No</v>
      </c>
      <c r="X32" t="str">
        <f>IFERROR(__xludf.DUMMYFUNCTION("""COMPUTED_VALUE"""),"Optional")</f>
        <v>Optional</v>
      </c>
      <c r="Y32" t="str">
        <f>IFERROR(__xludf.DUMMYFUNCTION("""COMPUTED_VALUE"""),"Not specified")</f>
        <v>Not specified</v>
      </c>
      <c r="Z32" t="str">
        <f>IFERROR(__xludf.DUMMYFUNCTION("""COMPUTED_VALUE"""),"Not specified")</f>
        <v>Not specified</v>
      </c>
      <c r="AA32" t="str">
        <f>IFERROR(__xludf.DUMMYFUNCTION("""COMPUTED_VALUE"""),"Peer review activity but not full reviews may be posted to Publons according to entry at Publons — https://publons.com/journal/586/cell-stem-cell
""Cell Press will not disclose any reviewer’s identity except at the specific reviewer’s request."" - https:/"&amp;"/www.cell.com/reviewers")</f>
        <v>Peer review activity but not full reviews may be posted to Publons according to entry at Publons — https://publons.com/journal/586/cell-stem-cell
"Cell Press will not disclose any reviewer’s identity except at the specific reviewer’s request." - https://www.cell.com/reviewers</v>
      </c>
      <c r="AB32" t="str">
        <f>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2" s="78" t="str">
        <f>IFERROR(__xludf.DUMMYFUNCTION("""COMPUTED_VALUE"""),"https://www.cell.com/reviewers")</f>
        <v>https://www.cell.com/reviewers</v>
      </c>
      <c r="AD32" t="str">
        <f>IFERROR(__xludf.DUMMYFUNCTION("""COMPUTED_VALUE"""),"Yes")</f>
        <v>Yes</v>
      </c>
      <c r="AE32" t="str">
        <f>IFERROR(__xludf.DUMMYFUNCTION("""COMPUTED_VALUE"""),"No")</f>
        <v>No</v>
      </c>
      <c r="AF32" t="str">
        <f>IFERROR(__xludf.DUMMYFUNCTION("""COMPUTED_VALUE"""),"Unsure")</f>
        <v>Unsure</v>
      </c>
      <c r="AG32" s="78" t="str">
        <f>IFERROR(__xludf.DUMMYFUNCTION("""COMPUTED_VALUE"""),"https://www.cell.com/cell-stem-cell/authors")</f>
        <v>https://www.cell.com/cell-stem-cell/authors</v>
      </c>
      <c r="AH32" t="str">
        <f>IFERROR(__xludf.DUMMYFUNCTION("""COMPUTED_VALUE"""),"First submission only (before peer review)")</f>
        <v>First submission only (before peer review)</v>
      </c>
      <c r="AI32" s="78" t="str">
        <f>IFERROR(__xludf.DUMMYFUNCTION("""COMPUTED_VALUE"""),"“We will consider papers previously posted on preprint servers like arXiv, bioRxiv, BioRN, ChemRxiv, or ChemRN.""")</f>
        <v>“We will consider papers previously posted on preprint servers like arXiv, bioRxiv, BioRN, ChemRxiv, or ChemRN."</v>
      </c>
      <c r="AJ32" t="str">
        <f>IFERROR(__xludf.DUMMYFUNCTION("""COMPUTED_VALUE"""),"Not specified")</f>
        <v>Not specified</v>
      </c>
      <c r="AK32" t="str">
        <f>IFERROR(__xludf.DUMMYFUNCTION("""COMPUTED_VALUE"""),"Unsure")</f>
        <v>Unsure</v>
      </c>
      <c r="AL32" t="str">
        <f>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https://www.cell.co"&amp;"m/cell-stem-cell/authors
""Also, our prepublication publicity policies with regard to coverage in the broader media still apply to studies posted on preprint servers."" — https://www.cell.com/cell-stem-cell/authors")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v>
      </c>
      <c r="AM32" t="str">
        <f>IFERROR(__xludf.DUMMYFUNCTION("""COMPUTED_VALUE"""),"Not specified")</f>
        <v>Not specified</v>
      </c>
      <c r="AN32" t="str">
        <f>IFERROR(__xludf.DUMMYFUNCTION("""COMPUTED_VALUE"""),"Not specified")</f>
        <v>Not specified</v>
      </c>
      <c r="AO32" t="str">
        <f>IFERROR(__xludf.DUMMYFUNCTION("""COMPUTED_VALUE"""),"Not specified")</f>
        <v>Not specified</v>
      </c>
      <c r="AP32" t="str">
        <f>IFERROR(__xludf.DUMMYFUNCTION("""COMPUTED_VALUE"""),"")</f>
        <v/>
      </c>
      <c r="AQ32" t="str">
        <f>IFERROR(__xludf.DUMMYFUNCTION("""COMPUTED_VALUE"""),"")</f>
        <v/>
      </c>
      <c r="AR32" t="str">
        <f>IFERROR(__xludf.DUMMYFUNCTION("""COMPUTED_VALUE"""),"")</f>
        <v/>
      </c>
    </row>
    <row r="33">
      <c r="A33" t="str">
        <f>IFERROR(__xludf.DUMMYFUNCTION("""COMPUTED_VALUE"""),"NP")</f>
        <v>NP</v>
      </c>
      <c r="B33" s="36">
        <f>IFERROR(__xludf.DUMMYFUNCTION("""COMPUTED_VALUE"""),43483.0)</f>
        <v>43483</v>
      </c>
      <c r="C33" t="str">
        <f>IFERROR(__xludf.DUMMYFUNCTION("""COMPUTED_VALUE"""),"TRH")</f>
        <v>TRH</v>
      </c>
      <c r="D33" s="36">
        <f>IFERROR(__xludf.DUMMYFUNCTION("""COMPUTED_VALUE"""),43576.0)</f>
        <v>43576</v>
      </c>
      <c r="E33" t="str">
        <f>IFERROR(__xludf.DUMMYFUNCTION("""COMPUTED_VALUE"""),"JP")</f>
        <v>JP</v>
      </c>
      <c r="F33" s="36">
        <f>IFERROR(__xludf.DUMMYFUNCTION("""COMPUTED_VALUE"""),43581.0)</f>
        <v>43581</v>
      </c>
      <c r="G33" t="str">
        <f>IFERROR(__xludf.DUMMYFUNCTION("""COMPUTED_VALUE"""),"")</f>
        <v/>
      </c>
      <c r="H33" t="str">
        <f>IFERROR(__xludf.DUMMYFUNCTION("""COMPUTED_VALUE"""),"0144-557X")</f>
        <v>0144-557X</v>
      </c>
      <c r="I33" t="str">
        <f>IFERROR(__xludf.DUMMYFUNCTION("""COMPUTED_VALUE"""),"Chemical communications (Cambridge, England)")</f>
        <v>Chemical communications (Cambridge, England)</v>
      </c>
      <c r="J33" t="str">
        <f>IFERROR(__xludf.DUMMYFUNCTION("""COMPUTED_VALUE"""),"Chemical &amp; Materials Sciences")</f>
        <v>Chemical &amp; Materials Sciences</v>
      </c>
      <c r="K33" t="str">
        <f>IFERROR(__xludf.DUMMYFUNCTION("""COMPUTED_VALUE"""),"Royal Society of Chemistry")</f>
        <v>Royal Society of Chemistry</v>
      </c>
      <c r="L33" t="str">
        <f>IFERROR(__xludf.DUMMYFUNCTION("""COMPUTED_VALUE"""),"Single blind, Double blind (optional)")</f>
        <v>Single blind, Double blind (optional)</v>
      </c>
      <c r="M33" s="78" t="str">
        <f>IFERROR(__xludf.DUMMYFUNCTION("""COMPUTED_VALUE"""),"http://www.rsc.org/journals-books-databases/journal-authors-reviewers/reviewer-responsibilities/")</f>
        <v>http://www.rsc.org/journals-books-databases/journal-authors-reviewers/reviewer-responsibilities/</v>
      </c>
      <c r="N33" t="str">
        <f>IFERROR(__xludf.DUMMYFUNCTION("""COMPUTED_VALUE"""),"Not found")</f>
        <v>Not found</v>
      </c>
      <c r="O33" s="78" t="str">
        <f>IFERROR(__xludf.DUMMYFUNCTION("""COMPUTED_VALUE"""),"http://www.rsc.org/journals-books-databases/journal-authors-reviewers/reviewer-responsibilities/#becoming-reviewer")</f>
        <v>http://www.rsc.org/journals-books-databases/journal-authors-reviewers/reviewer-responsibilities/#becoming-reviewer</v>
      </c>
      <c r="P33" t="str">
        <f>IFERROR(__xludf.DUMMYFUNCTION("""COMPUTED_VALUE"""),"Yes - Publons")</f>
        <v>Yes - Publons</v>
      </c>
      <c r="Q33" t="str">
        <f>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3" s="78" t="str">
        <f>IFERROR(__xludf.DUMMYFUNCTION("""COMPUTED_VALUE"""),"http://www.rsc.org/journals-books-databases/journal-authors-reviewers/processes-policies/#transfers")</f>
        <v>http://www.rsc.org/journals-books-databases/journal-authors-reviewers/processes-policies/#transfers</v>
      </c>
      <c r="S33" t="str">
        <f>IFERROR(__xludf.DUMMYFUNCTION("""COMPUTED_VALUE"""),"No")</f>
        <v>No</v>
      </c>
      <c r="T33" t="str">
        <f>IFERROR(__xludf.DUMMYFUNCTION("""COMPUTED_VALUE"""),"Not specified")</f>
        <v>Not specified</v>
      </c>
      <c r="U33" t="str">
        <f>IFERROR(__xludf.DUMMYFUNCTION("""COMPUTED_VALUE"""),"Not specified")</f>
        <v>Not specified</v>
      </c>
      <c r="V33" t="str">
        <f>IFERROR(__xludf.DUMMYFUNCTION("""COMPUTED_VALUE"""),"Not specified")</f>
        <v>Not specified</v>
      </c>
      <c r="W33" t="str">
        <f>IFERROR(__xludf.DUMMYFUNCTION("""COMPUTED_VALUE"""),"Optional")</f>
        <v>Optional</v>
      </c>
      <c r="X33" t="str">
        <f>IFERROR(__xludf.DUMMYFUNCTION("""COMPUTED_VALUE"""),"Optional")</f>
        <v>Optional</v>
      </c>
      <c r="Y33" t="str">
        <f>IFERROR(__xludf.DUMMYFUNCTION("""COMPUTED_VALUE"""),"Not specified")</f>
        <v>Not specified</v>
      </c>
      <c r="Z33" t="str">
        <f>IFERROR(__xludf.DUMMYFUNCTION("""COMPUTED_VALUE"""),"Not specified")</f>
        <v>Not specified</v>
      </c>
      <c r="AA33" t="str">
        <f>IFERROR(__xludf.DUMMYFUNCTION("""COMPUTED_VALUE"""),"Sharing review reports: “Reviewers may disclose publicly that they have served as a reviewer for a named Royal Society of Chemistry journal. However, a reviewer must not identify himself/herself as the reviewer of a specific manuscript nor disclose the co"&amp;"ntents of the submitted review to any individual or organization. This expectation of peer review confidentiality and anonymity applies both during and after the peer review process, without time limit.“; Reviewer identity: “The anonymity of reviewers is "&amp;"strictly preserved from the authors, unless a reviewer voluntarily signs their comments to authors.”")</f>
        <v>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B33" t="str">
        <f>IFERROR(__xludf.DUMMYFUNCTION("""COMPUTED_VALUE"""),"Not found")</f>
        <v>Not found</v>
      </c>
      <c r="AC33" t="str">
        <f>IFERROR(__xludf.DUMMYFUNCTION("""COMPUTED_VALUE"""),"Not found")</f>
        <v>Not found</v>
      </c>
      <c r="AD33" t="str">
        <f>IFERROR(__xludf.DUMMYFUNCTION("""COMPUTED_VALUE"""),"Unsure")</f>
        <v>Unsure</v>
      </c>
      <c r="AE33" t="str">
        <f>IFERROR(__xludf.DUMMYFUNCTION("""COMPUTED_VALUE"""),"Unsure")</f>
        <v>Unsure</v>
      </c>
      <c r="AF33" t="str">
        <f>IFERROR(__xludf.DUMMYFUNCTION("""COMPUTED_VALUE"""),"Unsure")</f>
        <v>Unsure</v>
      </c>
      <c r="AG33" s="78" t="str">
        <f>IFERROR(__xludf.DUMMYFUNCTION("""COMPUTED_VALUE"""),"http://www.rsc.org/journals-books-databases/journal-authors-reviewers/processes-policies/#prior-publication")</f>
        <v>http://www.rsc.org/journals-books-databases/journal-authors-reviewers/processes-policies/#prior-publication</v>
      </c>
      <c r="AH33" t="str">
        <f>IFERROR(__xludf.DUMMYFUNCTION("""COMPUTED_VALUE"""),"Unsure (preprints are allowed, but it's not clear what version)")</f>
        <v>Unsure (preprints are allowed, but it's not clear what version)</v>
      </c>
      <c r="AI33" t="str">
        <f>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3" t="str">
        <f>IFERROR(__xludf.DUMMYFUNCTION("""COMPUTED_VALUE"""),"Yes, in the reference list")</f>
        <v>Yes, in the reference list</v>
      </c>
      <c r="AK33" t="str">
        <f>IFERROR(__xludf.DUMMYFUNCTION("""COMPUTED_VALUE"""),"Unsure")</f>
        <v>Unsure</v>
      </c>
      <c r="AL33" t="str">
        <f>IFERROR(__xludf.DUMMYFUNCTION("""COMPUTED_VALUE"""),"Unsure")</f>
        <v>Unsure</v>
      </c>
      <c r="AM33" t="str">
        <f>IFERROR(__xludf.DUMMYFUNCTION("""COMPUTED_VALUE"""),"Not specified")</f>
        <v>Not specified</v>
      </c>
      <c r="AN33" t="str">
        <f>IFERROR(__xludf.DUMMYFUNCTION("""COMPUTED_VALUE"""),"Not specified")</f>
        <v>Not specified</v>
      </c>
      <c r="AO33" t="str">
        <f>IFERROR(__xludf.DUMMYFUNCTION("""COMPUTED_VALUE"""),"Not specified")</f>
        <v>Not specified</v>
      </c>
      <c r="AP33" t="str">
        <f>IFERROR(__xludf.DUMMYFUNCTION("""COMPUTED_VALUE"""),"")</f>
        <v/>
      </c>
      <c r="AQ33" t="str">
        <f>IFERROR(__xludf.DUMMYFUNCTION("""COMPUTED_VALUE"""),"")</f>
        <v/>
      </c>
      <c r="AR33" t="str">
        <f>IFERROR(__xludf.DUMMYFUNCTION("""COMPUTED_VALUE"""),"")</f>
        <v/>
      </c>
    </row>
    <row r="34">
      <c r="A34" t="str">
        <f>IFERROR(__xludf.DUMMYFUNCTION("""COMPUTED_VALUE"""),"NP")</f>
        <v>NP</v>
      </c>
      <c r="B34" s="36">
        <f>IFERROR(__xludf.DUMMYFUNCTION("""COMPUTED_VALUE"""),43483.0)</f>
        <v>43483</v>
      </c>
      <c r="C34" t="str">
        <f>IFERROR(__xludf.DUMMYFUNCTION("""COMPUTED_VALUE"""),"TRH")</f>
        <v>TRH</v>
      </c>
      <c r="D34" s="36">
        <f>IFERROR(__xludf.DUMMYFUNCTION("""COMPUTED_VALUE"""),43576.0)</f>
        <v>43576</v>
      </c>
      <c r="E34" t="str">
        <f>IFERROR(__xludf.DUMMYFUNCTION("""COMPUTED_VALUE"""),"JP")</f>
        <v>JP</v>
      </c>
      <c r="F34" s="36">
        <f>IFERROR(__xludf.DUMMYFUNCTION("""COMPUTED_VALUE"""),43581.0)</f>
        <v>43581</v>
      </c>
      <c r="G34" t="str">
        <f>IFERROR(__xludf.DUMMYFUNCTION("""COMPUTED_VALUE"""),"")</f>
        <v/>
      </c>
      <c r="H34" t="str">
        <f>IFERROR(__xludf.DUMMYFUNCTION("""COMPUTED_VALUE"""),"1520-6890")</f>
        <v>1520-6890</v>
      </c>
      <c r="I34" t="str">
        <f>IFERROR(__xludf.DUMMYFUNCTION("""COMPUTED_VALUE"""),"Chemical Reviews")</f>
        <v>Chemical Reviews</v>
      </c>
      <c r="J34" t="str">
        <f>IFERROR(__xludf.DUMMYFUNCTION("""COMPUTED_VALUE"""),"Chemical &amp; Materials Sciences")</f>
        <v>Chemical &amp; Materials Sciences</v>
      </c>
      <c r="K34" t="str">
        <f>IFERROR(__xludf.DUMMYFUNCTION("""COMPUTED_VALUE"""),"American Chemical Society (ACS)")</f>
        <v>American Chemical Society (ACS)</v>
      </c>
      <c r="L34" t="str">
        <f>IFERROR(__xludf.DUMMYFUNCTION("""COMPUTED_VALUE"""),"Unsure")</f>
        <v>Unsure</v>
      </c>
      <c r="M34" s="78" t="str">
        <f>IFERROR(__xludf.DUMMYFUNCTION("""COMPUTED_VALUE"""),"https://pubs.acs.org/page/chreay/submission/reviewers.html")</f>
        <v>https://pubs.acs.org/page/chreay/submission/reviewers.html</v>
      </c>
      <c r="N34" t="str">
        <f>IFERROR(__xludf.DUMMYFUNCTION("""COMPUTED_VALUE"""),"Not found")</f>
        <v>Not found</v>
      </c>
      <c r="O34" t="str">
        <f>IFERROR(__xludf.DUMMYFUNCTION("""COMPUTED_VALUE"""),"Not found")</f>
        <v>Not found</v>
      </c>
      <c r="P34" t="str">
        <f>IFERROR(__xludf.DUMMYFUNCTION("""COMPUTED_VALUE"""),"Unsure")</f>
        <v>Unsure</v>
      </c>
      <c r="Q34" t="str">
        <f>IFERROR(__xludf.DUMMYFUNCTION("""COMPUTED_VALUE"""),"Internal: “Sometimes an ACS journal editor finds that a submitted manuscript is more suitable for a different ACS journal. The Manuscript Transfer Service allows the author(s) to transfer the manuscript and submission details to another ACS journal withou"&amp;"t restarting the entire submission process… For manuscripts that have been peer reviewed, the reviews, reviewer identities, and ACS editor’s decision letter will also be provided to the next journal… If authors do not wish to share the reviews, they shoul"&amp;"d decline the offer to transfer the submission.”")</f>
        <v>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4" s="78" t="str">
        <f>IFERROR(__xludf.DUMMYFUNCTION("""COMPUTED_VALUE"""),"https://pubs.acs.org/page/policy/manuscript_transfer/index.html")</f>
        <v>https://pubs.acs.org/page/policy/manuscript_transfer/index.html</v>
      </c>
      <c r="S34" t="str">
        <f>IFERROR(__xludf.DUMMYFUNCTION("""COMPUTED_VALUE"""),"Not specified")</f>
        <v>Not specified</v>
      </c>
      <c r="T34" t="str">
        <f>IFERROR(__xludf.DUMMYFUNCTION("""COMPUTED_VALUE"""),"Not specified")</f>
        <v>Not specified</v>
      </c>
      <c r="U34" t="str">
        <f>IFERROR(__xludf.DUMMYFUNCTION("""COMPUTED_VALUE"""),"Not specified")</f>
        <v>Not specified</v>
      </c>
      <c r="V34" t="str">
        <f>IFERROR(__xludf.DUMMYFUNCTION("""COMPUTED_VALUE"""),"Not specified")</f>
        <v>Not specified</v>
      </c>
      <c r="W34" t="str">
        <f>IFERROR(__xludf.DUMMYFUNCTION("""COMPUTED_VALUE"""),"Not specified")</f>
        <v>Not specified</v>
      </c>
      <c r="X34" t="str">
        <f>IFERROR(__xludf.DUMMYFUNCTION("""COMPUTED_VALUE"""),"Not specified")</f>
        <v>Not specified</v>
      </c>
      <c r="Y34" t="str">
        <f>IFERROR(__xludf.DUMMYFUNCTION("""COMPUTED_VALUE"""),"Not specified")</f>
        <v>Not specified</v>
      </c>
      <c r="Z34" t="str">
        <f>IFERROR(__xludf.DUMMYFUNCTION("""COMPUTED_VALUE"""),"Not specified")</f>
        <v>Not specified</v>
      </c>
      <c r="AA34" t="str">
        <f>IFERROR(__xludf.DUMMYFUNCTION("""COMPUTED_VALUE"""),"Not specified")</f>
        <v>Not specified</v>
      </c>
      <c r="AB34" t="str">
        <f>IFERROR(__xludf.DUMMYFUNCTION("""COMPUTED_VALUE"""),"Not specified")</f>
        <v>Not specified</v>
      </c>
      <c r="AC34" t="str">
        <f>IFERROR(__xludf.DUMMYFUNCTION("""COMPUTED_VALUE"""),"Not found")</f>
        <v>Not found</v>
      </c>
      <c r="AD34" t="str">
        <f>IFERROR(__xludf.DUMMYFUNCTION("""COMPUTED_VALUE"""),"Unsure")</f>
        <v>Unsure</v>
      </c>
      <c r="AE34" t="str">
        <f>IFERROR(__xludf.DUMMYFUNCTION("""COMPUTED_VALUE"""),"Unsure")</f>
        <v>Unsure</v>
      </c>
      <c r="AF34" t="str">
        <f>IFERROR(__xludf.DUMMYFUNCTION("""COMPUTED_VALUE"""),"Unsure")</f>
        <v>Unsure</v>
      </c>
      <c r="AG34" s="78" t="str">
        <f>IFERROR(__xludf.DUMMYFUNCTION("""COMPUTED_VALUE"""),"https://pubs.acs.org/page/chreay/submission/prior.html")</f>
        <v>https://pubs.acs.org/page/chreay/submission/prior.html</v>
      </c>
      <c r="AH34" t="str">
        <f>IFERROR(__xludf.DUMMYFUNCTION("""COMPUTED_VALUE"""),"Other")</f>
        <v>Other</v>
      </c>
      <c r="AI34" t="str">
        <f>IFERROR(__xludf.DUMMYFUNCTION("""COMPUTED_VALUE"""),"Not specified")</f>
        <v>Not specified</v>
      </c>
      <c r="AJ34" t="str">
        <f>IFERROR(__xludf.DUMMYFUNCTION("""COMPUTED_VALUE"""),"No")</f>
        <v>No</v>
      </c>
      <c r="AK34" t="str">
        <f>IFERROR(__xludf.DUMMYFUNCTION("""COMPUTED_VALUE"""),"Unsure")</f>
        <v>Unsure</v>
      </c>
      <c r="AL34" t="str">
        <f>IFERROR(__xludf.DUMMYFUNCTION("""COMPUTED_VALUE"""),"Not specified")</f>
        <v>Not specified</v>
      </c>
      <c r="AM34" t="str">
        <f>IFERROR(__xludf.DUMMYFUNCTION("""COMPUTED_VALUE"""),"Not specified")</f>
        <v>Not specified</v>
      </c>
      <c r="AN34" t="str">
        <f>IFERROR(__xludf.DUMMYFUNCTION("""COMPUTED_VALUE"""),"Not specified")</f>
        <v>Not specified</v>
      </c>
      <c r="AO34" t="str">
        <f>IFERROR(__xludf.DUMMYFUNCTION("""COMPUTED_VALUE"""),"Not specified")</f>
        <v>Not specified</v>
      </c>
      <c r="AP34" t="str">
        <f>IFERROR(__xludf.DUMMYFUNCTION("""COMPUTED_VALUE"""),"")</f>
        <v/>
      </c>
      <c r="AQ34" t="str">
        <f>IFERROR(__xludf.DUMMYFUNCTION("""COMPUTED_VALUE"""),"")</f>
        <v/>
      </c>
      <c r="AR34" t="str">
        <f>IFERROR(__xludf.DUMMYFUNCTION("""COMPUTED_VALUE"""),"")</f>
        <v/>
      </c>
    </row>
    <row r="35">
      <c r="A35" t="str">
        <f>IFERROR(__xludf.DUMMYFUNCTION("""COMPUTED_VALUE"""),"NP")</f>
        <v>NP</v>
      </c>
      <c r="B35" s="36">
        <f>IFERROR(__xludf.DUMMYFUNCTION("""COMPUTED_VALUE"""),43483.0)</f>
        <v>43483</v>
      </c>
      <c r="C35" t="str">
        <f>IFERROR(__xludf.DUMMYFUNCTION("""COMPUTED_VALUE"""),"JP")</f>
        <v>JP</v>
      </c>
      <c r="D35" s="36">
        <f>IFERROR(__xludf.DUMMYFUNCTION("""COMPUTED_VALUE"""),43572.0)</f>
        <v>43572</v>
      </c>
      <c r="E35" t="str">
        <f>IFERROR(__xludf.DUMMYFUNCTION("""COMPUTED_VALUE"""),"TRH")</f>
        <v>TRH</v>
      </c>
      <c r="F35" s="36">
        <f>IFERROR(__xludf.DUMMYFUNCTION("""COMPUTED_VALUE"""),43580.0)</f>
        <v>43580</v>
      </c>
      <c r="G35" t="str">
        <f>IFERROR(__xludf.DUMMYFUNCTION("""COMPUTED_VALUE"""),"")</f>
        <v/>
      </c>
      <c r="H35" t="str">
        <f>IFERROR(__xludf.DUMMYFUNCTION("""COMPUTED_VALUE"""),"1460-4744")</f>
        <v>1460-4744</v>
      </c>
      <c r="I35" t="str">
        <f>IFERROR(__xludf.DUMMYFUNCTION("""COMPUTED_VALUE"""),"Chemical Society reviews")</f>
        <v>Chemical Society reviews</v>
      </c>
      <c r="J35" t="str">
        <f>IFERROR(__xludf.DUMMYFUNCTION("""COMPUTED_VALUE"""),"Chemical &amp; Materials Sciences")</f>
        <v>Chemical &amp; Materials Sciences</v>
      </c>
      <c r="K35" t="str">
        <f>IFERROR(__xludf.DUMMYFUNCTION("""COMPUTED_VALUE"""),"Royal Society of Chemistry")</f>
        <v>Royal Society of Chemistry</v>
      </c>
      <c r="L35" t="str">
        <f>IFERROR(__xludf.DUMMYFUNCTION("""COMPUTED_VALUE"""),"Unsure")</f>
        <v>Unsure</v>
      </c>
      <c r="M35" s="78" t="str">
        <f>IFERROR(__xludf.DUMMYFUNCTION("""COMPUTED_VALUE"""),"http://www.rsc.org/journals-books-databases/journal-authors-reviewers/reviewer-responsibilities/")</f>
        <v>http://www.rsc.org/journals-books-databases/journal-authors-reviewers/reviewer-responsibilities/</v>
      </c>
      <c r="N35" t="str">
        <f>IFERROR(__xludf.DUMMYFUNCTION("""COMPUTED_VALUE"""),"Not found")</f>
        <v>Not found</v>
      </c>
      <c r="O35" s="78" t="str">
        <f>IFERROR(__xludf.DUMMYFUNCTION("""COMPUTED_VALUE"""),"http://www.rsc.org/journals-books-databases/journal-authors-reviewers/reviewer-responsibilities/#becoming-reviewer")</f>
        <v>http://www.rsc.org/journals-books-databases/journal-authors-reviewers/reviewer-responsibilities/#becoming-reviewer</v>
      </c>
      <c r="P35" t="str">
        <f>IFERROR(__xludf.DUMMYFUNCTION("""COMPUTED_VALUE"""),"Yes - Publons")</f>
        <v>Yes - Publons</v>
      </c>
      <c r="Q35" t="str">
        <f>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5" s="78" t="str">
        <f>IFERROR(__xludf.DUMMYFUNCTION("""COMPUTED_VALUE"""),"http://www.rsc.org/journals-books-databases/journal-authors-reviewers/processes-policies/#transfers")</f>
        <v>http://www.rsc.org/journals-books-databases/journal-authors-reviewers/processes-policies/#transfers</v>
      </c>
      <c r="S35" t="str">
        <f>IFERROR(__xludf.DUMMYFUNCTION("""COMPUTED_VALUE"""),"No")</f>
        <v>No</v>
      </c>
      <c r="T35" t="str">
        <f>IFERROR(__xludf.DUMMYFUNCTION("""COMPUTED_VALUE"""),"Not specified")</f>
        <v>Not specified</v>
      </c>
      <c r="U35" t="str">
        <f>IFERROR(__xludf.DUMMYFUNCTION("""COMPUTED_VALUE"""),"Not specified")</f>
        <v>Not specified</v>
      </c>
      <c r="V35" t="str">
        <f>IFERROR(__xludf.DUMMYFUNCTION("""COMPUTED_VALUE"""),"Not specified")</f>
        <v>Not specified</v>
      </c>
      <c r="W35" t="str">
        <f>IFERROR(__xludf.DUMMYFUNCTION("""COMPUTED_VALUE"""),"Not specified")</f>
        <v>Not specified</v>
      </c>
      <c r="X35" t="str">
        <f>IFERROR(__xludf.DUMMYFUNCTION("""COMPUTED_VALUE"""),"Optional")</f>
        <v>Optional</v>
      </c>
      <c r="Y35" t="str">
        <f>IFERROR(__xludf.DUMMYFUNCTION("""COMPUTED_VALUE"""),"Not specified")</f>
        <v>Not specified</v>
      </c>
      <c r="Z35" t="str">
        <f>IFERROR(__xludf.DUMMYFUNCTION("""COMPUTED_VALUE"""),"Not specified")</f>
        <v>Not specified</v>
      </c>
      <c r="AA35" t="str">
        <f>IFERROR(__xludf.DUMMYFUNCTION("""COMPUTED_VALUE"""),"")</f>
        <v/>
      </c>
      <c r="AB35" t="str">
        <f>IFERROR(__xludf.DUMMYFUNCTION("""COMPUTED_VALUE"""),"The manuscript (or its existence) should not be shown to, disclosed to, or discussed with others, except in special cases, where specific scientific advice may be sought; in that event the editor must be informed and the identities of those consulted disc"&amp;"losed.")</f>
        <v>The manuscript (or its existence) should not be shown to, disclosed to, or discussed with others, except in special cases, where specific scientific advice may be sought; in that event the editor must be informed and the identities of those consulted disclosed.</v>
      </c>
      <c r="AC35" s="78" t="str">
        <f>IFERROR(__xludf.DUMMYFUNCTION("""COMPUTED_VALUE"""),"https://www.rsc.org/journals-books-databases/journal-authors-reviewers/reviewer-responsibilities/#ethical-responsibilities")</f>
        <v>https://www.rsc.org/journals-books-databases/journal-authors-reviewers/reviewer-responsibilities/#ethical-responsibilities</v>
      </c>
      <c r="AD35" t="str">
        <f>IFERROR(__xludf.DUMMYFUNCTION("""COMPUTED_VALUE"""),"Unsure")</f>
        <v>Unsure</v>
      </c>
      <c r="AE35" t="str">
        <f>IFERROR(__xludf.DUMMYFUNCTION("""COMPUTED_VALUE"""),"Unsure")</f>
        <v>Unsure</v>
      </c>
      <c r="AF35" t="str">
        <f>IFERROR(__xludf.DUMMYFUNCTION("""COMPUTED_VALUE"""),"Unsure")</f>
        <v>Unsure</v>
      </c>
      <c r="AG35" s="78" t="str">
        <f>IFERROR(__xludf.DUMMYFUNCTION("""COMPUTED_VALUE"""),"http://www.rsc.org/journals-books-databases/journal-authors-reviewers/processes-policies/#prior-publication")</f>
        <v>http://www.rsc.org/journals-books-databases/journal-authors-reviewers/processes-policies/#prior-publication</v>
      </c>
      <c r="AH35" t="str">
        <f>IFERROR(__xludf.DUMMYFUNCTION("""COMPUTED_VALUE"""),"First submission only (before peer review)")</f>
        <v>First submission only (before peer review)</v>
      </c>
      <c r="AI35" t="str">
        <f>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5" t="str">
        <f>IFERROR(__xludf.DUMMYFUNCTION("""COMPUTED_VALUE"""),"Yes, in the reference list")</f>
        <v>Yes, in the reference list</v>
      </c>
      <c r="AK35" t="str">
        <f>IFERROR(__xludf.DUMMYFUNCTION("""COMPUTED_VALUE"""),"Unsure")</f>
        <v>Unsure</v>
      </c>
      <c r="AL35" t="str">
        <f>IFERROR(__xludf.DUMMYFUNCTION("""COMPUTED_VALUE"""),"")</f>
        <v/>
      </c>
      <c r="AM35" t="str">
        <f>IFERROR(__xludf.DUMMYFUNCTION("""COMPUTED_VALUE"""),"")</f>
        <v/>
      </c>
      <c r="AN35" t="str">
        <f>IFERROR(__xludf.DUMMYFUNCTION("""COMPUTED_VALUE"""),"")</f>
        <v/>
      </c>
      <c r="AO35" t="str">
        <f>IFERROR(__xludf.DUMMYFUNCTION("""COMPUTED_VALUE"""),"")</f>
        <v/>
      </c>
      <c r="AP35" t="str">
        <f>IFERROR(__xludf.DUMMYFUNCTION("""COMPUTED_VALUE"""),"RSC-general policies copied from Chemical Communications, only type of peer review journal-specific. Peer review: assume single blind but not stated; general policy at http://www.rsc.org/journals-books-databases/about-journals/chemcomm/#%20journal-specifi"&amp;"c-guidelines; Preprints: citation style example at http://www.rsc.org/journals-books-databases/journal-authors-reviewers/prepare-your-article/#format-layout; Preprints: preprints permitted; VOR may not be shared but accepted manuscript may be after embarg"&amp;"o of 12 months — http://www.rsc.org/journals-books-databases/journal-authors-reviewers/licences-copyright-permissions/#deposition-sharing;  Sharing review reports: “Reviewers may disclose publicly that they have served as a reviewer for a named Royal Soci"&amp;"ety of Chemistry journal. However, a reviewer must not identify himself/herself as the reviewer of a specific manuscript nor disclose the contents of the submitted review to any individual or organization. This expectation of peer review confidentiality a"&amp;"nd anonymity applies both during and after the peer review process, without time limit.“; Reviewer identity: “The anonymity of reviewers is strictly preserved from the authors, unless a reviewer voluntarily signs their comments to authors.”")</f>
        <v>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Q35" t="str">
        <f>IFERROR(__xludf.DUMMYFUNCTION("""COMPUTED_VALUE"""),"")</f>
        <v/>
      </c>
      <c r="AR35" t="str">
        <f>IFERROR(__xludf.DUMMYFUNCTION("""COMPUTED_VALUE"""),"")</f>
        <v/>
      </c>
    </row>
    <row r="36">
      <c r="A36" t="str">
        <f>IFERROR(__xludf.DUMMYFUNCTION("""COMPUTED_VALUE"""),"NP")</f>
        <v>NP</v>
      </c>
      <c r="B36" s="36">
        <f>IFERROR(__xludf.DUMMYFUNCTION("""COMPUTED_VALUE"""),43483.0)</f>
        <v>43483</v>
      </c>
      <c r="C36" t="str">
        <f>IFERROR(__xludf.DUMMYFUNCTION("""COMPUTED_VALUE"""),"JP")</f>
        <v>JP</v>
      </c>
      <c r="D36" s="36">
        <f>IFERROR(__xludf.DUMMYFUNCTION("""COMPUTED_VALUE"""),43572.0)</f>
        <v>43572</v>
      </c>
      <c r="E36" t="str">
        <f>IFERROR(__xludf.DUMMYFUNCTION("""COMPUTED_VALUE"""),"TRH")</f>
        <v>TRH</v>
      </c>
      <c r="F36" s="36">
        <f>IFERROR(__xludf.DUMMYFUNCTION("""COMPUTED_VALUE"""),43580.0)</f>
        <v>43580</v>
      </c>
      <c r="G36" t="str">
        <f>IFERROR(__xludf.DUMMYFUNCTION("""COMPUTED_VALUE"""),"")</f>
        <v/>
      </c>
      <c r="H36" t="str">
        <f>IFERROR(__xludf.DUMMYFUNCTION("""COMPUTED_VALUE"""),"1520-5002")</f>
        <v>1520-5002</v>
      </c>
      <c r="I36" t="str">
        <f>IFERROR(__xludf.DUMMYFUNCTION("""COMPUTED_VALUE"""),"Chemistry of Materials")</f>
        <v>Chemistry of Materials</v>
      </c>
      <c r="J36" t="str">
        <f>IFERROR(__xludf.DUMMYFUNCTION("""COMPUTED_VALUE"""),"Chemical &amp; Materials Sciences,
Engineering &amp; Computer Science")</f>
        <v>Chemical &amp; Materials Sciences,
Engineering &amp; Computer Science</v>
      </c>
      <c r="K36" t="str">
        <f>IFERROR(__xludf.DUMMYFUNCTION("""COMPUTED_VALUE"""),"American Chemical Society (ACS)")</f>
        <v>American Chemical Society (ACS)</v>
      </c>
      <c r="L36" t="str">
        <f>IFERROR(__xludf.DUMMYFUNCTION("""COMPUTED_VALUE"""),"Unsure")</f>
        <v>Unsure</v>
      </c>
      <c r="M36" s="78" t="str">
        <f>IFERROR(__xludf.DUMMYFUNCTION("""COMPUTED_VALUE"""),"https://pubs.acs.org/paragonplus/submission/cmatex/cmatex_scope.pdf")</f>
        <v>https://pubs.acs.org/paragonplus/submission/cmatex/cmatex_scope.pdf</v>
      </c>
      <c r="N36" t="str">
        <f>IFERROR(__xludf.DUMMYFUNCTION("""COMPUTED_VALUE"""),"")</f>
        <v/>
      </c>
      <c r="O36" t="str">
        <f>IFERROR(__xludf.DUMMYFUNCTION("""COMPUTED_VALUE"""),"")</f>
        <v/>
      </c>
      <c r="P36" t="str">
        <f>IFERROR(__xludf.DUMMYFUNCTION("""COMPUTED_VALUE"""),"Unsure")</f>
        <v>Unsure</v>
      </c>
      <c r="Q36" t="str">
        <f>IFERROR(__xludf.DUMMYFUNCTION("""COMPUTED_VALUE"""),"Sometimes an ACS journal editor finds that a submitted manuscript is more suitable for a different ACS journal. The Manuscript Transfer Service allows the author(s) to transfer the manuscript and submission details to another ACS journal without restartin"&amp;"g the entire submission process… For manuscripts that have been peer reviewed, the reviews, reviewer identities, and ACS editor’s decision letter will also be provided to the next journal… If authors do not wish to share the reviews, they should decline t"&amp;"he offer to transfer the submission.")</f>
        <v>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6" s="78" t="str">
        <f>IFERROR(__xludf.DUMMYFUNCTION("""COMPUTED_VALUE"""),"https://pubs.acs.org/page/policy/manuscript_transfer/index.html")</f>
        <v>https://pubs.acs.org/page/policy/manuscript_transfer/index.html</v>
      </c>
      <c r="S36" t="str">
        <f>IFERROR(__xludf.DUMMYFUNCTION("""COMPUTED_VALUE"""),"Not specified")</f>
        <v>Not specified</v>
      </c>
      <c r="T36" t="str">
        <f>IFERROR(__xludf.DUMMYFUNCTION("""COMPUTED_VALUE"""),"Not specified")</f>
        <v>Not specified</v>
      </c>
      <c r="U36" t="str">
        <f>IFERROR(__xludf.DUMMYFUNCTION("""COMPUTED_VALUE"""),"Not specified")</f>
        <v>Not specified</v>
      </c>
      <c r="V36" t="str">
        <f>IFERROR(__xludf.DUMMYFUNCTION("""COMPUTED_VALUE"""),"Not specified")</f>
        <v>Not specified</v>
      </c>
      <c r="W36" t="str">
        <f>IFERROR(__xludf.DUMMYFUNCTION("""COMPUTED_VALUE"""),"Not specified")</f>
        <v>Not specified</v>
      </c>
      <c r="X36" t="str">
        <f>IFERROR(__xludf.DUMMYFUNCTION("""COMPUTED_VALUE"""),"Not specified")</f>
        <v>Not specified</v>
      </c>
      <c r="Y36" t="str">
        <f>IFERROR(__xludf.DUMMYFUNCTION("""COMPUTED_VALUE"""),"Not specified")</f>
        <v>Not specified</v>
      </c>
      <c r="Z36" t="str">
        <f>IFERROR(__xludf.DUMMYFUNCTION("""COMPUTED_VALUE"""),"Not specified")</f>
        <v>Not specified</v>
      </c>
      <c r="AA36" t="str">
        <f>IFERROR(__xludf.DUMMYFUNCTION("""COMPUTED_VALUE"""),"")</f>
        <v/>
      </c>
      <c r="AB36" t="str">
        <f>IFERROR(__xludf.DUMMYFUNCTION("""COMPUTED_VALUE"""),"")</f>
        <v/>
      </c>
      <c r="AC36" t="str">
        <f>IFERROR(__xludf.DUMMYFUNCTION("""COMPUTED_VALUE"""),"")</f>
        <v/>
      </c>
      <c r="AD36" t="str">
        <f>IFERROR(__xludf.DUMMYFUNCTION("""COMPUTED_VALUE"""),"Unsure")</f>
        <v>Unsure</v>
      </c>
      <c r="AE36" t="str">
        <f>IFERROR(__xludf.DUMMYFUNCTION("""COMPUTED_VALUE"""),"Unsure")</f>
        <v>Unsure</v>
      </c>
      <c r="AF36" t="str">
        <f>IFERROR(__xludf.DUMMYFUNCTION("""COMPUTED_VALUE"""),"Unsure")</f>
        <v>Unsure</v>
      </c>
      <c r="AG36" s="78" t="str">
        <f>IFERROR(__xludf.DUMMYFUNCTION("""COMPUTED_VALUE"""),"https://pubs.acs.org/page/cmatex/submission/prior.html")</f>
        <v>https://pubs.acs.org/page/cmatex/submission/prior.html</v>
      </c>
      <c r="AH36" t="str">
        <f>IFERROR(__xludf.DUMMYFUNCTION("""COMPUTED_VALUE"""),"First submission only (before peer review)")</f>
        <v>First submission only (before peer review)</v>
      </c>
      <c r="AI36" t="str">
        <f>IFERROR(__xludf.DUMMYFUNCTION("""COMPUTED_VALUE"""),"“Chemistry of Materials authors are allowed to deposit an initial draft of their manuscript in ChemRxiv, bioRxiv, and arXiv, prior to submission. Please note that the use of any other preprint server must be indicated in the cover letter and include a lin"&amp;"k to the preprint, and as appropriate, state how the manuscript has been adjusted/updated between deposition and submission. All other prior/redundant publication is forbidden.”")</f>
        <v>“Chemistry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v>
      </c>
      <c r="AJ36" t="str">
        <f>IFERROR(__xludf.DUMMYFUNCTION("""COMPUTED_VALUE"""),"Unsure")</f>
        <v>Unsure</v>
      </c>
      <c r="AK36" t="str">
        <f>IFERROR(__xludf.DUMMYFUNCTION("""COMPUTED_VALUE"""),"Unsure")</f>
        <v>Unsure</v>
      </c>
      <c r="AL36" t="str">
        <f>IFERROR(__xludf.DUMMYFUNCTION("""COMPUTED_VALUE"""),"")</f>
        <v/>
      </c>
      <c r="AM36" t="str">
        <f>IFERROR(__xludf.DUMMYFUNCTION("""COMPUTED_VALUE"""),"")</f>
        <v/>
      </c>
      <c r="AN36" t="str">
        <f>IFERROR(__xludf.DUMMYFUNCTION("""COMPUTED_VALUE"""),"")</f>
        <v/>
      </c>
      <c r="AO36" t="str">
        <f>IFERROR(__xludf.DUMMYFUNCTION("""COMPUTED_VALUE"""),"")</f>
        <v/>
      </c>
      <c r="AP36" s="78" t="str">
        <f>IFERROR(__xludf.DUMMYFUNCTION("""COMPUTED_VALUE"""),"Some info general to ACS journals, copied from Chemical Reviews. Preprints: only allowed for specified or permitted servers, version unclear; other URL (no additional info): https://pubs.acs.org/paragonplus/submission/cmatex/cmatex_authguide.pdf; https://"&amp;"pubs.acs.org/page/cmatex/submission/reviewers.html")</f>
        <v>Some info general to ACS journals, copied from Chemical Reviews. Preprints: only allowed for specified or permitted servers, version unclear; other URL (no additional info): https://pubs.acs.org/paragonplus/submission/cmatex/cmatex_authguide.pdf; https://pubs.acs.org/page/cmatex/submission/reviewers.html</v>
      </c>
      <c r="AQ36" t="str">
        <f>IFERROR(__xludf.DUMMYFUNCTION("""COMPUTED_VALUE"""),"")</f>
        <v/>
      </c>
      <c r="AR36" t="str">
        <f>IFERROR(__xludf.DUMMYFUNCTION("""COMPUTED_VALUE"""),"")</f>
        <v/>
      </c>
    </row>
    <row r="37">
      <c r="A37" t="str">
        <f>IFERROR(__xludf.DUMMYFUNCTION("""COMPUTED_VALUE"""),"NP")</f>
        <v>NP</v>
      </c>
      <c r="B37" s="36">
        <f>IFERROR(__xludf.DUMMYFUNCTION("""COMPUTED_VALUE"""),43483.0)</f>
        <v>43483</v>
      </c>
      <c r="C37" t="str">
        <f>IFERROR(__xludf.DUMMYFUNCTION("""COMPUTED_VALUE"""),"JP")</f>
        <v>JP</v>
      </c>
      <c r="D37" s="36">
        <f>IFERROR(__xludf.DUMMYFUNCTION("""COMPUTED_VALUE"""),43572.0)</f>
        <v>43572</v>
      </c>
      <c r="E37" t="str">
        <f>IFERROR(__xludf.DUMMYFUNCTION("""COMPUTED_VALUE"""),"TRH")</f>
        <v>TRH</v>
      </c>
      <c r="F37" s="36">
        <f>IFERROR(__xludf.DUMMYFUNCTION("""COMPUTED_VALUE"""),43580.0)</f>
        <v>43580</v>
      </c>
      <c r="G37" t="str">
        <f>IFERROR(__xludf.DUMMYFUNCTION("""COMPUTED_VALUE"""),"")</f>
        <v/>
      </c>
      <c r="H37" t="str">
        <f>IFERROR(__xludf.DUMMYFUNCTION("""COMPUTED_VALUE"""),"0009-7322")</f>
        <v>0009-7322</v>
      </c>
      <c r="I37" t="str">
        <f>IFERROR(__xludf.DUMMYFUNCTION("""COMPUTED_VALUE"""),"Circulation")</f>
        <v>Circulation</v>
      </c>
      <c r="J37" t="str">
        <f>IFERROR(__xludf.DUMMYFUNCTION("""COMPUTED_VALUE"""),"Health &amp; Medical Sciences")</f>
        <v>Health &amp; Medical Sciences</v>
      </c>
      <c r="K37" t="str">
        <f>IFERROR(__xludf.DUMMYFUNCTION("""COMPUTED_VALUE"""),"American Heart Association (AHA)")</f>
        <v>American Heart Association (AHA)</v>
      </c>
      <c r="L37" t="str">
        <f>IFERROR(__xludf.DUMMYFUNCTION("""COMPUTED_VALUE"""),"Single blind")</f>
        <v>Single blind</v>
      </c>
      <c r="M37" s="78" t="str">
        <f>IFERROR(__xludf.DUMMYFUNCTION("""COMPUTED_VALUE"""),"https://www.ahajournals.org/pb-assets/Ethical%20ConductPolicyApril2017finalWeb.pdf")</f>
        <v>https://www.ahajournals.org/pb-assets/Ethical%20ConductPolicyApril2017finalWeb.pdf</v>
      </c>
      <c r="N37" t="str">
        <f>IFERROR(__xludf.DUMMYFUNCTION("""COMPUTED_VALUE"""),"")</f>
        <v/>
      </c>
      <c r="O37" t="str">
        <f>IFERROR(__xludf.DUMMYFUNCTION("""COMPUTED_VALUE"""),"")</f>
        <v/>
      </c>
      <c r="P37" t="str">
        <f>IFERROR(__xludf.DUMMYFUNCTION("""COMPUTED_VALUE"""),"Unsure")</f>
        <v>Unsure</v>
      </c>
      <c r="Q37" t="str">
        <f>IFERROR(__xludf.DUMMYFUNCTION("""COMPUTED_VALUE"""),"")</f>
        <v/>
      </c>
      <c r="R37" t="str">
        <f>IFERROR(__xludf.DUMMYFUNCTION("""COMPUTED_VALUE"""),"")</f>
        <v/>
      </c>
      <c r="S37" t="str">
        <f>IFERROR(__xludf.DUMMYFUNCTION("""COMPUTED_VALUE"""),"Not specified")</f>
        <v>Not specified</v>
      </c>
      <c r="T37" t="str">
        <f>IFERROR(__xludf.DUMMYFUNCTION("""COMPUTED_VALUE"""),"Not specified")</f>
        <v>Not specified</v>
      </c>
      <c r="U37" t="str">
        <f>IFERROR(__xludf.DUMMYFUNCTION("""COMPUTED_VALUE"""),"Not specified")</f>
        <v>Not specified</v>
      </c>
      <c r="V37" t="str">
        <f>IFERROR(__xludf.DUMMYFUNCTION("""COMPUTED_VALUE"""),"Not specified")</f>
        <v>Not specified</v>
      </c>
      <c r="W37" t="str">
        <f>IFERROR(__xludf.DUMMYFUNCTION("""COMPUTED_VALUE"""),"Not specified")</f>
        <v>Not specified</v>
      </c>
      <c r="X37" t="str">
        <f>IFERROR(__xludf.DUMMYFUNCTION("""COMPUTED_VALUE"""),"Not specified")</f>
        <v>Not specified</v>
      </c>
      <c r="Y37" t="str">
        <f>IFERROR(__xludf.DUMMYFUNCTION("""COMPUTED_VALUE"""),"Not specified")</f>
        <v>Not specified</v>
      </c>
      <c r="Z37" t="str">
        <f>IFERROR(__xludf.DUMMYFUNCTION("""COMPUTED_VALUE"""),"Not specified")</f>
        <v>Not specified</v>
      </c>
      <c r="AA37" t="str">
        <f>IFERROR(__xludf.DUMMYFUNCTION("""COMPUTED_VALUE"""),"")</f>
        <v/>
      </c>
      <c r="AB37" t="str">
        <f>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7" t="str">
        <f>IFERROR(__xludf.DUMMYFUNCTION("""COMPUTED_VALUE"""),"")</f>
        <v/>
      </c>
      <c r="AD37" t="str">
        <f>IFERROR(__xludf.DUMMYFUNCTION("""COMPUTED_VALUE"""),"Unsure")</f>
        <v>Unsure</v>
      </c>
      <c r="AE37" t="str">
        <f>IFERROR(__xludf.DUMMYFUNCTION("""COMPUTED_VALUE"""),"Unsure")</f>
        <v>Unsure</v>
      </c>
      <c r="AF37" t="str">
        <f>IFERROR(__xludf.DUMMYFUNCTION("""COMPUTED_VALUE"""),"Unsure")</f>
        <v>Unsure</v>
      </c>
      <c r="AG37" s="78" t="str">
        <f>IFERROR(__xludf.DUMMYFUNCTION("""COMPUTED_VALUE"""),"https://www.ahajournals.org/prior-publication-policy")</f>
        <v>https://www.ahajournals.org/prior-publication-policy</v>
      </c>
      <c r="AH37" t="str">
        <f>IFERROR(__xludf.DUMMYFUNCTION("""COMPUTED_VALUE"""),"First submission only (before peer review)")</f>
        <v>First submission only (before peer review)</v>
      </c>
      <c r="AI37" t="str">
        <f>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7" t="str">
        <f>IFERROR(__xludf.DUMMYFUNCTION("""COMPUTED_VALUE"""),"No")</f>
        <v>No</v>
      </c>
      <c r="AK37" t="str">
        <f>IFERROR(__xludf.DUMMYFUNCTION("""COMPUTED_VALUE"""),"Unsure")</f>
        <v>Unsure</v>
      </c>
      <c r="AL37" t="str">
        <f>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7" t="str">
        <f>IFERROR(__xludf.DUMMYFUNCTION("""COMPUTED_VALUE"""),"")</f>
        <v/>
      </c>
      <c r="AN37" t="str">
        <f>IFERROR(__xludf.DUMMYFUNCTION("""COMPUTED_VALUE"""),"")</f>
        <v/>
      </c>
      <c r="AO37" t="str">
        <f>IFERROR(__xludf.DUMMYFUNCTION("""COMPUTED_VALUE"""),"")</f>
        <v/>
      </c>
      <c r="AP37" s="78" t="str">
        <f>IFERROR(__xludf.DUMMYFUNCTION("""COMPUTED_VALUE"""),"Peer review: type assumed single since reviewers asked to specify COI due to author relationship - https://www.ahajournals.org/pb-assets/Ethical%20ConductPolicyApril2017finalWeb.pdf: citation: “References must be from a full-length publication in a peer-r"&amp;"eviewed journal.” — https://www.ahajournals.org/circ/manuscript-preparation; other policy URL: https://www.ahajournals.org/pb-assets/Ethical%20ConductPolicyApril2017finalWeb.pdf")</f>
        <v>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v>
      </c>
      <c r="AQ37" t="str">
        <f>IFERROR(__xludf.DUMMYFUNCTION("""COMPUTED_VALUE"""),"")</f>
        <v/>
      </c>
      <c r="AR37" t="str">
        <f>IFERROR(__xludf.DUMMYFUNCTION("""COMPUTED_VALUE"""),"")</f>
        <v/>
      </c>
    </row>
    <row r="38">
      <c r="A38" t="str">
        <f>IFERROR(__xludf.DUMMYFUNCTION("""COMPUTED_VALUE"""),"NP")</f>
        <v>NP</v>
      </c>
      <c r="B38" s="36">
        <f>IFERROR(__xludf.DUMMYFUNCTION("""COMPUTED_VALUE"""),43483.0)</f>
        <v>43483</v>
      </c>
      <c r="C38" t="str">
        <f>IFERROR(__xludf.DUMMYFUNCTION("""COMPUTED_VALUE"""),"JP")</f>
        <v>JP</v>
      </c>
      <c r="D38" s="36">
        <f>IFERROR(__xludf.DUMMYFUNCTION("""COMPUTED_VALUE"""),43572.0)</f>
        <v>43572</v>
      </c>
      <c r="E38" t="str">
        <f>IFERROR(__xludf.DUMMYFUNCTION("""COMPUTED_VALUE"""),"TRH")</f>
        <v>TRH</v>
      </c>
      <c r="F38" s="36">
        <f>IFERROR(__xludf.DUMMYFUNCTION("""COMPUTED_VALUE"""),43580.0)</f>
        <v>43580</v>
      </c>
      <c r="G38" t="str">
        <f>IFERROR(__xludf.DUMMYFUNCTION("""COMPUTED_VALUE"""),"")</f>
        <v/>
      </c>
      <c r="H38" t="str">
        <f>IFERROR(__xludf.DUMMYFUNCTION("""COMPUTED_VALUE"""),"1524-4571")</f>
        <v>1524-4571</v>
      </c>
      <c r="I38" t="str">
        <f>IFERROR(__xludf.DUMMYFUNCTION("""COMPUTED_VALUE"""),"Circulation Research")</f>
        <v>Circulation Research</v>
      </c>
      <c r="J38" t="str">
        <f>IFERROR(__xludf.DUMMYFUNCTION("""COMPUTED_VALUE"""),"")</f>
        <v/>
      </c>
      <c r="K38" t="str">
        <f>IFERROR(__xludf.DUMMYFUNCTION("""COMPUTED_VALUE"""),"American Heart Association/American Stroke Association (AHA/ASA)")</f>
        <v>American Heart Association/American Stroke Association (AHA/ASA)</v>
      </c>
      <c r="L38" t="str">
        <f>IFERROR(__xludf.DUMMYFUNCTION("""COMPUTED_VALUE"""),"Single blind")</f>
        <v>Single blind</v>
      </c>
      <c r="M38" s="78" t="str">
        <f>IFERROR(__xludf.DUMMYFUNCTION("""COMPUTED_VALUE"""),"https://www.ahajournals.org/pb-assets/Ethical%20ConductPolicyApril2017finalWeb.pdf")</f>
        <v>https://www.ahajournals.org/pb-assets/Ethical%20ConductPolicyApril2017finalWeb.pdf</v>
      </c>
      <c r="N38" t="str">
        <f>IFERROR(__xludf.DUMMYFUNCTION("""COMPUTED_VALUE"""),"")</f>
        <v/>
      </c>
      <c r="O38" t="str">
        <f>IFERROR(__xludf.DUMMYFUNCTION("""COMPUTED_VALUE"""),"")</f>
        <v/>
      </c>
      <c r="P38" t="str">
        <f>IFERROR(__xludf.DUMMYFUNCTION("""COMPUTED_VALUE"""),"Unsure")</f>
        <v>Unsure</v>
      </c>
      <c r="Q38" t="str">
        <f>IFERROR(__xludf.DUMMYFUNCTION("""COMPUTED_VALUE"""),"")</f>
        <v/>
      </c>
      <c r="R38" t="str">
        <f>IFERROR(__xludf.DUMMYFUNCTION("""COMPUTED_VALUE"""),"")</f>
        <v/>
      </c>
      <c r="S38" t="str">
        <f>IFERROR(__xludf.DUMMYFUNCTION("""COMPUTED_VALUE"""),"Not specified")</f>
        <v>Not specified</v>
      </c>
      <c r="T38" t="str">
        <f>IFERROR(__xludf.DUMMYFUNCTION("""COMPUTED_VALUE"""),"Not specified")</f>
        <v>Not specified</v>
      </c>
      <c r="U38" t="str">
        <f>IFERROR(__xludf.DUMMYFUNCTION("""COMPUTED_VALUE"""),"Not specified")</f>
        <v>Not specified</v>
      </c>
      <c r="V38" t="str">
        <f>IFERROR(__xludf.DUMMYFUNCTION("""COMPUTED_VALUE"""),"Not specified")</f>
        <v>Not specified</v>
      </c>
      <c r="W38" t="str">
        <f>IFERROR(__xludf.DUMMYFUNCTION("""COMPUTED_VALUE"""),"Not specified")</f>
        <v>Not specified</v>
      </c>
      <c r="X38" t="str">
        <f>IFERROR(__xludf.DUMMYFUNCTION("""COMPUTED_VALUE"""),"Not specified")</f>
        <v>Not specified</v>
      </c>
      <c r="Y38" t="str">
        <f>IFERROR(__xludf.DUMMYFUNCTION("""COMPUTED_VALUE"""),"Not specified")</f>
        <v>Not specified</v>
      </c>
      <c r="Z38" t="str">
        <f>IFERROR(__xludf.DUMMYFUNCTION("""COMPUTED_VALUE"""),"Not specified")</f>
        <v>Not specified</v>
      </c>
      <c r="AA38" t="str">
        <f>IFERROR(__xludf.DUMMYFUNCTION("""COMPUTED_VALUE"""),"")</f>
        <v/>
      </c>
      <c r="AB38" t="str">
        <f>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8" s="78" t="str">
        <f>IFERROR(__xludf.DUMMYFUNCTION("""COMPUTED_VALUE"""),"https://www.ahajournals.org/pb-assets/Ethical%20ConductPolicyApril2017finalWeb.pdf")</f>
        <v>https://www.ahajournals.org/pb-assets/Ethical%20ConductPolicyApril2017finalWeb.pdf</v>
      </c>
      <c r="AD38" t="str">
        <f>IFERROR(__xludf.DUMMYFUNCTION("""COMPUTED_VALUE"""),"Unsure")</f>
        <v>Unsure</v>
      </c>
      <c r="AE38" t="str">
        <f>IFERROR(__xludf.DUMMYFUNCTION("""COMPUTED_VALUE"""),"Unsure")</f>
        <v>Unsure</v>
      </c>
      <c r="AF38" t="str">
        <f>IFERROR(__xludf.DUMMYFUNCTION("""COMPUTED_VALUE"""),"Unsure")</f>
        <v>Unsure</v>
      </c>
      <c r="AG38" s="78" t="str">
        <f>IFERROR(__xludf.DUMMYFUNCTION("""COMPUTED_VALUE"""),"https://www.ahajournals.org/prior-publication-policy")</f>
        <v>https://www.ahajournals.org/prior-publication-policy</v>
      </c>
      <c r="AH38" t="str">
        <f>IFERROR(__xludf.DUMMYFUNCTION("""COMPUTED_VALUE"""),"First submission only (before peer review)")</f>
        <v>First submission only (before peer review)</v>
      </c>
      <c r="AI38" t="str">
        <f>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8" t="str">
        <f>IFERROR(__xludf.DUMMYFUNCTION("""COMPUTED_VALUE"""),"No")</f>
        <v>No</v>
      </c>
      <c r="AK38" t="str">
        <f>IFERROR(__xludf.DUMMYFUNCTION("""COMPUTED_VALUE"""),"Unsure")</f>
        <v>Unsure</v>
      </c>
      <c r="AL38" t="str">
        <f>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8" t="str">
        <f>IFERROR(__xludf.DUMMYFUNCTION("""COMPUTED_VALUE"""),"")</f>
        <v/>
      </c>
      <c r="AN38" t="str">
        <f>IFERROR(__xludf.DUMMYFUNCTION("""COMPUTED_VALUE"""),"")</f>
        <v/>
      </c>
      <c r="AO38" t="str">
        <f>IFERROR(__xludf.DUMMYFUNCTION("""COMPUTED_VALUE"""),"")</f>
        <v/>
      </c>
      <c r="AP38" s="78" t="str">
        <f>IFERROR(__xludf.DUMMYFUNCTION("""COMPUTED_VALUE"""),"Some policies general to AHA journals, copied from Circulation; Peer review: type assumed single since reviewers asked to specify COI due to author relationship - https://www.ahajournals.org/pb-assets/Ethical%20ConductPolicyApril2017finalWeb.pdf: citation"&amp;": “References must be from a full-length publication in a peer-reviewed journal.” — https://www.ahajournals.org/res/manuscript-preparation")</f>
        <v>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v>
      </c>
      <c r="AQ38" t="str">
        <f>IFERROR(__xludf.DUMMYFUNCTION("""COMPUTED_VALUE"""),"")</f>
        <v/>
      </c>
      <c r="AR38" t="str">
        <f>IFERROR(__xludf.DUMMYFUNCTION("""COMPUTED_VALUE"""),"")</f>
        <v/>
      </c>
    </row>
    <row r="39">
      <c r="A39" t="str">
        <f>IFERROR(__xludf.DUMMYFUNCTION("""COMPUTED_VALUE"""),"NP")</f>
        <v>NP</v>
      </c>
      <c r="B39" s="36">
        <f>IFERROR(__xludf.DUMMYFUNCTION("""COMPUTED_VALUE"""),43483.0)</f>
        <v>43483</v>
      </c>
      <c r="C39" t="str">
        <f>IFERROR(__xludf.DUMMYFUNCTION("""COMPUTED_VALUE"""),"SH")</f>
        <v>SH</v>
      </c>
      <c r="D39" s="45">
        <f>IFERROR(__xludf.DUMMYFUNCTION("""COMPUTED_VALUE"""),43570.0)</f>
        <v>43570</v>
      </c>
      <c r="E39" t="str">
        <f>IFERROR(__xludf.DUMMYFUNCTION("""COMPUTED_VALUE"""),"TRH")</f>
        <v>TRH</v>
      </c>
      <c r="F39" s="36">
        <f>IFERROR(__xludf.DUMMYFUNCTION("""COMPUTED_VALUE"""),43580.0)</f>
        <v>43580</v>
      </c>
      <c r="G39" t="str">
        <f>IFERROR(__xludf.DUMMYFUNCTION("""COMPUTED_VALUE"""),"")</f>
        <v/>
      </c>
      <c r="H39" t="str">
        <f>IFERROR(__xludf.DUMMYFUNCTION("""COMPUTED_VALUE"""),"1557-3265")</f>
        <v>1557-3265</v>
      </c>
      <c r="I39" t="str">
        <f>IFERROR(__xludf.DUMMYFUNCTION("""COMPUTED_VALUE"""),"Clinical Cancer Research")</f>
        <v>Clinical Cancer Research</v>
      </c>
      <c r="J39" t="str">
        <f>IFERROR(__xludf.DUMMYFUNCTION("""COMPUTED_VALUE"""),"")</f>
        <v/>
      </c>
      <c r="K39" t="str">
        <f>IFERROR(__xludf.DUMMYFUNCTION("""COMPUTED_VALUE"""),"American Association for Cancer Research (AACR)")</f>
        <v>American Association for Cancer Research (AACR)</v>
      </c>
      <c r="L39" t="str">
        <f>IFERROR(__xludf.DUMMYFUNCTION("""COMPUTED_VALUE"""),"Unsure")</f>
        <v>Unsure</v>
      </c>
      <c r="M39" s="78" t="str">
        <f>IFERROR(__xludf.DUMMYFUNCTION("""COMPUTED_VALUE"""),"http://aacrjournals.org/content/authors/editorial-process#peerrev")</f>
        <v>http://aacrjournals.org/content/authors/editorial-process#peerrev</v>
      </c>
      <c r="N39" t="str">
        <f>IFERROR(__xludf.DUMMYFUNCTION("""COMPUTED_VALUE"""),"")</f>
        <v/>
      </c>
      <c r="O39" s="78" t="str">
        <f>IFERROR(__xludf.DUMMYFUNCTION("""COMPUTED_VALUE"""),"http://aacrjournals.org/site/Info/Reviewers.xhtml")</f>
        <v>http://aacrjournals.org/site/Info/Reviewers.xhtml</v>
      </c>
      <c r="P39" t="str">
        <f>IFERROR(__xludf.DUMMYFUNCTION("""COMPUTED_VALUE"""),"Unsure")</f>
        <v>Unsure</v>
      </c>
      <c r="Q39" t="str">
        <f>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39" s="78" t="str">
        <f>IFERROR(__xludf.DUMMYFUNCTION("""COMPUTED_VALUE"""),"http://aacrjournals.org/content/authors/manuscript-transfer")</f>
        <v>http://aacrjournals.org/content/authors/manuscript-transfer</v>
      </c>
      <c r="S39" t="str">
        <f>IFERROR(__xludf.DUMMYFUNCTION("""COMPUTED_VALUE"""),"Not specified")</f>
        <v>Not specified</v>
      </c>
      <c r="T39" t="str">
        <f>IFERROR(__xludf.DUMMYFUNCTION("""COMPUTED_VALUE"""),"Not specified")</f>
        <v>Not specified</v>
      </c>
      <c r="U39" t="str">
        <f>IFERROR(__xludf.DUMMYFUNCTION("""COMPUTED_VALUE"""),"Not specified")</f>
        <v>Not specified</v>
      </c>
      <c r="V39" t="str">
        <f>IFERROR(__xludf.DUMMYFUNCTION("""COMPUTED_VALUE"""),"Not specified")</f>
        <v>Not specified</v>
      </c>
      <c r="W39" t="str">
        <f>IFERROR(__xludf.DUMMYFUNCTION("""COMPUTED_VALUE"""),"Not specified")</f>
        <v>Not specified</v>
      </c>
      <c r="X39" t="str">
        <f>IFERROR(__xludf.DUMMYFUNCTION("""COMPUTED_VALUE"""),"Not specified")</f>
        <v>Not specified</v>
      </c>
      <c r="Y39" t="str">
        <f>IFERROR(__xludf.DUMMYFUNCTION("""COMPUTED_VALUE"""),"Not specified")</f>
        <v>Not specified</v>
      </c>
      <c r="Z39" t="str">
        <f>IFERROR(__xludf.DUMMYFUNCTION("""COMPUTED_VALUE"""),"Not specified")</f>
        <v>Not specified</v>
      </c>
      <c r="AA39" t="str">
        <f>IFERROR(__xludf.DUMMYFUNCTION("""COMPUTED_VALUE"""),"")</f>
        <v/>
      </c>
      <c r="AB39" t="str">
        <f>IFERROR(__xludf.DUMMYFUNCTION("""COMPUTED_VALUE"""),"""Please note also that if you agree to review this manuscript, the manuscript and its' contents must be kept confidential.  If you wish to have another expert co-review the manuscript with you, you must first obtain permission from the journal office.""")</f>
        <v>"Please note also that if you agree to review this manuscript, the manuscript and its' contents must be kept confidential.  If you wish to have another expert co-review the manuscript with you, you must first obtain permission from the journal office."</v>
      </c>
      <c r="AC39" s="78" t="str">
        <f>IFERROR(__xludf.DUMMYFUNCTION("""COMPUTED_VALUE"""),"https://ccr.msubmit.net/cgi-bin/main.plex?form_type=display_rev_instructions")</f>
        <v>https://ccr.msubmit.net/cgi-bin/main.plex?form_type=display_rev_instructions</v>
      </c>
      <c r="AD39" t="str">
        <f>IFERROR(__xludf.DUMMYFUNCTION("""COMPUTED_VALUE"""),"Yes")</f>
        <v>Yes</v>
      </c>
      <c r="AE39" t="str">
        <f>IFERROR(__xludf.DUMMYFUNCTION("""COMPUTED_VALUE"""),"Unsure")</f>
        <v>Unsure</v>
      </c>
      <c r="AF39" t="str">
        <f>IFERROR(__xludf.DUMMYFUNCTION("""COMPUTED_VALUE"""),"Unsure")</f>
        <v>Unsure</v>
      </c>
      <c r="AG39" s="78" t="str">
        <f>IFERROR(__xludf.DUMMYFUNCTION("""COMPUTED_VALUE"""),"http://aacrjournals.org/content/authors/editorial-policies")</f>
        <v>http://aacrjournals.org/content/authors/editorial-policies</v>
      </c>
      <c r="AH39" t="str">
        <f>IFERROR(__xludf.DUMMYFUNCTION("""COMPUTED_VALUE"""),"First submission only (before peer review)")</f>
        <v>First submission only (before peer review)</v>
      </c>
      <c r="AI39" t="str">
        <f>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39" t="str">
        <f>IFERROR(__xludf.DUMMYFUNCTION("""COMPUTED_VALUE"""),"Not specified")</f>
        <v>Not specified</v>
      </c>
      <c r="AK39" t="str">
        <f>IFERROR(__xludf.DUMMYFUNCTION("""COMPUTED_VALUE"""),"Unsure")</f>
        <v>Unsure</v>
      </c>
      <c r="AL39" t="str">
        <f>IFERROR(__xludf.DUMMYFUNCTION("""COMPUTED_VALUE"""),"")</f>
        <v/>
      </c>
      <c r="AM39" t="str">
        <f>IFERROR(__xludf.DUMMYFUNCTION("""COMPUTED_VALUE"""),"")</f>
        <v/>
      </c>
      <c r="AN39" t="str">
        <f>IFERROR(__xludf.DUMMYFUNCTION("""COMPUTED_VALUE"""),"")</f>
        <v/>
      </c>
      <c r="AO39" t="str">
        <f>IFERROR(__xludf.DUMMYFUNCTION("""COMPUTED_VALUE"""),"")</f>
        <v/>
      </c>
      <c r="AP39" s="78" t="str">
        <f>IFERROR(__xludf.DUMMYFUNCTION("""COMPUTED_VALUE"""),"Peer review: form mentioned but not linked at https://ccr.msubmit.net/cgi-bin/main.plex?form_type=display_rev_instructions; other URLs: http://aacrjournals.org/content/authors/editorial-policies, http://aacrjournals.org/site/Info/Reviewers.xhtml")</f>
        <v>Peer review: form mentioned but not linked at https://ccr.msubmit.net/cgi-bin/main.plex?form_type=display_rev_instructions; other URLs: http://aacrjournals.org/content/authors/editorial-policies, http://aacrjournals.org/site/Info/Reviewers.xhtml</v>
      </c>
      <c r="AQ39" t="str">
        <f>IFERROR(__xludf.DUMMYFUNCTION("""COMPUTED_VALUE"""),"")</f>
        <v/>
      </c>
      <c r="AR39" t="str">
        <f>IFERROR(__xludf.DUMMYFUNCTION("""COMPUTED_VALUE"""),"")</f>
        <v/>
      </c>
    </row>
    <row r="40">
      <c r="A40" t="str">
        <f>IFERROR(__xludf.DUMMYFUNCTION("""COMPUTED_VALUE"""),"NP")</f>
        <v>NP</v>
      </c>
      <c r="B40" s="36">
        <f>IFERROR(__xludf.DUMMYFUNCTION("""COMPUTED_VALUE"""),43483.0)</f>
        <v>43483</v>
      </c>
      <c r="C40" t="str">
        <f>IFERROR(__xludf.DUMMYFUNCTION("""COMPUTED_VALUE"""),"SH")</f>
        <v>SH</v>
      </c>
      <c r="D40" s="45">
        <f>IFERROR(__xludf.DUMMYFUNCTION("""COMPUTED_VALUE"""),43570.0)</f>
        <v>43570</v>
      </c>
      <c r="E40" t="str">
        <f>IFERROR(__xludf.DUMMYFUNCTION("""COMPUTED_VALUE"""),"TRH")</f>
        <v>TRH</v>
      </c>
      <c r="F40" s="36">
        <f>IFERROR(__xludf.DUMMYFUNCTION("""COMPUTED_VALUE"""),43580.0)</f>
        <v>43580</v>
      </c>
      <c r="G40" t="str">
        <f>IFERROR(__xludf.DUMMYFUNCTION("""COMPUTED_VALUE"""),"")</f>
        <v/>
      </c>
      <c r="H40" t="str">
        <f>IFERROR(__xludf.DUMMYFUNCTION("""COMPUTED_VALUE"""),"0360-1315")</f>
        <v>0360-1315</v>
      </c>
      <c r="I40" t="str">
        <f>IFERROR(__xludf.DUMMYFUNCTION("""COMPUTED_VALUE"""),"Computers &amp; Education")</f>
        <v>Computers &amp; Education</v>
      </c>
      <c r="J40" t="str">
        <f>IFERROR(__xludf.DUMMYFUNCTION("""COMPUTED_VALUE"""),"")</f>
        <v/>
      </c>
      <c r="K40" t="str">
        <f>IFERROR(__xludf.DUMMYFUNCTION("""COMPUTED_VALUE"""),"Elsevier")</f>
        <v>Elsevier</v>
      </c>
      <c r="L40" t="str">
        <f>IFERROR(__xludf.DUMMYFUNCTION("""COMPUTED_VALUE"""),"Double blind")</f>
        <v>Double blind</v>
      </c>
      <c r="M40" s="78" t="str">
        <f>IFERROR(__xludf.DUMMYFUNCTION("""COMPUTED_VALUE"""),"https://www.elsevier.com/journals/computers-and-education/0360-1315?generatepdf=true")</f>
        <v>https://www.elsevier.com/journals/computers-and-education/0360-1315?generatepdf=true</v>
      </c>
      <c r="N40" t="str">
        <f>IFERROR(__xludf.DUMMYFUNCTION("""COMPUTED_VALUE"""),"")</f>
        <v/>
      </c>
      <c r="O40" s="78" t="str">
        <f>IFERROR(__xludf.DUMMYFUNCTION("""COMPUTED_VALUE"""),"https://www.elsevier.com/reviewers/role#recognizing")</f>
        <v>https://www.elsevier.com/reviewers/role#recognizing</v>
      </c>
      <c r="P40" t="str">
        <f>IFERROR(__xludf.DUMMYFUNCTION("""COMPUTED_VALUE"""),"Unsure")</f>
        <v>Unsure</v>
      </c>
      <c r="Q40" s="78" t="str">
        <f>IFERROR(__xludf.DUMMYFUNCTION("""COMPUTED_VALUE"""),"Internal: “This journal is part of our Article Transfer Service.” - Author guide (PDF link in notes) &amp;&amp; “Elsevier authors can transfer their article submission from one journal to another for free if they are rejected, without the need to reformat, and of"&amp;"ten without needing further peer review. For this reason, reviewers are informed about the service and are asked for their consent for transferring their review report along with the manuscript to the receiver journal. Reviewers are given the option to re"&amp;"veal their identity to the editor of the receiver journal or stay anonymous.”")</f>
        <v>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v>
      </c>
      <c r="R40" s="78" t="str">
        <f>IFERROR(__xludf.DUMMYFUNCTION("""COMPUTED_VALUE"""),"https://www.elsevier.com/reviewers/what-is-peer-review")</f>
        <v>https://www.elsevier.com/reviewers/what-is-peer-review</v>
      </c>
      <c r="S40" t="str">
        <f>IFERROR(__xludf.DUMMYFUNCTION("""COMPUTED_VALUE"""),"Not specified")</f>
        <v>Not specified</v>
      </c>
      <c r="T40" t="str">
        <f>IFERROR(__xludf.DUMMYFUNCTION("""COMPUTED_VALUE"""),"Not specified")</f>
        <v>Not specified</v>
      </c>
      <c r="U40" t="str">
        <f>IFERROR(__xludf.DUMMYFUNCTION("""COMPUTED_VALUE"""),"Not specified")</f>
        <v>Not specified</v>
      </c>
      <c r="V40" t="str">
        <f>IFERROR(__xludf.DUMMYFUNCTION("""COMPUTED_VALUE"""),"Not specified")</f>
        <v>Not specified</v>
      </c>
      <c r="W40" t="str">
        <f>IFERROR(__xludf.DUMMYFUNCTION("""COMPUTED_VALUE"""),"Not specified")</f>
        <v>Not specified</v>
      </c>
      <c r="X40" t="str">
        <f>IFERROR(__xludf.DUMMYFUNCTION("""COMPUTED_VALUE"""),"Not specified")</f>
        <v>Not specified</v>
      </c>
      <c r="Y40" t="str">
        <f>IFERROR(__xludf.DUMMYFUNCTION("""COMPUTED_VALUE"""),"Not specified")</f>
        <v>Not specified</v>
      </c>
      <c r="Z40" t="str">
        <f>IFERROR(__xludf.DUMMYFUNCTION("""COMPUTED_VALUE"""),"Not specified")</f>
        <v>Not specified</v>
      </c>
      <c r="AA40" t="str">
        <f>IFERROR(__xludf.DUMMYFUNCTION("""COMPUTED_VALUE"""),"")</f>
        <v/>
      </c>
      <c r="AB40" t="str">
        <f>IFERROR(__xludf.DUMMYFUNCTION("""COMPUTED_VALUE"""),"")</f>
        <v/>
      </c>
      <c r="AC40" t="str">
        <f>IFERROR(__xludf.DUMMYFUNCTION("""COMPUTED_VALUE"""),"")</f>
        <v/>
      </c>
      <c r="AD40" t="str">
        <f>IFERROR(__xludf.DUMMYFUNCTION("""COMPUTED_VALUE"""),"Unsure")</f>
        <v>Unsure</v>
      </c>
      <c r="AE40" t="str">
        <f>IFERROR(__xludf.DUMMYFUNCTION("""COMPUTED_VALUE"""),"Unsure")</f>
        <v>Unsure</v>
      </c>
      <c r="AF40" t="str">
        <f>IFERROR(__xludf.DUMMYFUNCTION("""COMPUTED_VALUE"""),"Unsure")</f>
        <v>Unsure</v>
      </c>
      <c r="AG40" s="78" t="str">
        <f>IFERROR(__xludf.DUMMYFUNCTION("""COMPUTED_VALUE"""),"https://www.elsevier.com/journals/computers-and-education/0360-1315?generatepdf=true")</f>
        <v>https://www.elsevier.com/journals/computers-and-education/0360-1315?generatepdf=true</v>
      </c>
      <c r="AH40" t="str">
        <f>IFERROR(__xludf.DUMMYFUNCTION("""COMPUTED_VALUE"""),"Any")</f>
        <v>Any</v>
      </c>
      <c r="AI40" t="str">
        <f>IFERROR(__xludf.DUMMYFUNCTION("""COMPUTED_VALUE"""),"“Authors can share their preprint anywhere at any time, in line with Elsevier's sharing policy..”, From sharing policy: ""Authors can update their preprints on arXiv or RePEc with their accepted manuscript ."" https://www.elsevier.com/about/policies/shari"&amp;"ng")</f>
        <v>“Authors can share their preprint anywhere at any time, in line with Elsevier's sharing policy..”, From sharing policy: "Authors can update their preprints on arXiv or RePEc with their accepted manuscript ." https://www.elsevier.com/about/policies/sharing</v>
      </c>
      <c r="AJ40" t="str">
        <f>IFERROR(__xludf.DUMMYFUNCTION("""COMPUTED_VALUE"""),"Yes, but only in the text (not the reference list)")</f>
        <v>Yes, but only in the text (not the reference list)</v>
      </c>
      <c r="AK40" t="str">
        <f>IFERROR(__xludf.DUMMYFUNCTION("""COMPUTED_VALUE"""),"Unsure")</f>
        <v>Unsure</v>
      </c>
      <c r="AL40" t="str">
        <f>IFERROR(__xludf.DUMMYFUNCTION("""COMPUTED_VALUE"""),"")</f>
        <v/>
      </c>
      <c r="AM40" t="str">
        <f>IFERROR(__xludf.DUMMYFUNCTION("""COMPUTED_VALUE"""),"")</f>
        <v/>
      </c>
      <c r="AN40" t="str">
        <f>IFERROR(__xludf.DUMMYFUNCTION("""COMPUTED_VALUE"""),"")</f>
        <v/>
      </c>
      <c r="AO40" t="str">
        <f>IFERROR(__xludf.DUMMYFUNCTION("""COMPUTED_VALUE"""),"")</f>
        <v/>
      </c>
      <c r="AP40" s="78" t="str">
        <f>IFERROR(__xludf.DUMMYFUNCTION("""COMPUTED_VALUE"""),"https://www.elsevier.com/journals/computers-and-education/0360-1315/guide-for-authors; Preprint: “Authors can update their preprints on arXiv or RePEc with their accepted manuscript”, “Unpublished results and personal communications are not recommended in"&amp;" the reference list, but may be mentioned in the text.”")</f>
        <v>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v>
      </c>
      <c r="AQ40" t="str">
        <f>IFERROR(__xludf.DUMMYFUNCTION("""COMPUTED_VALUE"""),"")</f>
        <v/>
      </c>
      <c r="AR40" t="str">
        <f>IFERROR(__xludf.DUMMYFUNCTION("""COMPUTED_VALUE"""),"")</f>
        <v/>
      </c>
    </row>
    <row r="41">
      <c r="A41" t="str">
        <f>IFERROR(__xludf.DUMMYFUNCTION("""COMPUTED_VALUE"""),"NP")</f>
        <v>NP</v>
      </c>
      <c r="B41" s="36">
        <f>IFERROR(__xludf.DUMMYFUNCTION("""COMPUTED_VALUE"""),43483.0)</f>
        <v>43483</v>
      </c>
      <c r="C41" t="str">
        <f>IFERROR(__xludf.DUMMYFUNCTION("""COMPUTED_VALUE"""),"SH")</f>
        <v>SH</v>
      </c>
      <c r="D41" s="45">
        <f>IFERROR(__xludf.DUMMYFUNCTION("""COMPUTED_VALUE"""),43570.0)</f>
        <v>43570</v>
      </c>
      <c r="E41" t="str">
        <f>IFERROR(__xludf.DUMMYFUNCTION("""COMPUTED_VALUE"""),"TRH")</f>
        <v>TRH</v>
      </c>
      <c r="F41" s="36">
        <f>IFERROR(__xludf.DUMMYFUNCTION("""COMPUTED_VALUE"""),43580.0)</f>
        <v>43580</v>
      </c>
      <c r="G41" t="str">
        <f>IFERROR(__xludf.DUMMYFUNCTION("""COMPUTED_VALUE"""),"")</f>
        <v/>
      </c>
      <c r="H41" t="str">
        <f>IFERROR(__xludf.DUMMYFUNCTION("""COMPUTED_VALUE"""),"1935-5548")</f>
        <v>1935-5548</v>
      </c>
      <c r="I41" t="str">
        <f>IFERROR(__xludf.DUMMYFUNCTION("""COMPUTED_VALUE"""),"Diabetes Care")</f>
        <v>Diabetes Care</v>
      </c>
      <c r="J41" t="str">
        <f>IFERROR(__xludf.DUMMYFUNCTION("""COMPUTED_VALUE"""),"")</f>
        <v/>
      </c>
      <c r="K41" t="str">
        <f>IFERROR(__xludf.DUMMYFUNCTION("""COMPUTED_VALUE"""),"American Diabetes Association (ADA)")</f>
        <v>American Diabetes Association (ADA)</v>
      </c>
      <c r="L41" t="str">
        <f>IFERROR(__xludf.DUMMYFUNCTION("""COMPUTED_VALUE"""),"Single blind")</f>
        <v>Single blind</v>
      </c>
      <c r="M41" s="78" t="str">
        <f>IFERROR(__xludf.DUMMYFUNCTION("""COMPUTED_VALUE"""),"http://www.diabetesjournals.org/content/journal-policies#peerreview")</f>
        <v>http://www.diabetesjournals.org/content/journal-policies#peerreview</v>
      </c>
      <c r="N41" t="str">
        <f>IFERROR(__xludf.DUMMYFUNCTION("""COMPUTED_VALUE"""),"")</f>
        <v/>
      </c>
      <c r="O41" s="78" t="str">
        <f>IFERROR(__xludf.DUMMYFUNCTION("""COMPUTED_VALUE"""),"http://www.diabetesjournals.org/for-reviewers")</f>
        <v>http://www.diabetesjournals.org/for-reviewers</v>
      </c>
      <c r="P41" t="str">
        <f>IFERROR(__xludf.DUMMYFUNCTION("""COMPUTED_VALUE"""),"Unsure")</f>
        <v>Unsure</v>
      </c>
      <c r="Q41" t="str">
        <f>IFERROR(__xludf.DUMMYFUNCTION("""COMPUTED_VALUE"""),"")</f>
        <v/>
      </c>
      <c r="R41" t="str">
        <f>IFERROR(__xludf.DUMMYFUNCTION("""COMPUTED_VALUE"""),"")</f>
        <v/>
      </c>
      <c r="S41" t="str">
        <f>IFERROR(__xludf.DUMMYFUNCTION("""COMPUTED_VALUE"""),"Not specified")</f>
        <v>Not specified</v>
      </c>
      <c r="T41" t="str">
        <f>IFERROR(__xludf.DUMMYFUNCTION("""COMPUTED_VALUE"""),"Not specified")</f>
        <v>Not specified</v>
      </c>
      <c r="U41" t="str">
        <f>IFERROR(__xludf.DUMMYFUNCTION("""COMPUTED_VALUE"""),"Not specified")</f>
        <v>Not specified</v>
      </c>
      <c r="V41" t="str">
        <f>IFERROR(__xludf.DUMMYFUNCTION("""COMPUTED_VALUE"""),"Not specified")</f>
        <v>Not specified</v>
      </c>
      <c r="W41" t="str">
        <f>IFERROR(__xludf.DUMMYFUNCTION("""COMPUTED_VALUE"""),"Not specified")</f>
        <v>Not specified</v>
      </c>
      <c r="X41" t="str">
        <f>IFERROR(__xludf.DUMMYFUNCTION("""COMPUTED_VALUE"""),"Not specified")</f>
        <v>Not specified</v>
      </c>
      <c r="Y41" t="str">
        <f>IFERROR(__xludf.DUMMYFUNCTION("""COMPUTED_VALUE"""),"Not specified")</f>
        <v>Not specified</v>
      </c>
      <c r="Z41" t="str">
        <f>IFERROR(__xludf.DUMMYFUNCTION("""COMPUTED_VALUE"""),"Not specified")</f>
        <v>Not specified</v>
      </c>
      <c r="AA41" t="str">
        <f>IFERROR(__xludf.DUMMYFUNCTION("""COMPUTED_VALUE"""),"")</f>
        <v/>
      </c>
      <c r="AB41" t="str">
        <f>IFERROR(__xludf.DUMMYFUNCTION("""COMPUTED_VALUE"""),"""Manuscripts under review are strictly confidential. To protect the authors’ work as well as your anonymity, communications regarding the manuscript and its parts, including the abstract, may not be shared for any reason. Further, according to COPE guide"&amp;"lines, reviewers must refrain from using information obtained from the peer review process in any way and should not involve anyone else in the review of a manuscript without first obtaining permission from the journal.""")</f>
        <v>"Manuscripts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v>
      </c>
      <c r="AC41" s="78" t="str">
        <f>IFERROR(__xludf.DUMMYFUNCTION("""COMPUTED_VALUE"""),"http://www.diabetesjournals.org/for-reviewers")</f>
        <v>http://www.diabetesjournals.org/for-reviewers</v>
      </c>
      <c r="AD41" t="str">
        <f>IFERROR(__xludf.DUMMYFUNCTION("""COMPUTED_VALUE"""),"Unsure")</f>
        <v>Unsure</v>
      </c>
      <c r="AE41" t="str">
        <f>IFERROR(__xludf.DUMMYFUNCTION("""COMPUTED_VALUE"""),"Unsure")</f>
        <v>Unsure</v>
      </c>
      <c r="AF41" t="str">
        <f>IFERROR(__xludf.DUMMYFUNCTION("""COMPUTED_VALUE"""),"Unsure")</f>
        <v>Unsure</v>
      </c>
      <c r="AG41" s="78" t="str">
        <f>IFERROR(__xludf.DUMMYFUNCTION("""COMPUTED_VALUE"""),"http://www.diabetesjournals.org/content/journal-policies#originality")</f>
        <v>http://www.diabetesjournals.org/content/journal-policies#originality</v>
      </c>
      <c r="AH41" t="str">
        <f>IFERROR(__xludf.DUMMYFUNCTION("""COMPUTED_VALUE"""),"Unsure (preprints are allowed, but it's not clear what version)")</f>
        <v>Unsure (preprints are allowed, but it's not clear what version)</v>
      </c>
      <c r="AI41" t="str">
        <f>IFERROR(__xludf.DUMMYFUNCTION("""COMPUTED_VALUE"""),"“ADA does not consider previous presentation of a study at a meeting, previous publication of an abstract affiliated with the proceedings of meetings, or prior posting of a study on a recognized preprint server (e.g., bioRxiv) to constitute prior publicat"&amp;"ion. To be clear, ADA journals will still consider papers for publication if they are previously presented in these formats.”")</f>
        <v>“ADA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v>
      </c>
      <c r="AJ41" t="str">
        <f>IFERROR(__xludf.DUMMYFUNCTION("""COMPUTED_VALUE"""),"Not specified")</f>
        <v>Not specified</v>
      </c>
      <c r="AK41" t="str">
        <f>IFERROR(__xludf.DUMMYFUNCTION("""COMPUTED_VALUE"""),"Unsure")</f>
        <v>Unsure</v>
      </c>
      <c r="AL41" s="78" t="str">
        <f>IFERROR(__xludf.DUMMYFUNCTION("""COMPUTED_VALUE"""),"""If you are interested in reporting on a Diabetes Care article published online ahead of print, please specify in your news release that you are reporting on a preprint version of a study that is scheduled to be published in a future issue of Diabetes Ca"&amp;"re, currently available online at care.diabetesjournals.org/content/early/recent."" — http://care.diabetesjournals.org/content/instructions-for-authors#media")</f>
        <v>"If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v>
      </c>
      <c r="AM41" t="str">
        <f>IFERROR(__xludf.DUMMYFUNCTION("""COMPUTED_VALUE"""),"")</f>
        <v/>
      </c>
      <c r="AN41" t="str">
        <f>IFERROR(__xludf.DUMMYFUNCTION("""COMPUTED_VALUE"""),"")</f>
        <v/>
      </c>
      <c r="AO41" t="str">
        <f>IFERROR(__xludf.DUMMYFUNCTION("""COMPUTED_VALUE"""),"")</f>
        <v/>
      </c>
      <c r="AP41" t="str">
        <f>IFERROR(__xludf.DUMMYFUNCTION("""COMPUTED_VALUE"""),"")</f>
        <v/>
      </c>
      <c r="AQ41" t="str">
        <f>IFERROR(__xludf.DUMMYFUNCTION("""COMPUTED_VALUE"""),"")</f>
        <v/>
      </c>
      <c r="AR41" t="str">
        <f>IFERROR(__xludf.DUMMYFUNCTION("""COMPUTED_VALUE"""),"")</f>
        <v/>
      </c>
    </row>
    <row r="42">
      <c r="A42" t="str">
        <f>IFERROR(__xludf.DUMMYFUNCTION("""COMPUTED_VALUE"""),"NP")</f>
        <v>NP</v>
      </c>
      <c r="B42" s="36">
        <f>IFERROR(__xludf.DUMMYFUNCTION("""COMPUTED_VALUE"""),43483.0)</f>
        <v>43483</v>
      </c>
      <c r="C42" t="str">
        <f>IFERROR(__xludf.DUMMYFUNCTION("""COMPUTED_VALUE"""),"SH")</f>
        <v>SH</v>
      </c>
      <c r="D42" s="45">
        <f>IFERROR(__xludf.DUMMYFUNCTION("""COMPUTED_VALUE"""),43570.0)</f>
        <v>43570</v>
      </c>
      <c r="E42" t="str">
        <f>IFERROR(__xludf.DUMMYFUNCTION("""COMPUTED_VALUE"""),"TRH")</f>
        <v>TRH</v>
      </c>
      <c r="F42" s="36">
        <f>IFERROR(__xludf.DUMMYFUNCTION("""COMPUTED_VALUE"""),43580.0)</f>
        <v>43580</v>
      </c>
      <c r="G42" t="str">
        <f>IFERROR(__xludf.DUMMYFUNCTION("""COMPUTED_VALUE"""),"")</f>
        <v/>
      </c>
      <c r="H42" t="str">
        <f>IFERROR(__xludf.DUMMYFUNCTION("""COMPUTED_VALUE"""),"2167-082X")</f>
        <v>2167-082X</v>
      </c>
      <c r="I42" t="str">
        <f>IFERROR(__xludf.DUMMYFUNCTION("""COMPUTED_VALUE"""),"Digital Journalism")</f>
        <v>Digital Journalism</v>
      </c>
      <c r="J42" t="str">
        <f>IFERROR(__xludf.DUMMYFUNCTION("""COMPUTED_VALUE"""),"Humanities, Literature &amp; Arts")</f>
        <v>Humanities, Literature &amp; Arts</v>
      </c>
      <c r="K42" t="str">
        <f>IFERROR(__xludf.DUMMYFUNCTION("""COMPUTED_VALUE"""),"Taylor &amp; Francis")</f>
        <v>Taylor &amp; Francis</v>
      </c>
      <c r="L42" t="str">
        <f>IFERROR(__xludf.DUMMYFUNCTION("""COMPUTED_VALUE"""),"Double blind")</f>
        <v>Double blind</v>
      </c>
      <c r="M42" s="78" t="str">
        <f>IFERROR(__xludf.DUMMYFUNCTION("""COMPUTED_VALUE"""),"https://www.tandfonline.com/action/authorSubmission?journalCode=rdij20&amp;page=instructions#Peer_review")</f>
        <v>https://www.tandfonline.com/action/authorSubmission?journalCode=rdij20&amp;page=instructions#Peer_review</v>
      </c>
      <c r="N42" t="str">
        <f>IFERROR(__xludf.DUMMYFUNCTION("""COMPUTED_VALUE"""),"")</f>
        <v/>
      </c>
      <c r="O42" t="str">
        <f>IFERROR(__xludf.DUMMYFUNCTION("""COMPUTED_VALUE"""),"")</f>
        <v/>
      </c>
      <c r="P42" t="str">
        <f>IFERROR(__xludf.DUMMYFUNCTION("""COMPUTED_VALUE"""),"Unsure")</f>
        <v>Unsure</v>
      </c>
      <c r="Q42" t="str">
        <f>IFERROR(__xludf.DUMMYFUNCTION("""COMPUTED_VALUE"""),"")</f>
        <v/>
      </c>
      <c r="R42" t="str">
        <f>IFERROR(__xludf.DUMMYFUNCTION("""COMPUTED_VALUE"""),"")</f>
        <v/>
      </c>
      <c r="S42" t="str">
        <f>IFERROR(__xludf.DUMMYFUNCTION("""COMPUTED_VALUE"""),"Not specified")</f>
        <v>Not specified</v>
      </c>
      <c r="T42" t="str">
        <f>IFERROR(__xludf.DUMMYFUNCTION("""COMPUTED_VALUE"""),"Not specified")</f>
        <v>Not specified</v>
      </c>
      <c r="U42" t="str">
        <f>IFERROR(__xludf.DUMMYFUNCTION("""COMPUTED_VALUE"""),"Not specified")</f>
        <v>Not specified</v>
      </c>
      <c r="V42" t="str">
        <f>IFERROR(__xludf.DUMMYFUNCTION("""COMPUTED_VALUE"""),"Not specified")</f>
        <v>Not specified</v>
      </c>
      <c r="W42" t="str">
        <f>IFERROR(__xludf.DUMMYFUNCTION("""COMPUTED_VALUE"""),"Not specified")</f>
        <v>Not specified</v>
      </c>
      <c r="X42" t="str">
        <f>IFERROR(__xludf.DUMMYFUNCTION("""COMPUTED_VALUE"""),"Not specified")</f>
        <v>Not specified</v>
      </c>
      <c r="Y42" t="str">
        <f>IFERROR(__xludf.DUMMYFUNCTION("""COMPUTED_VALUE"""),"Not specified")</f>
        <v>Not specified</v>
      </c>
      <c r="Z42" t="str">
        <f>IFERROR(__xludf.DUMMYFUNCTION("""COMPUTED_VALUE"""),"Not specified")</f>
        <v>Not specified</v>
      </c>
      <c r="AA42" t="str">
        <f>IFERROR(__xludf.DUMMYFUNCTION("""COMPUTED_VALUE"""),"")</f>
        <v/>
      </c>
      <c r="AB42" t="str">
        <f>IFERROR(__xludf.DUMMYFUNCTION("""COMPUTED_VALUE"""),"")</f>
        <v/>
      </c>
      <c r="AC42" t="str">
        <f>IFERROR(__xludf.DUMMYFUNCTION("""COMPUTED_VALUE"""),"")</f>
        <v/>
      </c>
      <c r="AD42" t="str">
        <f>IFERROR(__xludf.DUMMYFUNCTION("""COMPUTED_VALUE"""),"Unsure")</f>
        <v>Unsure</v>
      </c>
      <c r="AE42" t="str">
        <f>IFERROR(__xludf.DUMMYFUNCTION("""COMPUTED_VALUE"""),"Unsure")</f>
        <v>Unsure</v>
      </c>
      <c r="AF42" t="str">
        <f>IFERROR(__xludf.DUMMYFUNCTION("""COMPUTED_VALUE"""),"Unsure")</f>
        <v>Unsure</v>
      </c>
      <c r="AG42" t="str">
        <f>IFERROR(__xludf.DUMMYFUNCTION("""COMPUTED_VALUE"""),"")</f>
        <v/>
      </c>
      <c r="AH42" t="str">
        <f>IFERROR(__xludf.DUMMYFUNCTION("""COMPUTED_VALUE"""),"No preprint policy")</f>
        <v>No preprint policy</v>
      </c>
      <c r="AI42" t="str">
        <f>IFERROR(__xludf.DUMMYFUNCTION("""COMPUTED_VALUE"""),"")</f>
        <v/>
      </c>
      <c r="AJ42" t="str">
        <f>IFERROR(__xludf.DUMMYFUNCTION("""COMPUTED_VALUE"""),"Not specified")</f>
        <v>Not specified</v>
      </c>
      <c r="AK42" t="str">
        <f>IFERROR(__xludf.DUMMYFUNCTION("""COMPUTED_VALUE"""),"Unsure")</f>
        <v>Unsure</v>
      </c>
      <c r="AL42" t="str">
        <f>IFERROR(__xludf.DUMMYFUNCTION("""COMPUTED_VALUE"""),"")</f>
        <v/>
      </c>
      <c r="AM42" t="str">
        <f>IFERROR(__xludf.DUMMYFUNCTION("""COMPUTED_VALUE"""),"")</f>
        <v/>
      </c>
      <c r="AN42" t="str">
        <f>IFERROR(__xludf.DUMMYFUNCTION("""COMPUTED_VALUE"""),"")</f>
        <v/>
      </c>
      <c r="AO42" t="str">
        <f>IFERROR(__xludf.DUMMYFUNCTION("""COMPUTED_VALUE"""),"")</f>
        <v/>
      </c>
      <c r="AP42" s="78" t="str">
        <f>IFERROR(__xludf.DUMMYFUNCTION("""COMPUTED_VALUE"""),"Very little explicit policy information found; readers instructed to find peer review policy in the aims &amp; scope section but all this says is ""All articles in Digital Journalism have undergone rigorous peer review, based on initial editor screening and a"&amp;"nonymised refereeing by two anonymous referees.”; Instructions for authors: https://www.tandfonline.com/action/authorSubmission?show=instructions&amp;journalCode=rdij20 -- no guidance on preprints; no info in https://authorservices.taylorandfrancis.com/what-t"&amp;"o-expect-during-peer-review/ or")</f>
        <v>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v>
      </c>
      <c r="AQ42" t="str">
        <f>IFERROR(__xludf.DUMMYFUNCTION("""COMPUTED_VALUE"""),"")</f>
        <v/>
      </c>
      <c r="AR42" t="str">
        <f>IFERROR(__xludf.DUMMYFUNCTION("""COMPUTED_VALUE"""),"")</f>
        <v/>
      </c>
    </row>
    <row r="43">
      <c r="A43" t="str">
        <f>IFERROR(__xludf.DUMMYFUNCTION("""COMPUTED_VALUE"""),"NP")</f>
        <v>NP</v>
      </c>
      <c r="B43" s="36">
        <f>IFERROR(__xludf.DUMMYFUNCTION("""COMPUTED_VALUE"""),43483.0)</f>
        <v>43483</v>
      </c>
      <c r="C43" t="str">
        <f>IFERROR(__xludf.DUMMYFUNCTION("""COMPUTED_VALUE"""),"GMD")</f>
        <v>GMD</v>
      </c>
      <c r="D43" s="36">
        <f>IFERROR(__xludf.DUMMYFUNCTION("""COMPUTED_VALUE"""),43579.0)</f>
        <v>43579</v>
      </c>
      <c r="E43" t="str">
        <f>IFERROR(__xludf.DUMMYFUNCTION("""COMPUTED_VALUE"""),"JP")</f>
        <v>JP</v>
      </c>
      <c r="F43" s="36">
        <f>IFERROR(__xludf.DUMMYFUNCTION("""COMPUTED_VALUE"""),43583.0)</f>
        <v>43583</v>
      </c>
      <c r="G43" t="str">
        <f>IFERROR(__xludf.DUMMYFUNCTION("""COMPUTED_VALUE"""),"Added note about prior publication in preprint policy")</f>
        <v>Added note about prior publication in preprint policy</v>
      </c>
      <c r="H43" t="str">
        <f>IFERROR(__xludf.DUMMYFUNCTION("""COMPUTED_VALUE"""),"1468-0262")</f>
        <v>1468-0262</v>
      </c>
      <c r="I43" t="str">
        <f>IFERROR(__xludf.DUMMYFUNCTION("""COMPUTED_VALUE"""),"Econometrica")</f>
        <v>Econometrica</v>
      </c>
      <c r="J43" t="str">
        <f>IFERROR(__xludf.DUMMYFUNCTION("""COMPUTED_VALUE"""),"Business, Economics &amp; Management")</f>
        <v>Business, Economics &amp; Management</v>
      </c>
      <c r="K43" t="str">
        <f>IFERROR(__xludf.DUMMYFUNCTION("""COMPUTED_VALUE"""),"Wiley (for the Econometric Society)")</f>
        <v>Wiley (for the Econometric Society)</v>
      </c>
      <c r="L43" t="str">
        <f>IFERROR(__xludf.DUMMYFUNCTION("""COMPUTED_VALUE"""),"Unsure")</f>
        <v>Unsure</v>
      </c>
      <c r="M43" s="78" t="str">
        <f>IFERROR(__xludf.DUMMYFUNCTION("""COMPUTED_VALUE"""),"https://www.econometricsociety.org/publications/econometrica/information-authors/editorial-procedures-and-policies#reviewprocess")</f>
        <v>https://www.econometricsociety.org/publications/econometrica/information-authors/editorial-procedures-and-policies#reviewprocess</v>
      </c>
      <c r="N43" t="str">
        <f>IFERROR(__xludf.DUMMYFUNCTION("""COMPUTED_VALUE"""),"")</f>
        <v/>
      </c>
      <c r="O43" t="str">
        <f>IFERROR(__xludf.DUMMYFUNCTION("""COMPUTED_VALUE"""),"")</f>
        <v/>
      </c>
      <c r="P43" t="str">
        <f>IFERROR(__xludf.DUMMYFUNCTION("""COMPUTED_VALUE"""),"Unsure")</f>
        <v>Unsure</v>
      </c>
      <c r="Q43" t="str">
        <f>IFERROR(__xludf.DUMMYFUNCTION("""COMPUTED_VALUE"""),"Internal: “If an Econometric Society journal forwards to us a request from an author to transfer the editorial file of an Econometrica submission (listing our reference number for the submission and the title), we will send the material to the journal, i."&amp;"e., (i) the referee reports; (ii) decision letter; and - with the additional permission of individual referees - (iii) referees' names and (iv) cover letters. We ask the journals to honor our
 ""conflict of interest"" policies saying that referee reports "&amp;"on an author's paper should not be seen by co-editors”")</f>
        <v>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v>
      </c>
      <c r="R43" s="78" t="str">
        <f>IFERROR(__xludf.DUMMYFUNCTION("""COMPUTED_VALUE"""),"https://www.econometricsociety.org/publications/econometrica/information-authors/editorial-procedures-and-policies#sharing")</f>
        <v>https://www.econometricsociety.org/publications/econometrica/information-authors/editorial-procedures-and-policies#sharing</v>
      </c>
      <c r="S43" t="str">
        <f>IFERROR(__xludf.DUMMYFUNCTION("""COMPUTED_VALUE"""),"Not specified")</f>
        <v>Not specified</v>
      </c>
      <c r="T43" t="str">
        <f>IFERROR(__xludf.DUMMYFUNCTION("""COMPUTED_VALUE"""),"Not specified")</f>
        <v>Not specified</v>
      </c>
      <c r="U43" t="str">
        <f>IFERROR(__xludf.DUMMYFUNCTION("""COMPUTED_VALUE"""),"Not specified")</f>
        <v>Not specified</v>
      </c>
      <c r="V43" t="str">
        <f>IFERROR(__xludf.DUMMYFUNCTION("""COMPUTED_VALUE"""),"Not specified")</f>
        <v>Not specified</v>
      </c>
      <c r="W43" t="str">
        <f>IFERROR(__xludf.DUMMYFUNCTION("""COMPUTED_VALUE"""),"Not specified")</f>
        <v>Not specified</v>
      </c>
      <c r="X43" t="str">
        <f>IFERROR(__xludf.DUMMYFUNCTION("""COMPUTED_VALUE"""),"Not specified")</f>
        <v>Not specified</v>
      </c>
      <c r="Y43" t="str">
        <f>IFERROR(__xludf.DUMMYFUNCTION("""COMPUTED_VALUE"""),"Not specified")</f>
        <v>Not specified</v>
      </c>
      <c r="Z43" t="str">
        <f>IFERROR(__xludf.DUMMYFUNCTION("""COMPUTED_VALUE"""),"Not specified")</f>
        <v>Not specified</v>
      </c>
      <c r="AA43" t="str">
        <f>IFERROR(__xludf.DUMMYFUNCTION("""COMPUTED_VALUE"""),"Not specified")</f>
        <v>Not specified</v>
      </c>
      <c r="AB43" t="str">
        <f>IFERROR(__xludf.DUMMYFUNCTION("""COMPUTED_VALUE"""),"Not specified")</f>
        <v>Not specified</v>
      </c>
      <c r="AC43" t="str">
        <f>IFERROR(__xludf.DUMMYFUNCTION("""COMPUTED_VALUE"""),"")</f>
        <v/>
      </c>
      <c r="AD43" t="str">
        <f>IFERROR(__xludf.DUMMYFUNCTION("""COMPUTED_VALUE"""),"Unsure")</f>
        <v>Unsure</v>
      </c>
      <c r="AE43" t="str">
        <f>IFERROR(__xludf.DUMMYFUNCTION("""COMPUTED_VALUE"""),"Unsure")</f>
        <v>Unsure</v>
      </c>
      <c r="AF43" t="str">
        <f>IFERROR(__xludf.DUMMYFUNCTION("""COMPUTED_VALUE"""),"Unsure")</f>
        <v>Unsure</v>
      </c>
      <c r="AG43" s="78" t="str">
        <f>IFERROR(__xludf.DUMMYFUNCTION("""COMPUTED_VALUE"""),"https://www.econometricsociety.org/publications/econometrica/information-authors/editorial-procedures-and-policies#priorpublication")</f>
        <v>https://www.econometricsociety.org/publications/econometrica/information-authors/editorial-procedures-and-policies#priorpublication</v>
      </c>
      <c r="AH43" t="str">
        <f>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AI43" t="str">
        <f>IFERROR(__xludf.DUMMYFUNCTION("""COMPUTED_VALUE"""),"")</f>
        <v/>
      </c>
      <c r="AJ43" t="str">
        <f>IFERROR(__xludf.DUMMYFUNCTION("""COMPUTED_VALUE"""),"Not specified")</f>
        <v>Not specified</v>
      </c>
      <c r="AK43" t="str">
        <f>IFERROR(__xludf.DUMMYFUNCTION("""COMPUTED_VALUE"""),"Unsure")</f>
        <v>Unsure</v>
      </c>
      <c r="AL43" t="str">
        <f>IFERROR(__xludf.DUMMYFUNCTION("""COMPUTED_VALUE"""),"")</f>
        <v/>
      </c>
      <c r="AM43" t="str">
        <f>IFERROR(__xludf.DUMMYFUNCTION("""COMPUTED_VALUE"""),"")</f>
        <v/>
      </c>
      <c r="AN43" t="str">
        <f>IFERROR(__xludf.DUMMYFUNCTION("""COMPUTED_VALUE"""),"")</f>
        <v/>
      </c>
      <c r="AO43" t="str">
        <f>IFERROR(__xludf.DUMMYFUNCTION("""COMPUTED_VALUE"""),"")</f>
        <v/>
      </c>
      <c r="AP43" t="str">
        <f>IFERROR(__xludf.DUMMYFUNCTION("""COMPUTED_VALUE"""),"")</f>
        <v/>
      </c>
      <c r="AQ43" t="str">
        <f>IFERROR(__xludf.DUMMYFUNCTION("""COMPUTED_VALUE"""),"")</f>
        <v/>
      </c>
      <c r="AR43" t="str">
        <f>IFERROR(__xludf.DUMMYFUNCTION("""COMPUTED_VALUE"""),"")</f>
        <v/>
      </c>
    </row>
    <row r="44">
      <c r="A44" t="str">
        <f>IFERROR(__xludf.DUMMYFUNCTION("""COMPUTED_VALUE"""),"SR")</f>
        <v>SR</v>
      </c>
      <c r="B44" s="34">
        <f>IFERROR(__xludf.DUMMYFUNCTION("""COMPUTED_VALUE"""),43441.0)</f>
        <v>43441</v>
      </c>
      <c r="C44" t="str">
        <f>IFERROR(__xludf.DUMMYFUNCTION("""COMPUTED_VALUE"""),"GMD")</f>
        <v>GMD</v>
      </c>
      <c r="D44" s="36">
        <f>IFERROR(__xludf.DUMMYFUNCTION("""COMPUTED_VALUE"""),43579.0)</f>
        <v>43579</v>
      </c>
      <c r="E44" t="str">
        <f>IFERROR(__xludf.DUMMYFUNCTION("""COMPUTED_VALUE"""),"JP")</f>
        <v>JP</v>
      </c>
      <c r="F44" s="36">
        <f>IFERROR(__xludf.DUMMYFUNCTION("""COMPUTED_VALUE"""),43583.0)</f>
        <v>43583</v>
      </c>
      <c r="G44" t="str">
        <f>IFERROR(__xludf.DUMMYFUNCTION("""COMPUTED_VALUE"""),"Changed preprint policy link page (previous entries focused on VOR)")</f>
        <v>Changed preprint policy link page (previous entries focused on VOR)</v>
      </c>
      <c r="H44" t="str">
        <f>IFERROR(__xludf.DUMMYFUNCTION("""COMPUTED_VALUE"""),"1754-5706")</f>
        <v>1754-5706</v>
      </c>
      <c r="I44" t="str">
        <f>IFERROR(__xludf.DUMMYFUNCTION("""COMPUTED_VALUE"""),"Energy and Environmental Science")</f>
        <v>Energy and Environmental Science</v>
      </c>
      <c r="J44" t="str">
        <f>IFERROR(__xludf.DUMMYFUNCTION("""COMPUTED_VALUE"""),"Chemical &amp; Materials Sciences, Engineering &amp; Computer Science")</f>
        <v>Chemical &amp; Materials Sciences, Engineering &amp; Computer Science</v>
      </c>
      <c r="K44" t="str">
        <f>IFERROR(__xludf.DUMMYFUNCTION("""COMPUTED_VALUE"""),"Royal Society of Chemistry")</f>
        <v>Royal Society of Chemistry</v>
      </c>
      <c r="L44" t="str">
        <f>IFERROR(__xludf.DUMMYFUNCTION("""COMPUTED_VALUE"""),"Single blind")</f>
        <v>Single blind</v>
      </c>
      <c r="M44" s="78" t="str">
        <f>IFERROR(__xludf.DUMMYFUNCTION("""COMPUTED_VALUE"""),"http://www.rsc.org/journals-books-databases/journal-authors-reviewers/reviewer-responsibilities/#review-procedure")</f>
        <v>http://www.rsc.org/journals-books-databases/journal-authors-reviewers/reviewer-responsibilities/#review-procedure</v>
      </c>
      <c r="N44" t="str">
        <f>IFERROR(__xludf.DUMMYFUNCTION("""COMPUTED_VALUE"""),"")</f>
        <v/>
      </c>
      <c r="O44" t="str">
        <f>IFERROR(__xludf.DUMMYFUNCTION("""COMPUTED_VALUE"""),"")</f>
        <v/>
      </c>
      <c r="P44" t="str">
        <f>IFERROR(__xludf.DUMMYFUNCTION("""COMPUTED_VALUE"""),"No")</f>
        <v>No</v>
      </c>
      <c r="Q44" t="str">
        <f>IFERROR(__xludf.DUMMYFUNCTION("""COMPUTED_VALUE"""),"When a paper is to be rejected from one Royal Society of Chemistry journal, then we would offer the author(s) the option to transfer the paper to one of our other journals for consideration, when this is appropriate. This offer may occur during the initia"&amp;"l assessment of a manuscript or after reports on it have been received from reviewers. As part of the peer review process, the reviewers are asked to comment whether the manuscript would be more appropriate for one of our other journals. If the manuscript"&amp;" already has reports from reviewers then the author will be asked to upload the revised files. These files should include a summary of any new work added and a point by point response to the reviewers’ comments. Authors should be aware that the reviewers’"&amp;" comments are transferred to the editor of the receiving journal together with the manuscript files. On submission to the new journal, the manuscript will then be assessed by an editor as to whether further peer review will be necessary. The transfer proc"&amp;"ess also reduces the burden on reviewers. A paper that has been rejected may be submitted by the author to another journal where it would undergo evaluation again. By transferring between journals here we would be able to consider the reports received alr"&amp;"eady, although some additional review may be necessary. Full peer review is not always necessary thereby reducing the number of reviews required and allowing a decision to be reached more quickly.")</f>
        <v>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v>
      </c>
      <c r="R44" s="78" t="str">
        <f>IFERROR(__xludf.DUMMYFUNCTION("""COMPUTED_VALUE"""),"https://www.rsc.org/journals-books-databases/journal-authors-reviewers/processes-policies/#transfers")</f>
        <v>https://www.rsc.org/journals-books-databases/journal-authors-reviewers/processes-policies/#transfers</v>
      </c>
      <c r="S44" t="str">
        <f>IFERROR(__xludf.DUMMYFUNCTION("""COMPUTED_VALUE"""),"Conditional")</f>
        <v>Conditional</v>
      </c>
      <c r="T44" t="str">
        <f>IFERROR(__xludf.DUMMYFUNCTION("""COMPUTED_VALUE"""),"Optional")</f>
        <v>Optional</v>
      </c>
      <c r="U44" t="str">
        <f>IFERROR(__xludf.DUMMYFUNCTION("""COMPUTED_VALUE"""),"Not specified")</f>
        <v>Not specified</v>
      </c>
      <c r="V44" t="str">
        <f>IFERROR(__xludf.DUMMYFUNCTION("""COMPUTED_VALUE"""),"Not specified")</f>
        <v>Not specified</v>
      </c>
      <c r="W44" t="str">
        <f>IFERROR(__xludf.DUMMYFUNCTION("""COMPUTED_VALUE"""),"Not specified")</f>
        <v>Not specified</v>
      </c>
      <c r="X44" t="str">
        <f>IFERROR(__xludf.DUMMYFUNCTION("""COMPUTED_VALUE"""),"Optional")</f>
        <v>Optional</v>
      </c>
      <c r="Y44" t="str">
        <f>IFERROR(__xludf.DUMMYFUNCTION("""COMPUTED_VALUE"""),"Not specified")</f>
        <v>Not specified</v>
      </c>
      <c r="Z44" t="str">
        <f>IFERROR(__xludf.DUMMYFUNCTION("""COMPUTED_VALUE"""),"Yes")</f>
        <v>Yes</v>
      </c>
      <c r="AA44" t="str">
        <f>IFERROR(__xludf.DUMMYFUNCTION("""COMPUTED_VALUE"""),"When the editor makes a decision on a manuscript, reviewers are typically notified of that decision and are provided with the comments from all reviewers on the manuscript. The reviewers’ anonymity is preserved unless the reviewer has voluntarily signed t"&amp;"heir report. Reviewers are informed at the point of invitation to review if their report will be shared in this way. The anonymity of reviewers is strictly preserved from the authors, unless a reviewer voluntarily signs their comments to authors. A review"&amp;"er should never communicate directly with an author, unless and until such action has been agreed by the Royal Society of Chemistry, through the editor. Reviewers may disclose publicly that they have served as a reviewer for a named Royal Society of Chemi"&amp;"stry journal. However, a reviewer must not identify himself/herself as the reviewer of a specific manuscript nor disclose the contents of the submitted review to any individual or organization. This expectation of peer review confidentiality and anonymity"&amp;" applies both during and after the peer review process, without time limit.")</f>
        <v>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v>
      </c>
      <c r="AB44" t="str">
        <f>IFERROR(__xludf.DUMMYFUNCTION("""COMPUTED_VALUE"""),"Not specified")</f>
        <v>Not specified</v>
      </c>
      <c r="AC44" t="str">
        <f>IFERROR(__xludf.DUMMYFUNCTION("""COMPUTED_VALUE"""),"")</f>
        <v/>
      </c>
      <c r="AD44" t="str">
        <f>IFERROR(__xludf.DUMMYFUNCTION("""COMPUTED_VALUE"""),"Unsure")</f>
        <v>Unsure</v>
      </c>
      <c r="AE44" t="str">
        <f>IFERROR(__xludf.DUMMYFUNCTION("""COMPUTED_VALUE"""),"Unsure")</f>
        <v>Unsure</v>
      </c>
      <c r="AF44" t="str">
        <f>IFERROR(__xludf.DUMMYFUNCTION("""COMPUTED_VALUE"""),"Unsure")</f>
        <v>Unsure</v>
      </c>
      <c r="AG44" s="78" t="str">
        <f>IFERROR(__xludf.DUMMYFUNCTION("""COMPUTED_VALUE"""),"https://www.rsc.org/journals-books-databases/journal-authors-reviewers/processes-policies/#prior-publication")</f>
        <v>https://www.rsc.org/journals-books-databases/journal-authors-reviewers/processes-policies/#prior-publication</v>
      </c>
      <c r="AH44" t="str">
        <f>IFERROR(__xludf.DUMMYFUNCTION("""COMPUTED_VALUE"""),"First submission only (before peer review)")</f>
        <v>First submission only (before peer review)</v>
      </c>
      <c r="AI44" t="str">
        <f>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44" t="str">
        <f>IFERROR(__xludf.DUMMYFUNCTION("""COMPUTED_VALUE"""),"Not specified")</f>
        <v>Not specified</v>
      </c>
      <c r="AK44" t="str">
        <f>IFERROR(__xludf.DUMMYFUNCTION("""COMPUTED_VALUE"""),"Unsure")</f>
        <v>Unsure</v>
      </c>
      <c r="AL44" t="str">
        <f>IFERROR(__xludf.DUMMYFUNCTION("""COMPUTED_VALUE"""),"")</f>
        <v/>
      </c>
      <c r="AM44" t="str">
        <f>IFERROR(__xludf.DUMMYFUNCTION("""COMPUTED_VALUE"""),"")</f>
        <v/>
      </c>
      <c r="AN44" t="str">
        <f>IFERROR(__xludf.DUMMYFUNCTION("""COMPUTED_VALUE"""),"")</f>
        <v/>
      </c>
      <c r="AO44" t="str">
        <f>IFERROR(__xludf.DUMMYFUNCTION("""COMPUTED_VALUE"""),"")</f>
        <v/>
      </c>
      <c r="AP44" t="str">
        <f>IFERROR(__xludf.DUMMYFUNCTION("""COMPUTED_VALUE"""),"")</f>
        <v/>
      </c>
      <c r="AQ44" t="str">
        <f>IFERROR(__xludf.DUMMYFUNCTION("""COMPUTED_VALUE"""),"")</f>
        <v/>
      </c>
      <c r="AR44" t="str">
        <f>IFERROR(__xludf.DUMMYFUNCTION("""COMPUTED_VALUE"""),"")</f>
        <v/>
      </c>
    </row>
    <row r="45">
      <c r="A45" t="str">
        <f>IFERROR(__xludf.DUMMYFUNCTION("""COMPUTED_VALUE"""),"SR")</f>
        <v>SR</v>
      </c>
      <c r="B45" s="34">
        <f>IFERROR(__xludf.DUMMYFUNCTION("""COMPUTED_VALUE"""),43441.0)</f>
        <v>43441</v>
      </c>
      <c r="C45" t="str">
        <f>IFERROR(__xludf.DUMMYFUNCTION("""COMPUTED_VALUE"""),"GMD")</f>
        <v>GMD</v>
      </c>
      <c r="D45" s="36">
        <f>IFERROR(__xludf.DUMMYFUNCTION("""COMPUTED_VALUE"""),43579.0)</f>
        <v>43579</v>
      </c>
      <c r="E45" t="str">
        <f>IFERROR(__xludf.DUMMYFUNCTION("""COMPUTED_VALUE"""),"JP")</f>
        <v>JP</v>
      </c>
      <c r="F45" s="36">
        <f>IFERROR(__xludf.DUMMYFUNCTION("""COMPUTED_VALUE"""),43583.0)</f>
        <v>43583</v>
      </c>
      <c r="G45" t="str">
        <f>IFERROR(__xludf.DUMMYFUNCTION("""COMPUTED_VALUE"""),"Rearranged preprint info to fit fields; added source for preprint citation policy")</f>
        <v>Rearranged preprint info to fit fields; added source for preprint citation policy</v>
      </c>
      <c r="H45" t="str">
        <f>IFERROR(__xludf.DUMMYFUNCTION("""COMPUTED_VALUE"""),"0013-936X")</f>
        <v>0013-936X</v>
      </c>
      <c r="I45" t="str">
        <f>IFERROR(__xludf.DUMMYFUNCTION("""COMPUTED_VALUE"""),"Environmental Science &amp; Technology")</f>
        <v>Environmental Science &amp; Technology</v>
      </c>
      <c r="J45" t="str">
        <f>IFERROR(__xludf.DUMMYFUNCTION("""COMPUTED_VALUE"""),"Life Sciences &amp; Earth Sciences")</f>
        <v>Life Sciences &amp; Earth Sciences</v>
      </c>
      <c r="K45" t="str">
        <f>IFERROR(__xludf.DUMMYFUNCTION("""COMPUTED_VALUE"""),"ACS Publications")</f>
        <v>ACS Publications</v>
      </c>
      <c r="L45" t="str">
        <f>IFERROR(__xludf.DUMMYFUNCTION("""COMPUTED_VALUE"""),"Unsure")</f>
        <v>Unsure</v>
      </c>
      <c r="M45" s="78" t="str">
        <f>IFERROR(__xludf.DUMMYFUNCTION("""COMPUTED_VALUE"""),"https://pubs.acs.org/paragonplus/submission/esthag/esthag_authguide.pdf                ")</f>
        <v>https://pubs.acs.org/paragonplus/submission/esthag/esthag_authguide.pdf                </v>
      </c>
      <c r="N45" t="str">
        <f>IFERROR(__xludf.DUMMYFUNCTION("""COMPUTED_VALUE"""),"")</f>
        <v/>
      </c>
      <c r="O45" t="str">
        <f>IFERROR(__xludf.DUMMYFUNCTION("""COMPUTED_VALUE"""),"")</f>
        <v/>
      </c>
      <c r="P45" t="str">
        <f>IFERROR(__xludf.DUMMYFUNCTION("""COMPUTED_VALUE"""),"Unsure")</f>
        <v>Unsure</v>
      </c>
      <c r="Q45" t="str">
        <f>IFERROR(__xludf.DUMMYFUNCTION("""COMPUTED_VALUE"""),"Once a transfer is accepted, authors will then complete the submission to the new journal in ACS Paragon Plus. During the submission process, they will have the opportunity to revise the manuscript and address comments received from editors or reviewers. "&amp;"Requirements of the new journal may be different, so authors should also check the Author Guidelines for the new journal and make any needed revisions in order to conform to those requirements. Please keep in mind that the reviews, reviewer identities, an"&amp;"d decision letter will all be transferred to the new journal. Authors are encouraged to identify changes made to the manuscript in a cover letter for the new journal.")</f>
        <v>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v>
      </c>
      <c r="R45" s="78" t="str">
        <f>IFERROR(__xludf.DUMMYFUNCTION("""COMPUTED_VALUE"""),"https://pubs.acs.org/paragonplus/submission/esthag/esthag_authguide.pdf")</f>
        <v>https://pubs.acs.org/paragonplus/submission/esthag/esthag_authguide.pdf</v>
      </c>
      <c r="S45" t="str">
        <f>IFERROR(__xludf.DUMMYFUNCTION("""COMPUTED_VALUE"""),"Not specified")</f>
        <v>Not specified</v>
      </c>
      <c r="T45" t="str">
        <f>IFERROR(__xludf.DUMMYFUNCTION("""COMPUTED_VALUE"""),"Not specified")</f>
        <v>Not specified</v>
      </c>
      <c r="U45" t="str">
        <f>IFERROR(__xludf.DUMMYFUNCTION("""COMPUTED_VALUE"""),"Not specified")</f>
        <v>Not specified</v>
      </c>
      <c r="V45" t="str">
        <f>IFERROR(__xludf.DUMMYFUNCTION("""COMPUTED_VALUE"""),"Not specified")</f>
        <v>Not specified</v>
      </c>
      <c r="W45" t="str">
        <f>IFERROR(__xludf.DUMMYFUNCTION("""COMPUTED_VALUE"""),"Not specified")</f>
        <v>Not specified</v>
      </c>
      <c r="X45" t="str">
        <f>IFERROR(__xludf.DUMMYFUNCTION("""COMPUTED_VALUE"""),"Not specified")</f>
        <v>Not specified</v>
      </c>
      <c r="Y45" t="str">
        <f>IFERROR(__xludf.DUMMYFUNCTION("""COMPUTED_VALUE"""),"Not specified")</f>
        <v>Not specified</v>
      </c>
      <c r="Z45" t="str">
        <f>IFERROR(__xludf.DUMMYFUNCTION("""COMPUTED_VALUE"""),"Not specified")</f>
        <v>Not specified</v>
      </c>
      <c r="AA45" t="str">
        <f>IFERROR(__xludf.DUMMYFUNCTION("""COMPUTED_VALUE"""),"")</f>
        <v/>
      </c>
      <c r="AB45" t="str">
        <f>IFERROR(__xludf.DUMMYFUNCTION("""COMPUTED_VALUE"""),"")</f>
        <v/>
      </c>
      <c r="AC45" t="str">
        <f>IFERROR(__xludf.DUMMYFUNCTION("""COMPUTED_VALUE"""),"")</f>
        <v/>
      </c>
      <c r="AD45" t="str">
        <f>IFERROR(__xludf.DUMMYFUNCTION("""COMPUTED_VALUE"""),"Unsure")</f>
        <v>Unsure</v>
      </c>
      <c r="AE45" t="str">
        <f>IFERROR(__xludf.DUMMYFUNCTION("""COMPUTED_VALUE"""),"Unsure")</f>
        <v>Unsure</v>
      </c>
      <c r="AF45" t="str">
        <f>IFERROR(__xludf.DUMMYFUNCTION("""COMPUTED_VALUE"""),"Unsure")</f>
        <v>Unsure</v>
      </c>
      <c r="AG45" s="78" t="str">
        <f>IFERROR(__xludf.DUMMYFUNCTION("""COMPUTED_VALUE"""),"https://pubs.acs.org/page/esthag/submission/prior.html")</f>
        <v>https://pubs.acs.org/page/esthag/submission/prior.html</v>
      </c>
      <c r="AH45" t="str">
        <f>IFERROR(__xludf.DUMMYFUNCTION("""COMPUTED_VALUE"""),"Unsure (preprints are allowed, but it's not clear what version)")</f>
        <v>Unsure (preprints are allowed, but it's not clear what version)</v>
      </c>
      <c r="AI45" t="str">
        <f>IFERROR(__xludf.DUMMYFUNCTION("""COMPUTED_VALUE"""),"Posting of pre-prints to a pre-print server is considered acceptable but requires citing of the pre-print. Please note the use of a pre-print server in the cover letter, and as appropriate, state how the manuscript has been adjusted/updated between the pr"&amp;"e-print version and the version submitted to ES&amp;T.")</f>
        <v>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v>
      </c>
      <c r="AJ45" t="str">
        <f>IFERROR(__xludf.DUMMYFUNCTION("""COMPUTED_VALUE"""),"Other; Any references in publications that would be difficult for most reviewers to obtain or are
 unpublished should be uploaded as Information for Review Only. DOI numbers are helpful but not mandatory
 unless they are the only identifying information a"&amp;"vailable (e.g., for recently published articles). - https://pubs.acs.org/paragonplus/submission/esthag/esthag_authguide.pdf")</f>
        <v>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v>
      </c>
      <c r="AK45" t="str">
        <f>IFERROR(__xludf.DUMMYFUNCTION("""COMPUTED_VALUE"""),"Unsure")</f>
        <v>Unsure</v>
      </c>
      <c r="AL45" t="str">
        <f>IFERROR(__xludf.DUMMYFUNCTION("""COMPUTED_VALUE"""),"")</f>
        <v/>
      </c>
      <c r="AM45" t="str">
        <f>IFERROR(__xludf.DUMMYFUNCTION("""COMPUTED_VALUE"""),"")</f>
        <v/>
      </c>
      <c r="AN45" t="str">
        <f>IFERROR(__xludf.DUMMYFUNCTION("""COMPUTED_VALUE"""),"")</f>
        <v/>
      </c>
      <c r="AO45" t="str">
        <f>IFERROR(__xludf.DUMMYFUNCTION("""COMPUTED_VALUE"""),"")</f>
        <v/>
      </c>
      <c r="AP45" t="str">
        <f>IFERROR(__xludf.DUMMYFUNCTION("""COMPUTED_VALUE"""),"")</f>
        <v/>
      </c>
      <c r="AQ45" t="str">
        <f>IFERROR(__xludf.DUMMYFUNCTION("""COMPUTED_VALUE"""),"")</f>
        <v/>
      </c>
      <c r="AR45" t="str">
        <f>IFERROR(__xludf.DUMMYFUNCTION("""COMPUTED_VALUE"""),"")</f>
        <v/>
      </c>
    </row>
    <row r="46">
      <c r="A46" t="str">
        <f>IFERROR(__xludf.DUMMYFUNCTION("""COMPUTED_VALUE"""),"SR")</f>
        <v>SR</v>
      </c>
      <c r="B46" s="34">
        <f>IFERROR(__xludf.DUMMYFUNCTION("""COMPUTED_VALUE"""),43441.0)</f>
        <v>43441</v>
      </c>
      <c r="C46" t="str">
        <f>IFERROR(__xludf.DUMMYFUNCTION("""COMPUTED_VALUE"""),"GMD")</f>
        <v>GMD</v>
      </c>
      <c r="D46" s="36">
        <f>IFERROR(__xludf.DUMMYFUNCTION("""COMPUTED_VALUE"""),43579.0)</f>
        <v>43579</v>
      </c>
      <c r="E46" t="str">
        <f>IFERROR(__xludf.DUMMYFUNCTION("""COMPUTED_VALUE"""),"JP")</f>
        <v>JP</v>
      </c>
      <c r="F46" s="36">
        <f>IFERROR(__xludf.DUMMYFUNCTION("""COMPUTED_VALUE"""),43583.0)</f>
        <v>43583</v>
      </c>
      <c r="G46" t="str">
        <f>IFERROR(__xludf.DUMMYFUNCTION("""COMPUTED_VALUE"""),"Changed preprint policy to first submission only, citation policy to unsure")</f>
        <v>Changed preprint policy to first submission only, citation policy to unsure</v>
      </c>
      <c r="H46" t="str">
        <f>IFERROR(__xludf.DUMMYFUNCTION("""COMPUTED_VALUE"""),"1522-9645")</f>
        <v>1522-9645</v>
      </c>
      <c r="I46" t="str">
        <f>IFERROR(__xludf.DUMMYFUNCTION("""COMPUTED_VALUE"""),"European Heart Journal")</f>
        <v>European Heart Journal</v>
      </c>
      <c r="J46" t="str">
        <f>IFERROR(__xludf.DUMMYFUNCTION("""COMPUTED_VALUE"""),"Health &amp; Medical Sciences")</f>
        <v>Health &amp; Medical Sciences</v>
      </c>
      <c r="K46" t="str">
        <f>IFERROR(__xludf.DUMMYFUNCTION("""COMPUTED_VALUE"""),"Oxford Academic/European Society of Cardiology")</f>
        <v>Oxford Academic/European Society of Cardiology</v>
      </c>
      <c r="L46" t="str">
        <f>IFERROR(__xludf.DUMMYFUNCTION("""COMPUTED_VALUE"""),"Unsure")</f>
        <v>Unsure</v>
      </c>
      <c r="M46" s="78" t="str">
        <f>IFERROR(__xludf.DUMMYFUNCTION("""COMPUTED_VALUE"""),"https://academic.oup.com/eurheartj/pages/General_Instructions#3.1")</f>
        <v>https://academic.oup.com/eurheartj/pages/General_Instructions#3.1</v>
      </c>
      <c r="N46" t="str">
        <f>IFERROR(__xludf.DUMMYFUNCTION("""COMPUTED_VALUE"""),"")</f>
        <v/>
      </c>
      <c r="O46" t="str">
        <f>IFERROR(__xludf.DUMMYFUNCTION("""COMPUTED_VALUE"""),"")</f>
        <v/>
      </c>
      <c r="P46" t="str">
        <f>IFERROR(__xludf.DUMMYFUNCTION("""COMPUTED_VALUE"""),"Unsure")</f>
        <v>Unsure</v>
      </c>
      <c r="Q46" t="str">
        <f>IFERROR(__xludf.DUMMYFUNCTION("""COMPUTED_VALUE"""),"If a manuscript is peer-reviewed by an ESC journal, yet deemed more appropriate for another specialty journal, and if the authors agree to their manuscript being shared within the ESC Journal Family, there will be no need for resubmission and the applicab"&amp;"le reviewer comments will normally also be transferred, resulting in a reduced time to a decision.")</f>
        <v>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v>
      </c>
      <c r="R46" s="78" t="str">
        <f>IFERROR(__xludf.DUMMYFUNCTION("""COMPUTED_VALUE"""),"https://academic.oup.com/eurheartj/pages/Manuscript_Sharing")</f>
        <v>https://academic.oup.com/eurheartj/pages/Manuscript_Sharing</v>
      </c>
      <c r="S46" t="str">
        <f>IFERROR(__xludf.DUMMYFUNCTION("""COMPUTED_VALUE"""),"Not specified")</f>
        <v>Not specified</v>
      </c>
      <c r="T46" t="str">
        <f>IFERROR(__xludf.DUMMYFUNCTION("""COMPUTED_VALUE"""),"Not specified")</f>
        <v>Not specified</v>
      </c>
      <c r="U46" t="str">
        <f>IFERROR(__xludf.DUMMYFUNCTION("""COMPUTED_VALUE"""),"Not specified")</f>
        <v>Not specified</v>
      </c>
      <c r="V46" t="str">
        <f>IFERROR(__xludf.DUMMYFUNCTION("""COMPUTED_VALUE"""),"Not specified")</f>
        <v>Not specified</v>
      </c>
      <c r="W46" t="str">
        <f>IFERROR(__xludf.DUMMYFUNCTION("""COMPUTED_VALUE"""),"Not specified")</f>
        <v>Not specified</v>
      </c>
      <c r="X46" t="str">
        <f>IFERROR(__xludf.DUMMYFUNCTION("""COMPUTED_VALUE"""),"Not specified")</f>
        <v>Not specified</v>
      </c>
      <c r="Y46" t="str">
        <f>IFERROR(__xludf.DUMMYFUNCTION("""COMPUTED_VALUE"""),"Not specified")</f>
        <v>Not specified</v>
      </c>
      <c r="Z46" t="str">
        <f>IFERROR(__xludf.DUMMYFUNCTION("""COMPUTED_VALUE"""),"Not specified")</f>
        <v>Not specified</v>
      </c>
      <c r="AA46" t="str">
        <f>IFERROR(__xludf.DUMMYFUNCTION("""COMPUTED_VALUE"""),"")</f>
        <v/>
      </c>
      <c r="AB46" t="str">
        <f>IFERROR(__xludf.DUMMYFUNCTION("""COMPUTED_VALUE"""),"")</f>
        <v/>
      </c>
      <c r="AC46" t="str">
        <f>IFERROR(__xludf.DUMMYFUNCTION("""COMPUTED_VALUE"""),"")</f>
        <v/>
      </c>
      <c r="AD46" t="str">
        <f>IFERROR(__xludf.DUMMYFUNCTION("""COMPUTED_VALUE"""),"Unsure")</f>
        <v>Unsure</v>
      </c>
      <c r="AE46" t="str">
        <f>IFERROR(__xludf.DUMMYFUNCTION("""COMPUTED_VALUE"""),"Unsure")</f>
        <v>Unsure</v>
      </c>
      <c r="AF46" t="str">
        <f>IFERROR(__xludf.DUMMYFUNCTION("""COMPUTED_VALUE"""),"Unsure")</f>
        <v>Unsure</v>
      </c>
      <c r="AG46" s="78" t="str">
        <f>IFERROR(__xludf.DUMMYFUNCTION("""COMPUTED_VALUE"""),"https://academic.oup.com/journals/pages/access_purchase/rights_and_permissions/self_archiving_policy_b")</f>
        <v>https://academic.oup.com/journals/pages/access_purchase/rights_and_permissions/self_archiving_policy_b</v>
      </c>
      <c r="AH46" t="str">
        <f>IFERROR(__xludf.DUMMYFUNCTION("""COMPUTED_VALUE"""),"First submission only (before peer review)")</f>
        <v>First submission only (before peer review)</v>
      </c>
      <c r="AI46" t="str">
        <f>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46" t="str">
        <f>IFERROR(__xludf.DUMMYFUNCTION("""COMPUTED_VALUE"""),"Unsure - https://academic.oup.com/eurheartj/pages/General_Instructions#2.4")</f>
        <v>Unsure - https://academic.oup.com/eurheartj/pages/General_Instructions#2.4</v>
      </c>
      <c r="AK46" t="str">
        <f>IFERROR(__xludf.DUMMYFUNCTION("""COMPUTED_VALUE"""),"Unsure")</f>
        <v>Unsure</v>
      </c>
      <c r="AL46" t="str">
        <f>IFERROR(__xludf.DUMMYFUNCTION("""COMPUTED_VALUE"""),"")</f>
        <v/>
      </c>
      <c r="AM46" t="str">
        <f>IFERROR(__xludf.DUMMYFUNCTION("""COMPUTED_VALUE"""),"")</f>
        <v/>
      </c>
      <c r="AN46" t="str">
        <f>IFERROR(__xludf.DUMMYFUNCTION("""COMPUTED_VALUE"""),"")</f>
        <v/>
      </c>
      <c r="AO46" t="str">
        <f>IFERROR(__xludf.DUMMYFUNCTION("""COMPUTED_VALUE"""),"")</f>
        <v/>
      </c>
      <c r="AP46" t="str">
        <f>IFERROR(__xludf.DUMMYFUNCTION("""COMPUTED_VALUE"""),"")</f>
        <v/>
      </c>
      <c r="AQ46" t="str">
        <f>IFERROR(__xludf.DUMMYFUNCTION("""COMPUTED_VALUE"""),"")</f>
        <v/>
      </c>
      <c r="AR46" t="str">
        <f>IFERROR(__xludf.DUMMYFUNCTION("""COMPUTED_VALUE"""),"")</f>
        <v/>
      </c>
    </row>
    <row r="47">
      <c r="A47" t="str">
        <f>IFERROR(__xludf.DUMMYFUNCTION("""COMPUTED_VALUE"""),"SR")</f>
        <v>SR</v>
      </c>
      <c r="B47" s="34">
        <f>IFERROR(__xludf.DUMMYFUNCTION("""COMPUTED_VALUE"""),43441.0)</f>
        <v>43441</v>
      </c>
      <c r="C47" t="str">
        <f>IFERROR(__xludf.DUMMYFUNCTION("""COMPUTED_VALUE"""),"JP")</f>
        <v>JP</v>
      </c>
      <c r="D47" s="36">
        <f>IFERROR(__xludf.DUMMYFUNCTION("""COMPUTED_VALUE"""),43566.0)</f>
        <v>43566</v>
      </c>
      <c r="E47" t="str">
        <f>IFERROR(__xludf.DUMMYFUNCTION("""COMPUTED_VALUE"""),"TRH")</f>
        <v>TRH</v>
      </c>
      <c r="F47" s="36">
        <f>IFERROR(__xludf.DUMMYFUNCTION("""COMPUTED_VALUE"""),43580.0)</f>
        <v>43580</v>
      </c>
      <c r="G47" s="36" t="str">
        <f>IFERROR(__xludf.DUMMYFUNCTION("""COMPUTED_VALUE"""),"")</f>
        <v/>
      </c>
      <c r="H47" t="str">
        <f>IFERROR(__xludf.DUMMYFUNCTION("""COMPUTED_VALUE"""),"0302-2838")</f>
        <v>0302-2838</v>
      </c>
      <c r="I47" t="str">
        <f>IFERROR(__xludf.DUMMYFUNCTION("""COMPUTED_VALUE"""),"European Urology")</f>
        <v>European Urology</v>
      </c>
      <c r="J47" t="str">
        <f>IFERROR(__xludf.DUMMYFUNCTION("""COMPUTED_VALUE"""),"")</f>
        <v/>
      </c>
      <c r="K47" t="str">
        <f>IFERROR(__xludf.DUMMYFUNCTION("""COMPUTED_VALUE"""),"Elsevier")</f>
        <v>Elsevier</v>
      </c>
      <c r="L47" t="str">
        <f>IFERROR(__xludf.DUMMYFUNCTION("""COMPUTED_VALUE"""),"Single blind")</f>
        <v>Single blind</v>
      </c>
      <c r="M47" s="78" t="str">
        <f>IFERROR(__xludf.DUMMYFUNCTION("""COMPUTED_VALUE"""),"https://www.europeanurology.com/content/resources-for-authors")</f>
        <v>https://www.europeanurology.com/content/resources-for-authors</v>
      </c>
      <c r="N47" t="str">
        <f>IFERROR(__xludf.DUMMYFUNCTION("""COMPUTED_VALUE"""),"")</f>
        <v/>
      </c>
      <c r="O47" s="78" t="str">
        <f>IFERROR(__xludf.DUMMYFUNCTION("""COMPUTED_VALUE"""),"https://www.elsevier.com/reviewers/role#RRP")</f>
        <v>https://www.elsevier.com/reviewers/role#RRP</v>
      </c>
      <c r="P47" t="str">
        <f>IFERROR(__xludf.DUMMYFUNCTION("""COMPUTED_VALUE"""),"Unsure")</f>
        <v>Unsure</v>
      </c>
      <c r="Q47"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7" s="78" t="str">
        <f>IFERROR(__xludf.DUMMYFUNCTION("""COMPUTED_VALUE"""),"https://www.elsevier.com/reviewers/what-is-peer-review")</f>
        <v>https://www.elsevier.com/reviewers/what-is-peer-review</v>
      </c>
      <c r="S47" t="str">
        <f>IFERROR(__xludf.DUMMYFUNCTION("""COMPUTED_VALUE"""),"Not specified")</f>
        <v>Not specified</v>
      </c>
      <c r="T47" t="str">
        <f>IFERROR(__xludf.DUMMYFUNCTION("""COMPUTED_VALUE"""),"Not specified")</f>
        <v>Not specified</v>
      </c>
      <c r="U47" t="str">
        <f>IFERROR(__xludf.DUMMYFUNCTION("""COMPUTED_VALUE"""),"Not specified")</f>
        <v>Not specified</v>
      </c>
      <c r="V47" t="str">
        <f>IFERROR(__xludf.DUMMYFUNCTION("""COMPUTED_VALUE"""),"Not specified")</f>
        <v>Not specified</v>
      </c>
      <c r="W47" t="str">
        <f>IFERROR(__xludf.DUMMYFUNCTION("""COMPUTED_VALUE"""),"Not specified")</f>
        <v>Not specified</v>
      </c>
      <c r="X47" t="str">
        <f>IFERROR(__xludf.DUMMYFUNCTION("""COMPUTED_VALUE"""),"Not specified")</f>
        <v>Not specified</v>
      </c>
      <c r="Y47" t="str">
        <f>IFERROR(__xludf.DUMMYFUNCTION("""COMPUTED_VALUE"""),"Not specified")</f>
        <v>Not specified</v>
      </c>
      <c r="Z47" t="str">
        <f>IFERROR(__xludf.DUMMYFUNCTION("""COMPUTED_VALUE"""),"Not specified")</f>
        <v>Not specified</v>
      </c>
      <c r="AA47" t="str">
        <f>IFERROR(__xludf.DUMMYFUNCTION("""COMPUTED_VALUE"""),"The journal European Urology is not very specific with respect to the details of its peer review process.")</f>
        <v>The journal European Urology is not very specific with respect to the details of its peer review process.</v>
      </c>
      <c r="AB47" t="str">
        <f>IFERROR(__xludf.DUMMYFUNCTION("""COMPUTED_VALUE"""),"")</f>
        <v/>
      </c>
      <c r="AC47" t="str">
        <f>IFERROR(__xludf.DUMMYFUNCTION("""COMPUTED_VALUE"""),"")</f>
        <v/>
      </c>
      <c r="AD47" t="str">
        <f>IFERROR(__xludf.DUMMYFUNCTION("""COMPUTED_VALUE"""),"Unsure")</f>
        <v>Unsure</v>
      </c>
      <c r="AE47" t="str">
        <f>IFERROR(__xludf.DUMMYFUNCTION("""COMPUTED_VALUE"""),"Unsure")</f>
        <v>Unsure</v>
      </c>
      <c r="AF47" t="str">
        <f>IFERROR(__xludf.DUMMYFUNCTION("""COMPUTED_VALUE"""),"Unsure")</f>
        <v>Unsure</v>
      </c>
      <c r="AG47" t="str">
        <f>IFERROR(__xludf.DUMMYFUNCTION("""COMPUTED_VALUE"""),"")</f>
        <v/>
      </c>
      <c r="AH47" t="str">
        <f>IFERROR(__xludf.DUMMYFUNCTION("""COMPUTED_VALUE"""),"No preprint policy")</f>
        <v>No preprint policy</v>
      </c>
      <c r="AI47" t="str">
        <f>IFERROR(__xludf.DUMMYFUNCTION("""COMPUTED_VALUE"""),"")</f>
        <v/>
      </c>
      <c r="AJ47" t="str">
        <f>IFERROR(__xludf.DUMMYFUNCTION("""COMPUTED_VALUE"""),"Not specified")</f>
        <v>Not specified</v>
      </c>
      <c r="AK47" t="str">
        <f>IFERROR(__xludf.DUMMYFUNCTION("""COMPUTED_VALUE"""),"Unsure")</f>
        <v>Unsure</v>
      </c>
      <c r="AL47" t="str">
        <f>IFERROR(__xludf.DUMMYFUNCTION("""COMPUTED_VALUE"""),"")</f>
        <v/>
      </c>
      <c r="AM47" t="str">
        <f>IFERROR(__xludf.DUMMYFUNCTION("""COMPUTED_VALUE"""),"")</f>
        <v/>
      </c>
      <c r="AN47" t="str">
        <f>IFERROR(__xludf.DUMMYFUNCTION("""COMPUTED_VALUE"""),"")</f>
        <v/>
      </c>
      <c r="AO47" t="str">
        <f>IFERROR(__xludf.DUMMYFUNCTION("""COMPUTED_VALUE"""),"")</f>
        <v/>
      </c>
      <c r="AP47" t="str">
        <f>IFERROR(__xludf.DUMMYFUNCTION("""COMPUTED_VALUE"""),"The European Urology journal is published by Elsevier, so presumably many of Elsevier's general policies apply. However, the general information documents by Elsevier are not accessible (mostly) via the EU journal. Consequently, no information is provided"&amp;" on their peer review or pre-print policies, for instance.")</f>
        <v>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v>
      </c>
      <c r="AQ47" t="str">
        <f>IFERROR(__xludf.DUMMYFUNCTION("""COMPUTED_VALUE"""),"")</f>
        <v/>
      </c>
      <c r="AR47" t="str">
        <f>IFERROR(__xludf.DUMMYFUNCTION("""COMPUTED_VALUE"""),"")</f>
        <v/>
      </c>
    </row>
    <row r="48">
      <c r="A48" t="str">
        <f>IFERROR(__xludf.DUMMYFUNCTION("""COMPUTED_VALUE"""),"SR")</f>
        <v>SR</v>
      </c>
      <c r="B48" s="34">
        <f>IFERROR(__xludf.DUMMYFUNCTION("""COMPUTED_VALUE"""),43438.0)</f>
        <v>43438</v>
      </c>
      <c r="C48" t="str">
        <f>IFERROR(__xludf.DUMMYFUNCTION("""COMPUTED_VALUE"""),"JP")</f>
        <v>JP</v>
      </c>
      <c r="D48" s="36">
        <f>IFERROR(__xludf.DUMMYFUNCTION("""COMPUTED_VALUE"""),43566.0)</f>
        <v>43566</v>
      </c>
      <c r="E48" t="str">
        <f>IFERROR(__xludf.DUMMYFUNCTION("""COMPUTED_VALUE"""),"TRH")</f>
        <v>TRH</v>
      </c>
      <c r="F48" s="36">
        <f>IFERROR(__xludf.DUMMYFUNCTION("""COMPUTED_VALUE"""),43580.0)</f>
        <v>43580</v>
      </c>
      <c r="G48" s="36" t="str">
        <f>IFERROR(__xludf.DUMMYFUNCTION("""COMPUTED_VALUE"""),"")</f>
        <v/>
      </c>
      <c r="H48" t="str">
        <f>IFERROR(__xludf.DUMMYFUNCTION("""COMPUTED_VALUE"""),"0016-5085")</f>
        <v>0016-5085</v>
      </c>
      <c r="I48" t="str">
        <f>IFERROR(__xludf.DUMMYFUNCTION("""COMPUTED_VALUE"""),"Gastroenterology")</f>
        <v>Gastroenterology</v>
      </c>
      <c r="J48" t="str">
        <f>IFERROR(__xludf.DUMMYFUNCTION("""COMPUTED_VALUE"""),"Health &amp; Medical Sciences")</f>
        <v>Health &amp; Medical Sciences</v>
      </c>
      <c r="K48" t="str">
        <f>IFERROR(__xludf.DUMMYFUNCTION("""COMPUTED_VALUE"""),"Elsevier/The American Gatsorenterological Association")</f>
        <v>Elsevier/The American Gatsorenterological Association</v>
      </c>
      <c r="L48" t="str">
        <f>IFERROR(__xludf.DUMMYFUNCTION("""COMPUTED_VALUE"""),"Single blind")</f>
        <v>Single blind</v>
      </c>
      <c r="M48" s="78" t="str">
        <f>IFERROR(__xludf.DUMMYFUNCTION("""COMPUTED_VALUE"""),"https://www.gastrojournal.org/content/authorinfo")</f>
        <v>https://www.gastrojournal.org/content/authorinfo</v>
      </c>
      <c r="N48" t="str">
        <f>IFERROR(__xludf.DUMMYFUNCTION("""COMPUTED_VALUE"""),"")</f>
        <v/>
      </c>
      <c r="O48" s="78" t="str">
        <f>IFERROR(__xludf.DUMMYFUNCTION("""COMPUTED_VALUE"""),"https://www.gastrojournal.org/content/authorinfo")</f>
        <v>https://www.gastrojournal.org/content/authorinfo</v>
      </c>
      <c r="P48" t="str">
        <f>IFERROR(__xludf.DUMMYFUNCTION("""COMPUTED_VALUE"""),"No")</f>
        <v>No</v>
      </c>
      <c r="Q48"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8" s="78" t="str">
        <f>IFERROR(__xludf.DUMMYFUNCTION("""COMPUTED_VALUE"""),"https://www.elsevier.com/reviewers/what-is-peer-review")</f>
        <v>https://www.elsevier.com/reviewers/what-is-peer-review</v>
      </c>
      <c r="S48" t="str">
        <f>IFERROR(__xludf.DUMMYFUNCTION("""COMPUTED_VALUE"""),"No")</f>
        <v>No</v>
      </c>
      <c r="T48" t="str">
        <f>IFERROR(__xludf.DUMMYFUNCTION("""COMPUTED_VALUE"""),"Not specified")</f>
        <v>Not specified</v>
      </c>
      <c r="U48" t="str">
        <f>IFERROR(__xludf.DUMMYFUNCTION("""COMPUTED_VALUE"""),"No")</f>
        <v>No</v>
      </c>
      <c r="V48" t="str">
        <f>IFERROR(__xludf.DUMMYFUNCTION("""COMPUTED_VALUE"""),"Not specified")</f>
        <v>Not specified</v>
      </c>
      <c r="W48" t="str">
        <f>IFERROR(__xludf.DUMMYFUNCTION("""COMPUTED_VALUE"""),"No")</f>
        <v>No</v>
      </c>
      <c r="X48" t="str">
        <f>IFERROR(__xludf.DUMMYFUNCTION("""COMPUTED_VALUE"""),"No")</f>
        <v>No</v>
      </c>
      <c r="Y48" t="str">
        <f>IFERROR(__xludf.DUMMYFUNCTION("""COMPUTED_VALUE"""),"Not specified")</f>
        <v>Not specified</v>
      </c>
      <c r="Z48" t="str">
        <f>IFERROR(__xludf.DUMMYFUNCTION("""COMPUTED_VALUE"""),"Not specified")</f>
        <v>Not specified</v>
      </c>
      <c r="AA48" t="str">
        <f>IFERROR(__xludf.DUMMYFUNCTION("""COMPUTED_VALUE"""),"")</f>
        <v/>
      </c>
      <c r="AB48" t="str">
        <f>IFERROR(__xludf.DUMMYFUNCTION("""COMPUTED_VALUE"""),"Reviewers provide comments for the editor and for the authors. The journal expects reviewers to treat manuscripts as confidential communications and not to use the content for their own purposes or make copies of the manuscripts. Reviewers are also expect"&amp;"ed to declare to the editor any possible conflicts of interest.")</f>
        <v>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v>
      </c>
      <c r="AC48" s="78" t="str">
        <f>IFERROR(__xludf.DUMMYFUNCTION("""COMPUTED_VALUE"""),"https://www.gastrojournal.org/content/authorinfo")</f>
        <v>https://www.gastrojournal.org/content/authorinfo</v>
      </c>
      <c r="AD48" t="str">
        <f>IFERROR(__xludf.DUMMYFUNCTION("""COMPUTED_VALUE"""),"Unsure")</f>
        <v>Unsure</v>
      </c>
      <c r="AE48" t="str">
        <f>IFERROR(__xludf.DUMMYFUNCTION("""COMPUTED_VALUE"""),"Unsure")</f>
        <v>Unsure</v>
      </c>
      <c r="AF48" t="str">
        <f>IFERROR(__xludf.DUMMYFUNCTION("""COMPUTED_VALUE"""),"No")</f>
        <v>No</v>
      </c>
      <c r="AG48" s="78" t="str">
        <f>IFERROR(__xludf.DUMMYFUNCTION("""COMPUTED_VALUE"""),"https://www.gastrojournal.org/content/authorinfo")</f>
        <v>https://www.gastrojournal.org/content/authorinfo</v>
      </c>
      <c r="AH48" t="str">
        <f>IFERROR(__xludf.DUMMYFUNCTION("""COMPUTED_VALUE"""),"No preprint policy")</f>
        <v>No preprint policy</v>
      </c>
      <c r="AI48" t="str">
        <f>IFERROR(__xludf.DUMMYFUNCTION("""COMPUTED_VALUE"""),"")</f>
        <v/>
      </c>
      <c r="AJ48" t="str">
        <f>IFERROR(__xludf.DUMMYFUNCTION("""COMPUTED_VALUE"""),"Not specified")</f>
        <v>Not specified</v>
      </c>
      <c r="AK48" t="str">
        <f>IFERROR(__xludf.DUMMYFUNCTION("""COMPUTED_VALUE"""),"Unsure")</f>
        <v>Unsure</v>
      </c>
      <c r="AL48" t="str">
        <f>IFERROR(__xludf.DUMMYFUNCTION("""COMPUTED_VALUE"""),"")</f>
        <v/>
      </c>
      <c r="AM48" t="str">
        <f>IFERROR(__xludf.DUMMYFUNCTION("""COMPUTED_VALUE"""),"")</f>
        <v/>
      </c>
      <c r="AN48" t="str">
        <f>IFERROR(__xludf.DUMMYFUNCTION("""COMPUTED_VALUE"""),"")</f>
        <v/>
      </c>
      <c r="AO48" t="str">
        <f>IFERROR(__xludf.DUMMYFUNCTION("""COMPUTED_VALUE"""),"")</f>
        <v/>
      </c>
      <c r="AP48" t="str">
        <f>IFERROR(__xludf.DUMMYFUNCTION("""COMPUTED_VALUE"""),"The journal ""Gastroenterology"" belongs to the American Gastroenterological Association but is published by Elsevier. Nevertheless, the journal website details the review procedures which sometimes depart from Elsevier's other journals. As with other jou"&amp;"rnals, the information the editors consider most important for authors concerns the topics and publication types admissible to the journal and the way editors expect (potential) authors to act. All the information available on the peer review process is c"&amp;"onveniently located in one single document/website.; Preprint-version: (Put ""No preprint policy"" because of sentences like this: ""The publication of abstracts or posters is not considered duplicate publication but should be disclosed in the cover lette"&amp;"r accompanying the manuscript submission."" )")</f>
        <v>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v>
      </c>
      <c r="AQ48" t="str">
        <f>IFERROR(__xludf.DUMMYFUNCTION("""COMPUTED_VALUE"""),"")</f>
        <v/>
      </c>
      <c r="AR48" t="str">
        <f>IFERROR(__xludf.DUMMYFUNCTION("""COMPUTED_VALUE"""),"")</f>
        <v/>
      </c>
    </row>
    <row r="49">
      <c r="A49" t="str">
        <f>IFERROR(__xludf.DUMMYFUNCTION("""COMPUTED_VALUE"""),"SR")</f>
        <v>SR</v>
      </c>
      <c r="B49" s="34">
        <f>IFERROR(__xludf.DUMMYFUNCTION("""COMPUTED_VALUE"""),43438.0)</f>
        <v>43438</v>
      </c>
      <c r="C49" t="str">
        <f>IFERROR(__xludf.DUMMYFUNCTION("""COMPUTED_VALUE"""),"JP")</f>
        <v>JP</v>
      </c>
      <c r="D49" s="36">
        <f>IFERROR(__xludf.DUMMYFUNCTION("""COMPUTED_VALUE"""),43566.0)</f>
        <v>43566</v>
      </c>
      <c r="E49" t="str">
        <f>IFERROR(__xludf.DUMMYFUNCTION("""COMPUTED_VALUE"""),"TRH")</f>
        <v>TRH</v>
      </c>
      <c r="F49" s="36">
        <f>IFERROR(__xludf.DUMMYFUNCTION("""COMPUTED_VALUE"""),43580.0)</f>
        <v>43580</v>
      </c>
      <c r="G49" s="36" t="str">
        <f>IFERROR(__xludf.DUMMYFUNCTION("""COMPUTED_VALUE"""),"")</f>
        <v/>
      </c>
      <c r="H49" t="str">
        <f>IFERROR(__xludf.DUMMYFUNCTION("""COMPUTED_VALUE"""),"1552-3977")</f>
        <v>1552-3977</v>
      </c>
      <c r="I49" t="str">
        <f>IFERROR(__xludf.DUMMYFUNCTION("""COMPUTED_VALUE"""),"Gender &amp; Society")</f>
        <v>Gender &amp; Society</v>
      </c>
      <c r="J49" t="str">
        <f>IFERROR(__xludf.DUMMYFUNCTION("""COMPUTED_VALUE"""),"Humanities, Literature &amp; Arts")</f>
        <v>Humanities, Literature &amp; Arts</v>
      </c>
      <c r="K49" t="str">
        <f>IFERROR(__xludf.DUMMYFUNCTION("""COMPUTED_VALUE"""),"SAGE")</f>
        <v>SAGE</v>
      </c>
      <c r="L49" t="str">
        <f>IFERROR(__xludf.DUMMYFUNCTION("""COMPUTED_VALUE"""),"Double blind")</f>
        <v>Double blind</v>
      </c>
      <c r="M49" s="78" t="str">
        <f>IFERROR(__xludf.DUMMYFUNCTION("""COMPUTED_VALUE"""),"https://uk.sagepub.com/en-gb/eur/gender-society/journal200793#submission-guidelines")</f>
        <v>https://uk.sagepub.com/en-gb/eur/gender-society/journal200793#submission-guidelines</v>
      </c>
      <c r="N49" t="str">
        <f>IFERROR(__xludf.DUMMYFUNCTION("""COMPUTED_VALUE"""),"")</f>
        <v/>
      </c>
      <c r="O49" s="78" t="str">
        <f>IFERROR(__xludf.DUMMYFUNCTION("""COMPUTED_VALUE"""),"https://uk.sagepub.com/en-gb/eur/online-submission-peer-review-system")</f>
        <v>https://uk.sagepub.com/en-gb/eur/online-submission-peer-review-system</v>
      </c>
      <c r="P49" t="str">
        <f>IFERROR(__xludf.DUMMYFUNCTION("""COMPUTED_VALUE"""),"Yes")</f>
        <v>Yes</v>
      </c>
      <c r="Q49" t="str">
        <f>IFERROR(__xludf.DUMMYFUNCTION("""COMPUTED_VALUE"""),"")</f>
        <v/>
      </c>
      <c r="R49" t="str">
        <f>IFERROR(__xludf.DUMMYFUNCTION("""COMPUTED_VALUE"""),"")</f>
        <v/>
      </c>
      <c r="S49" t="str">
        <f>IFERROR(__xludf.DUMMYFUNCTION("""COMPUTED_VALUE"""),"Not specified")</f>
        <v>Not specified</v>
      </c>
      <c r="T49" t="str">
        <f>IFERROR(__xludf.DUMMYFUNCTION("""COMPUTED_VALUE"""),"Not specified")</f>
        <v>Not specified</v>
      </c>
      <c r="U49" t="str">
        <f>IFERROR(__xludf.DUMMYFUNCTION("""COMPUTED_VALUE"""),"Not specified")</f>
        <v>Not specified</v>
      </c>
      <c r="V49" t="str">
        <f>IFERROR(__xludf.DUMMYFUNCTION("""COMPUTED_VALUE"""),"Not specified")</f>
        <v>Not specified</v>
      </c>
      <c r="W49" t="str">
        <f>IFERROR(__xludf.DUMMYFUNCTION("""COMPUTED_VALUE"""),"Not specified")</f>
        <v>Not specified</v>
      </c>
      <c r="X49" t="str">
        <f>IFERROR(__xludf.DUMMYFUNCTION("""COMPUTED_VALUE"""),"Not specified")</f>
        <v>Not specified</v>
      </c>
      <c r="Y49" t="str">
        <f>IFERROR(__xludf.DUMMYFUNCTION("""COMPUTED_VALUE"""),"Not specified")</f>
        <v>Not specified</v>
      </c>
      <c r="Z49" t="str">
        <f>IFERROR(__xludf.DUMMYFUNCTION("""COMPUTED_VALUE"""),"Not specified")</f>
        <v>Not specified</v>
      </c>
      <c r="AA49" t="str">
        <f>IFERROR(__xludf.DUMMYFUNCTION("""COMPUTED_VALUE"""),"")</f>
        <v/>
      </c>
      <c r="AB49" t="str">
        <f>IFERROR(__xludf.DUMMYFUNCTION("""COMPUTED_VALUE"""),"")</f>
        <v/>
      </c>
      <c r="AC49" t="str">
        <f>IFERROR(__xludf.DUMMYFUNCTION("""COMPUTED_VALUE"""),"")</f>
        <v/>
      </c>
      <c r="AD49" t="str">
        <f>IFERROR(__xludf.DUMMYFUNCTION("""COMPUTED_VALUE"""),"Unsure")</f>
        <v>Unsure</v>
      </c>
      <c r="AE49" t="str">
        <f>IFERROR(__xludf.DUMMYFUNCTION("""COMPUTED_VALUE"""),"Unsure")</f>
        <v>Unsure</v>
      </c>
      <c r="AF49" t="str">
        <f>IFERROR(__xludf.DUMMYFUNCTION("""COMPUTED_VALUE"""),"Unsure")</f>
        <v>Unsure</v>
      </c>
      <c r="AG49" s="78" t="str">
        <f>IFERROR(__xludf.DUMMYFUNCTION("""COMPUTED_VALUE"""),"https://uk.sagepub.com/en-gb/eur/prior-publication")</f>
        <v>https://uk.sagepub.com/en-gb/eur/prior-publication</v>
      </c>
      <c r="AH49" t="str">
        <f>IFERROR(__xludf.DUMMYFUNCTION("""COMPUTED_VALUE"""),"After peer review (but not final, copyedited version)")</f>
        <v>After peer review (but not final, copyedited version)</v>
      </c>
      <c r="AI49" t="str">
        <f>IFERROR(__xludf.DUMMYFUNCTION("""COMPUTED_VALUE"""),"Servers should enable green open access (minimum)")</f>
        <v>Servers should enable green open access (minimum)</v>
      </c>
      <c r="AJ49" t="str">
        <f>IFERROR(__xludf.DUMMYFUNCTION("""COMPUTED_VALUE"""),"Not specified")</f>
        <v>Not specified</v>
      </c>
      <c r="AK49" t="str">
        <f>IFERROR(__xludf.DUMMYFUNCTION("""COMPUTED_VALUE"""),"Unsure")</f>
        <v>Unsure</v>
      </c>
      <c r="AL49" t="str">
        <f>IFERROR(__xludf.DUMMYFUNCTION("""COMPUTED_VALUE"""),"Working papers or versions of the paper posted on a pre-print server: authors should alert the Editor when submitting their paper if they have posted it on a pre-print server. Authors should not post an updated version of their paper on the pre-print serv"&amp;"er while it is being peer reviewed for possible publication in the journal. If the article is accepted for publication, the author may re-use their work according to the journal's self-archiving policy: SAGE’s standard self-archiving policy can be found o"&amp;"n our Author Gateway. Please note that individual journals may not accept for consideration papers that have been posted on pre-print servers. Please check the submission guidelines of the journal you are submitting to and confirm with the Editor or Edito"&amp;"rial Office directly.")</f>
        <v>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v>
      </c>
      <c r="AM49" t="str">
        <f>IFERROR(__xludf.DUMMYFUNCTION("""COMPUTED_VALUE"""),"")</f>
        <v/>
      </c>
      <c r="AN49" t="str">
        <f>IFERROR(__xludf.DUMMYFUNCTION("""COMPUTED_VALUE"""),"")</f>
        <v/>
      </c>
      <c r="AO49" t="str">
        <f>IFERROR(__xludf.DUMMYFUNCTION("""COMPUTED_VALUE"""),"")</f>
        <v/>
      </c>
      <c r="AP49" t="str">
        <f>IFERROR(__xludf.DUMMYFUNCTION("""COMPUTED_VALUE"""),"Gender &amp; Society is published by SAGE, but as with journal versus publisher policies generally, it is not clear which rules specified by SAGE apply to this particular journal. E.g. Concerning preprint policies, the SAGE website offers author information t"&amp;"hat is linked in a circular way to preprint policies (i.e. the preprint policy page refers to the author guidelines and vice versa).")</f>
        <v>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v>
      </c>
      <c r="AQ49" t="str">
        <f>IFERROR(__xludf.DUMMYFUNCTION("""COMPUTED_VALUE"""),"")</f>
        <v/>
      </c>
      <c r="AR49" t="str">
        <f>IFERROR(__xludf.DUMMYFUNCTION("""COMPUTED_VALUE"""),"")</f>
        <v/>
      </c>
    </row>
    <row r="50">
      <c r="A50" t="str">
        <f>IFERROR(__xludf.DUMMYFUNCTION("""COMPUTED_VALUE"""),"SR")</f>
        <v>SR</v>
      </c>
      <c r="B50" s="34">
        <f>IFERROR(__xludf.DUMMYFUNCTION("""COMPUTED_VALUE"""),43438.0)</f>
        <v>43438</v>
      </c>
      <c r="C50" t="str">
        <f>IFERROR(__xludf.DUMMYFUNCTION("""COMPUTED_VALUE"""),"JP")</f>
        <v>JP</v>
      </c>
      <c r="D50" s="36">
        <f>IFERROR(__xludf.DUMMYFUNCTION("""COMPUTED_VALUE"""),43566.0)</f>
        <v>43566</v>
      </c>
      <c r="E50" t="str">
        <f>IFERROR(__xludf.DUMMYFUNCTION("""COMPUTED_VALUE"""),"TRH")</f>
        <v>TRH</v>
      </c>
      <c r="F50" s="36">
        <f>IFERROR(__xludf.DUMMYFUNCTION("""COMPUTED_VALUE"""),43580.0)</f>
        <v>43580</v>
      </c>
      <c r="G50" s="36" t="str">
        <f>IFERROR(__xludf.DUMMYFUNCTION("""COMPUTED_VALUE"""),"")</f>
        <v/>
      </c>
      <c r="H50" t="str">
        <f>IFERROR(__xludf.DUMMYFUNCTION("""COMPUTED_VALUE"""),"1944-8007")</f>
        <v>1944-8007</v>
      </c>
      <c r="I50" t="str">
        <f>IFERROR(__xludf.DUMMYFUNCTION("""COMPUTED_VALUE"""),"Geophysical Research Letters")</f>
        <v>Geophysical Research Letters</v>
      </c>
      <c r="J50" t="str">
        <f>IFERROR(__xludf.DUMMYFUNCTION("""COMPUTED_VALUE"""),"Physics &amp; Mathematics")</f>
        <v>Physics &amp; Mathematics</v>
      </c>
      <c r="K50" t="str">
        <f>IFERROR(__xludf.DUMMYFUNCTION("""COMPUTED_VALUE"""),"Wiley/Advancing Earth and Space Science")</f>
        <v>Wiley/Advancing Earth and Space Science</v>
      </c>
      <c r="L50" t="str">
        <f>IFERROR(__xludf.DUMMYFUNCTION("""COMPUTED_VALUE"""),"Unsure")</f>
        <v>Unsure</v>
      </c>
      <c r="M50" s="78" t="str">
        <f>IFERROR(__xludf.DUMMYFUNCTION("""COMPUTED_VALUE"""),"https://publications.agu.org/author-resource-center/steps-to-publication/")</f>
        <v>https://publications.agu.org/author-resource-center/steps-to-publication/</v>
      </c>
      <c r="N50" t="str">
        <f>IFERROR(__xludf.DUMMYFUNCTION("""COMPUTED_VALUE"""),"")</f>
        <v/>
      </c>
      <c r="O50" s="78" t="str">
        <f>IFERROR(__xludf.DUMMYFUNCTION("""COMPUTED_VALUE"""),"https://publications.agu.org/reviewer-resources/")</f>
        <v>https://publications.agu.org/reviewer-resources/</v>
      </c>
      <c r="P50" t="str">
        <f>IFERROR(__xludf.DUMMYFUNCTION("""COMPUTED_VALUE"""),"No")</f>
        <v>No</v>
      </c>
      <c r="Q50" t="str">
        <f>IFERROR(__xludf.DUMMYFUNCTION("""COMPUTED_VALUE"""),"Not specified")</f>
        <v>Not specified</v>
      </c>
      <c r="R50" t="str">
        <f>IFERROR(__xludf.DUMMYFUNCTION("""COMPUTED_VALUE"""),"")</f>
        <v/>
      </c>
      <c r="S50" t="str">
        <f>IFERROR(__xludf.DUMMYFUNCTION("""COMPUTED_VALUE"""),"Not specified")</f>
        <v>Not specified</v>
      </c>
      <c r="T50" t="str">
        <f>IFERROR(__xludf.DUMMYFUNCTION("""COMPUTED_VALUE"""),"Not specified")</f>
        <v>Not specified</v>
      </c>
      <c r="U50" t="str">
        <f>IFERROR(__xludf.DUMMYFUNCTION("""COMPUTED_VALUE"""),"Not specified")</f>
        <v>Not specified</v>
      </c>
      <c r="V50" t="str">
        <f>IFERROR(__xludf.DUMMYFUNCTION("""COMPUTED_VALUE"""),"Not specified")</f>
        <v>Not specified</v>
      </c>
      <c r="W50" t="str">
        <f>IFERROR(__xludf.DUMMYFUNCTION("""COMPUTED_VALUE"""),"Not specified")</f>
        <v>Not specified</v>
      </c>
      <c r="X50" t="str">
        <f>IFERROR(__xludf.DUMMYFUNCTION("""COMPUTED_VALUE"""),"Not specified")</f>
        <v>Not specified</v>
      </c>
      <c r="Y50" t="str">
        <f>IFERROR(__xludf.DUMMYFUNCTION("""COMPUTED_VALUE"""),"Not specified")</f>
        <v>Not specified</v>
      </c>
      <c r="Z50" t="str">
        <f>IFERROR(__xludf.DUMMYFUNCTION("""COMPUTED_VALUE"""),"Not specified")</f>
        <v>Not specified</v>
      </c>
      <c r="AA50" t="str">
        <f>IFERROR(__xludf.DUMMYFUNCTION("""COMPUTED_VALUE"""),"")</f>
        <v/>
      </c>
      <c r="AB50" t="str">
        <f>IFERROR(__xludf.DUMMYFUNCTION("""COMPUTED_VALUE"""),"All reviewers are expected to uphold AGU’s ethical guidelines and to disclose any conflicts of interest to the editors. Reviewers are expected to keep manuscripts confidential.")</f>
        <v>All reviewers are expected to uphold AGU’s ethical guidelines and to disclose any conflicts of interest to the editors. Reviewers are expected to keep manuscripts confidential.</v>
      </c>
      <c r="AC50" s="78" t="str">
        <f>IFERROR(__xludf.DUMMYFUNCTION("""COMPUTED_VALUE"""),"https://publications.agu.org/reviewer-resources/")</f>
        <v>https://publications.agu.org/reviewer-resources/</v>
      </c>
      <c r="AD50" t="str">
        <f>IFERROR(__xludf.DUMMYFUNCTION("""COMPUTED_VALUE"""),"Unsure")</f>
        <v>Unsure</v>
      </c>
      <c r="AE50" t="str">
        <f>IFERROR(__xludf.DUMMYFUNCTION("""COMPUTED_VALUE"""),"Unsure")</f>
        <v>Unsure</v>
      </c>
      <c r="AF50" t="str">
        <f>IFERROR(__xludf.DUMMYFUNCTION("""COMPUTED_VALUE"""),"Unsure")</f>
        <v>Unsure</v>
      </c>
      <c r="AG50" s="78" t="str">
        <f>IFERROR(__xludf.DUMMYFUNCTION("""COMPUTED_VALUE"""),"https://publications.agu.org/author-resource-center/publication-policies/dual-publication-policy/")</f>
        <v>https://publications.agu.org/author-resource-center/publication-policies/dual-publication-policy/</v>
      </c>
      <c r="AH50" t="str">
        <f>IFERROR(__xludf.DUMMYFUNCTION("""COMPUTED_VALUE"""),"After peer review (but not final, copyedited version)")</f>
        <v>After peer review (but not final, copyedited version)</v>
      </c>
      <c r="AI50" t="str">
        <f>IFERROR(__xludf.DUMMYFUNCTION("""COMPUTED_VALUE"""),"AGU does allow posting of preprints and accepted papers in not-for-profit preprint servers that are designed to facilitate community engagement and discovery across the sciences. Any other online publication with a service that provides archiving with cit"&amp;"ation protocols and public retrieval capabilities constitutes prior publication. Preprint servers – AGU allows authors to post a draft of their accepted manuscripts on Earth and Space Science Open Archive (ESSOAr) or another not-for-profit preprint server"&amp;" that is designed to facilitate community engagement and discovery across the sciences.
 Repositories – AGU allows to be placed in an institutional repository 6 months after publication and allows submitted articles to be accessible on the author’s pers"&amp;"onal website. AGU also supports governmental and institutional repositories and access is available to AGU content through CHORUS, usually 12 months after publication.")</f>
        <v>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v>
      </c>
      <c r="AJ50" t="str">
        <f>IFERROR(__xludf.DUMMYFUNCTION("""COMPUTED_VALUE"""),"Not specified")</f>
        <v>Not specified</v>
      </c>
      <c r="AK50" t="str">
        <f>IFERROR(__xludf.DUMMYFUNCTION("""COMPUTED_VALUE"""),"Unsure")</f>
        <v>Unsure</v>
      </c>
      <c r="AL50" t="str">
        <f>IFERROR(__xludf.DUMMYFUNCTION("""COMPUTED_VALUE"""),"AGU does not consider prior press attention of a result as publication unless the release is so extensive that it would count as prior publication of a paper. AGU encourages authors to release results to the press at the time of publication when a full as"&amp;"sessment is possible. AGU does not embargo press notifications and strives to distribute these as soon as AGU content is available online. AGU also often co-issues or otherwise coordinates press notifications with authors’ institutions. We also can coordi"&amp;"nate publication of your AGU paper with publication of other papers in non-AGU journals on request of authors or their institutions. If you feel that your paper merits press or social media attention, or are planning a press release or other press notific"&amp;"ation about your paper, please fill out our form here.")</f>
        <v>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v>
      </c>
      <c r="AM50" t="str">
        <f>IFERROR(__xludf.DUMMYFUNCTION("""COMPUTED_VALUE"""),"")</f>
        <v/>
      </c>
      <c r="AN50" t="str">
        <f>IFERROR(__xludf.DUMMYFUNCTION("""COMPUTED_VALUE"""),"")</f>
        <v/>
      </c>
      <c r="AO50" t="str">
        <f>IFERROR(__xludf.DUMMYFUNCTION("""COMPUTED_VALUE"""),"")</f>
        <v/>
      </c>
      <c r="AP50" t="str">
        <f>IFERROR(__xludf.DUMMYFUNCTION("""COMPUTED_VALUE"""),"GRL is an invitation-only journal, meaning that potential authors may submit plans for contributions which will then be evauluated by the editors. In light of this, it still seems to be fairly explicit concerning its peer review policies, at least as far "&amp;"as preprints and licensing is concerned.")</f>
        <v>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v>
      </c>
      <c r="AQ50" t="str">
        <f>IFERROR(__xludf.DUMMYFUNCTION("""COMPUTED_VALUE"""),"")</f>
        <v/>
      </c>
      <c r="AR50" t="str">
        <f>IFERROR(__xludf.DUMMYFUNCTION("""COMPUTED_VALUE"""),"")</f>
        <v/>
      </c>
    </row>
    <row r="51">
      <c r="A51" t="str">
        <f>IFERROR(__xludf.DUMMYFUNCTION("""COMPUTED_VALUE"""),"SR")</f>
        <v>SR</v>
      </c>
      <c r="B51" s="34">
        <f>IFERROR(__xludf.DUMMYFUNCTION("""COMPUTED_VALUE"""),43438.0)</f>
        <v>43438</v>
      </c>
      <c r="C51" t="str">
        <f>IFERROR(__xludf.DUMMYFUNCTION("""COMPUTED_VALUE"""),"GMD")</f>
        <v>GMD</v>
      </c>
      <c r="D51" s="36">
        <f>IFERROR(__xludf.DUMMYFUNCTION("""COMPUTED_VALUE"""),43579.0)</f>
        <v>43579</v>
      </c>
      <c r="E51" t="str">
        <f>IFERROR(__xludf.DUMMYFUNCTION("""COMPUTED_VALUE"""),"JP")</f>
        <v>JP</v>
      </c>
      <c r="F51" s="36">
        <f>IFERROR(__xludf.DUMMYFUNCTION("""COMPUTED_VALUE"""),43581.0)</f>
        <v>43581</v>
      </c>
      <c r="G51" t="str">
        <f>IFERROR(__xludf.DUMMYFUNCTION("""COMPUTED_VALUE"""),"Changed nos to not specified, changed preprint policy to more appropriate link, changed preprint version, and license")</f>
        <v>Changed nos to not specified, changed preprint policy to more appropriate link, changed preprint version, and license</v>
      </c>
      <c r="H51" t="str">
        <f>IFERROR(__xludf.DUMMYFUNCTION("""COMPUTED_VALUE"""),"0959-3780")</f>
        <v>0959-3780</v>
      </c>
      <c r="I51" t="str">
        <f>IFERROR(__xludf.DUMMYFUNCTION("""COMPUTED_VALUE"""),"Global Environmental Change")</f>
        <v>Global Environmental Change</v>
      </c>
      <c r="J51" t="str">
        <f>IFERROR(__xludf.DUMMYFUNCTION("""COMPUTED_VALUE"""),"Social Sciences")</f>
        <v>Social Sciences</v>
      </c>
      <c r="K51" t="str">
        <f>IFERROR(__xludf.DUMMYFUNCTION("""COMPUTED_VALUE"""),"Elsevier")</f>
        <v>Elsevier</v>
      </c>
      <c r="L51" t="str">
        <f>IFERROR(__xludf.DUMMYFUNCTION("""COMPUTED_VALUE"""),"Double blind")</f>
        <v>Double blind</v>
      </c>
      <c r="M51" s="78" t="str">
        <f>IFERROR(__xludf.DUMMYFUNCTION("""COMPUTED_VALUE"""),"https://www.elsevier.com/journals/global-environmental-change/0959-3780/guide-for-authors")</f>
        <v>https://www.elsevier.com/journals/global-environmental-change/0959-3780/guide-for-authors</v>
      </c>
      <c r="N51" t="str">
        <f>IFERROR(__xludf.DUMMYFUNCTION("""COMPUTED_VALUE"""),"")</f>
        <v/>
      </c>
      <c r="O51" s="78" t="str">
        <f>IFERROR(__xludf.DUMMYFUNCTION("""COMPUTED_VALUE"""),"https://www.elsevier.com/reviewers/role#recognizing")</f>
        <v>https://www.elsevier.com/reviewers/role#recognizing</v>
      </c>
      <c r="P51" t="str">
        <f>IFERROR(__xludf.DUMMYFUNCTION("""COMPUTED_VALUE"""),"No - Under ""Peer Reviewer activity deposited into open database"" -&gt; Peer Reviewer activity IS deposited into a database by Elsevier, but it is NOT open. This applies across the Elsevier platform. See https://www.elsevier.com/reviewers/role#recognizing ")</f>
        <v>No - Under "Peer Reviewer activity deposited into open database" -&gt; Peer Reviewer activity IS deposited into a database by Elsevier, but it is NOT open. This applies across the Elsevier platform. See https://www.elsevier.com/reviewers/role#recognizing </v>
      </c>
      <c r="Q51"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51" s="78" t="str">
        <f>IFERROR(__xludf.DUMMYFUNCTION("""COMPUTED_VALUE"""),"https://www.elsevier.com/reviewers/what-is-peer-review")</f>
        <v>https://www.elsevier.com/reviewers/what-is-peer-review</v>
      </c>
      <c r="S51" t="str">
        <f>IFERROR(__xludf.DUMMYFUNCTION("""COMPUTED_VALUE"""),"Not specified")</f>
        <v>Not specified</v>
      </c>
      <c r="T51" t="str">
        <f>IFERROR(__xludf.DUMMYFUNCTION("""COMPUTED_VALUE"""),"Not specified")</f>
        <v>Not specified</v>
      </c>
      <c r="U51" t="str">
        <f>IFERROR(__xludf.DUMMYFUNCTION("""COMPUTED_VALUE"""),"Not specified")</f>
        <v>Not specified</v>
      </c>
      <c r="V51" t="str">
        <f>IFERROR(__xludf.DUMMYFUNCTION("""COMPUTED_VALUE"""),"Not specified")</f>
        <v>Not specified</v>
      </c>
      <c r="W51" t="str">
        <f>IFERROR(__xludf.DUMMYFUNCTION("""COMPUTED_VALUE"""),"Not specified")</f>
        <v>Not specified</v>
      </c>
      <c r="X51" t="str">
        <f>IFERROR(__xludf.DUMMYFUNCTION("""COMPUTED_VALUE"""),"Not specified")</f>
        <v>Not specified</v>
      </c>
      <c r="Y51" t="str">
        <f>IFERROR(__xludf.DUMMYFUNCTION("""COMPUTED_VALUE"""),"Not specified")</f>
        <v>Not specified</v>
      </c>
      <c r="Z51" t="str">
        <f>IFERROR(__xludf.DUMMYFUNCTION("""COMPUTED_VALUE"""),"Not specified")</f>
        <v>Not specified</v>
      </c>
      <c r="AA51" t="str">
        <f>IFERROR(__xludf.DUMMYFUNCTION("""COMPUTED_VALUE"""),"")</f>
        <v/>
      </c>
      <c r="AB51"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1" s="78" t="str">
        <f>IFERROR(__xludf.DUMMYFUNCTION("""COMPUTED_VALUE"""),"https://www.elsevier.com/reviewers/how-to-review")</f>
        <v>https://www.elsevier.com/reviewers/how-to-review</v>
      </c>
      <c r="AD51" t="str">
        <f>IFERROR(__xludf.DUMMYFUNCTION("""COMPUTED_VALUE"""),"Unsure")</f>
        <v>Unsure</v>
      </c>
      <c r="AE51" t="str">
        <f>IFERROR(__xludf.DUMMYFUNCTION("""COMPUTED_VALUE"""),"Unsure")</f>
        <v>Unsure</v>
      </c>
      <c r="AF51" t="str">
        <f>IFERROR(__xludf.DUMMYFUNCTION("""COMPUTED_VALUE"""),"Unsure")</f>
        <v>Unsure</v>
      </c>
      <c r="AG51" s="78" t="str">
        <f>IFERROR(__xludf.DUMMYFUNCTION("""COMPUTED_VALUE"""),"https://www.elsevier.com/about/policies/sharing")</f>
        <v>https://www.elsevier.com/about/policies/sharing</v>
      </c>
      <c r="AH51" t="str">
        <f>IFERROR(__xludf.DUMMYFUNCTION("""COMPUTED_VALUE"""),"Unsure (preprints are allowed, but it's not clear what version) - accepted version can be posted to arXiv &amp; RePEc")</f>
        <v>Unsure (preprints are allowed, but it's not clear what version) - accepted version can be posted to arXiv &amp; RePEc</v>
      </c>
      <c r="AI51" t="str">
        <f>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1" t="str">
        <f>IFERROR(__xludf.DUMMYFUNCTION("""COMPUTED_VALUE"""),"Not specified")</f>
        <v>Not specified</v>
      </c>
      <c r="AK51" t="str">
        <f>IFERROR(__xludf.DUMMYFUNCTION("""COMPUTED_VALUE"""),"Unsure")</f>
        <v>Unsure</v>
      </c>
      <c r="AL51" t="str">
        <f>IFERROR(__xludf.DUMMYFUNCTION("""COMPUTED_VALUE"""),"")</f>
        <v/>
      </c>
      <c r="AM51" t="str">
        <f>IFERROR(__xludf.DUMMYFUNCTION("""COMPUTED_VALUE"""),"")</f>
        <v/>
      </c>
      <c r="AN51" t="str">
        <f>IFERROR(__xludf.DUMMYFUNCTION("""COMPUTED_VALUE"""),"")</f>
        <v/>
      </c>
      <c r="AO51" t="str">
        <f>IFERROR(__xludf.DUMMYFUNCTION("""COMPUTED_VALUE"""),"")</f>
        <v/>
      </c>
      <c r="AP51" t="str">
        <f>IFERROR(__xludf.DUMMYFUNCTION("""COMPUTED_VALUE"""),"")</f>
        <v/>
      </c>
      <c r="AQ51" t="str">
        <f>IFERROR(__xludf.DUMMYFUNCTION("""COMPUTED_VALUE"""),"")</f>
        <v/>
      </c>
      <c r="AR51" t="str">
        <f>IFERROR(__xludf.DUMMYFUNCTION("""COMPUTED_VALUE"""),"")</f>
        <v/>
      </c>
    </row>
    <row r="52">
      <c r="A52" t="str">
        <f>IFERROR(__xludf.DUMMYFUNCTION("""COMPUTED_VALUE"""),"TRH")</f>
        <v>TRH</v>
      </c>
      <c r="B52" s="34">
        <f>IFERROR(__xludf.DUMMYFUNCTION("""COMPUTED_VALUE"""),43511.0)</f>
        <v>43511</v>
      </c>
      <c r="C52" t="str">
        <f>IFERROR(__xludf.DUMMYFUNCTION("""COMPUTED_VALUE"""),"GMD")</f>
        <v>GMD</v>
      </c>
      <c r="D52" s="36">
        <f>IFERROR(__xludf.DUMMYFUNCTION("""COMPUTED_VALUE"""),43579.0)</f>
        <v>43579</v>
      </c>
      <c r="E52" t="str">
        <f>IFERROR(__xludf.DUMMYFUNCTION("""COMPUTED_VALUE"""),"JP")</f>
        <v>JP</v>
      </c>
      <c r="F52" s="36">
        <f>IFERROR(__xludf.DUMMYFUNCTION("""COMPUTED_VALUE"""),43583.0)</f>
        <v>43583</v>
      </c>
      <c r="G52" t="str">
        <f>IFERROR(__xludf.DUMMYFUNCTION("""COMPUTED_VALUE"""),"Changed peer review policy url; copied reviewer instructions from other Elsevier record")</f>
        <v>Changed peer review policy url; copied reviewer instructions from other Elsevier record</v>
      </c>
      <c r="H52" t="str">
        <f>IFERROR(__xludf.DUMMYFUNCTION("""COMPUTED_VALUE"""),"0740-624X")</f>
        <v>0740-624X</v>
      </c>
      <c r="I52" t="str">
        <f>IFERROR(__xludf.DUMMYFUNCTION("""COMPUTED_VALUE"""),"Government Information Quarterly")</f>
        <v>Government Information Quarterly</v>
      </c>
      <c r="J52" t="str">
        <f>IFERROR(__xludf.DUMMYFUNCTION("""COMPUTED_VALUE"""),"Social Sciences")</f>
        <v>Social Sciences</v>
      </c>
      <c r="K52" t="str">
        <f>IFERROR(__xludf.DUMMYFUNCTION("""COMPUTED_VALUE"""),"")</f>
        <v/>
      </c>
      <c r="L52" t="str">
        <f>IFERROR(__xludf.DUMMYFUNCTION("""COMPUTED_VALUE"""),"Other (apppears to offer choice of single blind or double blind)")</f>
        <v>Other (apppears to offer choice of single blind or double blind)</v>
      </c>
      <c r="M52" s="78" t="str">
        <f>IFERROR(__xludf.DUMMYFUNCTION("""COMPUTED_VALUE"""),"https://www.elsevier.com/journals/government-information-quarterly/0740-624X?generatepdf=true")</f>
        <v>https://www.elsevier.com/journals/government-information-quarterly/0740-624X?generatepdf=true</v>
      </c>
      <c r="N52" t="str">
        <f>IFERROR(__xludf.DUMMYFUNCTION("""COMPUTED_VALUE"""),"")</f>
        <v/>
      </c>
      <c r="O52" t="str">
        <f>IFERROR(__xludf.DUMMYFUNCTION("""COMPUTED_VALUE"""),"")</f>
        <v/>
      </c>
      <c r="P52" t="str">
        <f>IFERROR(__xludf.DUMMYFUNCTION("""COMPUTED_VALUE"""),"Unsure")</f>
        <v>Unsure</v>
      </c>
      <c r="Q52" t="str">
        <f>IFERROR(__xludf.DUMMYFUNCTION("""COMPUTED_VALUE"""),"This journal has partnered with Heliyon, an open access journal from Elsevier publishing quality peer reviewed research across all disciplines. Heliyon’s team of experts provides editorial excellence, fast publication, and high visibility for your paper. "&amp;"Authors can quickly and easily transfer their research from a Partner Journal to Heliyon without the need to edit, reformat or resubmit.")</f>
        <v>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v>
      </c>
      <c r="R52" s="78" t="str">
        <f>IFERROR(__xludf.DUMMYFUNCTION("""COMPUTED_VALUE"""),"https://www.journals.elsevier.com/government-information-quarterly/announcements")</f>
        <v>https://www.journals.elsevier.com/government-information-quarterly/announcements</v>
      </c>
      <c r="S52" t="str">
        <f>IFERROR(__xludf.DUMMYFUNCTION("""COMPUTED_VALUE"""),"Not specified")</f>
        <v>Not specified</v>
      </c>
      <c r="T52" t="str">
        <f>IFERROR(__xludf.DUMMYFUNCTION("""COMPUTED_VALUE"""),"Not specified")</f>
        <v>Not specified</v>
      </c>
      <c r="U52" t="str">
        <f>IFERROR(__xludf.DUMMYFUNCTION("""COMPUTED_VALUE"""),"Not specified")</f>
        <v>Not specified</v>
      </c>
      <c r="V52" t="str">
        <f>IFERROR(__xludf.DUMMYFUNCTION("""COMPUTED_VALUE"""),"Not specified")</f>
        <v>Not specified</v>
      </c>
      <c r="W52" t="str">
        <f>IFERROR(__xludf.DUMMYFUNCTION("""COMPUTED_VALUE"""),"Not specified")</f>
        <v>Not specified</v>
      </c>
      <c r="X52" t="str">
        <f>IFERROR(__xludf.DUMMYFUNCTION("""COMPUTED_VALUE"""),"Not specified")</f>
        <v>Not specified</v>
      </c>
      <c r="Y52" t="str">
        <f>IFERROR(__xludf.DUMMYFUNCTION("""COMPUTED_VALUE"""),"Not specified")</f>
        <v>Not specified</v>
      </c>
      <c r="Z52" t="str">
        <f>IFERROR(__xludf.DUMMYFUNCTION("""COMPUTED_VALUE"""),"Not specified")</f>
        <v>Not specified</v>
      </c>
      <c r="AA52" t="str">
        <f>IFERROR(__xludf.DUMMYFUNCTION("""COMPUTED_VALUE"""),"")</f>
        <v/>
      </c>
      <c r="AB52"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2" s="78" t="str">
        <f>IFERROR(__xludf.DUMMYFUNCTION("""COMPUTED_VALUE"""),"https://www.elsevier.com/reviewers/how-to-review")</f>
        <v>https://www.elsevier.com/reviewers/how-to-review</v>
      </c>
      <c r="AD52" t="str">
        <f>IFERROR(__xludf.DUMMYFUNCTION("""COMPUTED_VALUE"""),"Unsure")</f>
        <v>Unsure</v>
      </c>
      <c r="AE52" t="str">
        <f>IFERROR(__xludf.DUMMYFUNCTION("""COMPUTED_VALUE"""),"Unsure")</f>
        <v>Unsure</v>
      </c>
      <c r="AF52" t="str">
        <f>IFERROR(__xludf.DUMMYFUNCTION("""COMPUTED_VALUE"""),"Unsure")</f>
        <v>Unsure</v>
      </c>
      <c r="AG52" s="78" t="str">
        <f>IFERROR(__xludf.DUMMYFUNCTION("""COMPUTED_VALUE"""),"https://www.elsevier.com/about/policies/sharing")</f>
        <v>https://www.elsevier.com/about/policies/sharing</v>
      </c>
      <c r="AH52" t="str">
        <f>IFERROR(__xludf.DUMMYFUNCTION("""COMPUTED_VALUE"""),"Unsure (preprints are allowed, but it's not clear what version) - accepted version can be posted to arXiv &amp; RePEc")</f>
        <v>Unsure (preprints are allowed, but it's not clear what version) - accepted version can be posted to arXiv &amp; RePEc</v>
      </c>
      <c r="AI52" t="str">
        <f>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2" t="str">
        <f>IFERROR(__xludf.DUMMYFUNCTION("""COMPUTED_VALUE"""),"Unsure")</f>
        <v>Unsure</v>
      </c>
      <c r="AK52" t="str">
        <f>IFERROR(__xludf.DUMMYFUNCTION("""COMPUTED_VALUE"""),"Unsure")</f>
        <v>Unsure</v>
      </c>
      <c r="AL52" t="str">
        <f>IFERROR(__xludf.DUMMYFUNCTION("""COMPUTED_VALUE"""),"")</f>
        <v/>
      </c>
      <c r="AM52" t="str">
        <f>IFERROR(__xludf.DUMMYFUNCTION("""COMPUTED_VALUE"""),"")</f>
        <v/>
      </c>
      <c r="AN52" t="str">
        <f>IFERROR(__xludf.DUMMYFUNCTION("""COMPUTED_VALUE"""),"")</f>
        <v/>
      </c>
      <c r="AO52" t="str">
        <f>IFERROR(__xludf.DUMMYFUNCTION("""COMPUTED_VALUE"""),"")</f>
        <v/>
      </c>
      <c r="AP52" t="str">
        <f>IFERROR(__xludf.DUMMYFUNCTION("""COMPUTED_VALUE"""),"")</f>
        <v/>
      </c>
      <c r="AQ52" t="str">
        <f>IFERROR(__xludf.DUMMYFUNCTION("""COMPUTED_VALUE"""),"")</f>
        <v/>
      </c>
      <c r="AR52" t="str">
        <f>IFERROR(__xludf.DUMMYFUNCTION("""COMPUTED_VALUE"""),"")</f>
        <v/>
      </c>
    </row>
    <row r="53">
      <c r="A53" t="str">
        <f>IFERROR(__xludf.DUMMYFUNCTION("""COMPUTED_VALUE"""),"SR")</f>
        <v>SR</v>
      </c>
      <c r="B53" t="str">
        <f>IFERROR(__xludf.DUMMYFUNCTION("""COMPUTED_VALUE"""),"")</f>
        <v/>
      </c>
      <c r="C53" t="str">
        <f>IFERROR(__xludf.DUMMYFUNCTION("""COMPUTED_VALUE"""),"GMD")</f>
        <v>GMD</v>
      </c>
      <c r="D53" s="36">
        <f>IFERROR(__xludf.DUMMYFUNCTION("""COMPUTED_VALUE"""),43579.0)</f>
        <v>43579</v>
      </c>
      <c r="E53" t="str">
        <f>IFERROR(__xludf.DUMMYFUNCTION("""COMPUTED_VALUE"""),"JP")</f>
        <v>JP</v>
      </c>
      <c r="F53" s="36">
        <f>IFERROR(__xludf.DUMMYFUNCTION("""COMPUTED_VALUE"""),43583.0)</f>
        <v>43583</v>
      </c>
      <c r="G53" t="str">
        <f>IFERROR(__xludf.DUMMYFUNCTION("""COMPUTED_VALUE"""),"Changed preprint version and license")</f>
        <v>Changed preprint version and license</v>
      </c>
      <c r="H53" t="str">
        <f>IFERROR(__xludf.DUMMYFUNCTION("""COMPUTED_VALUE"""),"1468-3288")</f>
        <v>1468-3288</v>
      </c>
      <c r="I53" t="str">
        <f>IFERROR(__xludf.DUMMYFUNCTION("""COMPUTED_VALUE"""),"Gut")</f>
        <v>Gut</v>
      </c>
      <c r="J53" t="str">
        <f>IFERROR(__xludf.DUMMYFUNCTION("""COMPUTED_VALUE"""),"")</f>
        <v/>
      </c>
      <c r="K53" t="str">
        <f>IFERROR(__xludf.DUMMYFUNCTION("""COMPUTED_VALUE"""),"British Society of Gastroenterology/BMJ")</f>
        <v>British Society of Gastroenterology/BMJ</v>
      </c>
      <c r="L53" t="str">
        <f>IFERROR(__xludf.DUMMYFUNCTION("""COMPUTED_VALUE"""),"Single Blind")</f>
        <v>Single Blind</v>
      </c>
      <c r="M53" s="78" t="str">
        <f>IFERROR(__xludf.DUMMYFUNCTION("""COMPUTED_VALUE"""),"https://authors.bmj.com/policies/peer-review-terms-and-conditions/")</f>
        <v>https://authors.bmj.com/policies/peer-review-terms-and-conditions/</v>
      </c>
      <c r="N53" t="str">
        <f>IFERROR(__xludf.DUMMYFUNCTION("""COMPUTED_VALUE"""),"")</f>
        <v/>
      </c>
      <c r="O53" t="str">
        <f>IFERROR(__xludf.DUMMYFUNCTION("""COMPUTED_VALUE"""),"")</f>
        <v/>
      </c>
      <c r="P53" t="str">
        <f>IFERROR(__xludf.DUMMYFUNCTION("""COMPUTED_VALUE"""),"Unsure")</f>
        <v>Unsure</v>
      </c>
      <c r="Q53" t="str">
        <f>IFERROR(__xludf.DUMMYFUNCTION("""COMPUTED_VALUE"""),"BMJ and the British Society of Gastroenterology have a facility for transferring manuscripts among their gastroenterology and hepatology journals. Authors submitting to the flagship journal Gut can choose Frontline Gastroenterology or BMJ Open Gastroenter"&amp;"ology as an ‘alternate journal’. Once authors agree for their manuscript to be transferred to another BMJ journal, all versions of the manuscript, any supplementary files and peer review comments will automatically be transferred on the author’s behalf. P"&amp;"lease note that there is no guarantee of acceptance. Contact the editorial team for more information or assistance.")</f>
        <v>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v>
      </c>
      <c r="R53" s="78" t="str">
        <f>IFERROR(__xludf.DUMMYFUNCTION("""COMPUTED_VALUE"""),"https://gut.bmj.com/pages/authors/#manuscript_transfer")</f>
        <v>https://gut.bmj.com/pages/authors/#manuscript_transfer</v>
      </c>
      <c r="S53" t="str">
        <f>IFERROR(__xludf.DUMMYFUNCTION("""COMPUTED_VALUE"""),"No")</f>
        <v>No</v>
      </c>
      <c r="T53" t="str">
        <f>IFERROR(__xludf.DUMMYFUNCTION("""COMPUTED_VALUE"""),"No")</f>
        <v>No</v>
      </c>
      <c r="U53" t="str">
        <f>IFERROR(__xludf.DUMMYFUNCTION("""COMPUTED_VALUE"""),"Not specified")</f>
        <v>Not specified</v>
      </c>
      <c r="V53" t="str">
        <f>IFERROR(__xludf.DUMMYFUNCTION("""COMPUTED_VALUE"""),"Not specified")</f>
        <v>Not specified</v>
      </c>
      <c r="W53" t="str">
        <f>IFERROR(__xludf.DUMMYFUNCTION("""COMPUTED_VALUE"""),"No")</f>
        <v>No</v>
      </c>
      <c r="X53" t="str">
        <f>IFERROR(__xludf.DUMMYFUNCTION("""COMPUTED_VALUE"""),"No")</f>
        <v>No</v>
      </c>
      <c r="Y53" t="str">
        <f>IFERROR(__xludf.DUMMYFUNCTION("""COMPUTED_VALUE"""),"No")</f>
        <v>No</v>
      </c>
      <c r="Z53" t="str">
        <f>IFERROR(__xludf.DUMMYFUNCTION("""COMPUTED_VALUE"""),"No")</f>
        <v>No</v>
      </c>
      <c r="AA53" t="str">
        <f>IFERROR(__xludf.DUMMYFUNCTION("""COMPUTED_VALUE"""),"")</f>
        <v/>
      </c>
      <c r="AB53" t="str">
        <f>IFERROR(__xludf.DUMMYFUNCTION("""COMPUTED_VALUE"""),"If you do choose to discuss the manuscript and/or your review with a professional colleague whose input you request as part of your review process, you are responsible for ensuring that they are made fully aware of the confidential nature of the discussio"&amp;"n and that they must not disclose any information about the manuscript until the article is published. The identity of any co-reviewer and any potential conflicting or competing interests they may have must be disclosed when submitting your review.")</f>
        <v>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53" s="78" t="str">
        <f>IFERROR(__xludf.DUMMYFUNCTION("""COMPUTED_VALUE"""),"https://authors.bmj.com/policies/peer-review-terms-and-conditions/")</f>
        <v>https://authors.bmj.com/policies/peer-review-terms-and-conditions/</v>
      </c>
      <c r="AD53" t="str">
        <f>IFERROR(__xludf.DUMMYFUNCTION("""COMPUTED_VALUE"""),"Yes")</f>
        <v>Yes</v>
      </c>
      <c r="AE53" t="str">
        <f>IFERROR(__xludf.DUMMYFUNCTION("""COMPUTED_VALUE"""),"Unsure")</f>
        <v>Unsure</v>
      </c>
      <c r="AF53" t="str">
        <f>IFERROR(__xludf.DUMMYFUNCTION("""COMPUTED_VALUE"""),"Unsure")</f>
        <v>Unsure</v>
      </c>
      <c r="AG53" s="78" t="str">
        <f>IFERROR(__xludf.DUMMYFUNCTION("""COMPUTED_VALUE"""),"https://authors.bmj.com/policies/preprints/")</f>
        <v>https://authors.bmj.com/policies/preprints/</v>
      </c>
      <c r="AH53" t="str">
        <f>IFERROR(__xludf.DUMMYFUNCTION("""COMPUTED_VALUE"""),"After peer review (but not final version): ""BMJ does not recommend that Author Accepted Manuscripts are placed on preprint servers.""")</f>
        <v>After peer review (but not final version): "BMJ does not recommend that Author Accepted Manuscripts are placed on preprint servers."</v>
      </c>
      <c r="AI53" t="str">
        <f>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53" t="str">
        <f>IFERROR(__xludf.DUMMYFUNCTION("""COMPUTED_VALUE"""),"Not specified")</f>
        <v>Not specified</v>
      </c>
      <c r="AK53" t="str">
        <f>IFERROR(__xludf.DUMMYFUNCTION("""COMPUTED_VALUE"""),"Unsure")</f>
        <v>Unsure</v>
      </c>
      <c r="AL53" t="str">
        <f>IFERROR(__xludf.DUMMYFUNCTION("""COMPUTED_VALUE"""),"Preprints are preliminary reports of work that have not been peer reviewed. They should therefore not be used to guide clinical practice, health-related behavior or health policy. They should not be reported in the media as established information.")</f>
        <v>Preprints are preliminary reports of work that have not been peer reviewed. They should therefore not be used to guide clinical practice, health-related behavior or health policy. They should not be reported in the media as established information.</v>
      </c>
      <c r="AM53" t="str">
        <f>IFERROR(__xludf.DUMMYFUNCTION("""COMPUTED_VALUE"""),"BMJ places no restrictions on the licence chosen when posting a preprint version of work (eg authors may choose CC BY or CC BY NC), but authors must retain copyright of their work when posting to a preprint server. Authors must include a link/DOI to the p"&amp;"reprint version of your manuscript when submitting to a BMJ journal")</f>
        <v>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v>
      </c>
      <c r="AN53" t="str">
        <f>IFERROR(__xludf.DUMMYFUNCTION("""COMPUTED_VALUE"""),"")</f>
        <v/>
      </c>
      <c r="AO53" t="str">
        <f>IFERROR(__xludf.DUMMYFUNCTION("""COMPUTED_VALUE"""),"")</f>
        <v/>
      </c>
      <c r="AP53" t="str">
        <f>IFERROR(__xludf.DUMMYFUNCTION("""COMPUTED_VALUE"""),"")</f>
        <v/>
      </c>
      <c r="AQ53" t="str">
        <f>IFERROR(__xludf.DUMMYFUNCTION("""COMPUTED_VALUE"""),"")</f>
        <v/>
      </c>
      <c r="AR53" t="str">
        <f>IFERROR(__xludf.DUMMYFUNCTION("""COMPUTED_VALUE"""),"")</f>
        <v/>
      </c>
    </row>
    <row r="54">
      <c r="A54" t="str">
        <f>IFERROR(__xludf.DUMMYFUNCTION("""COMPUTED_VALUE"""),"SR")</f>
        <v>SR</v>
      </c>
      <c r="B54" t="str">
        <f>IFERROR(__xludf.DUMMYFUNCTION("""COMPUTED_VALUE"""),"")</f>
        <v/>
      </c>
      <c r="C54" t="str">
        <f>IFERROR(__xludf.DUMMYFUNCTION("""COMPUTED_VALUE"""),"GMD")</f>
        <v>GMD</v>
      </c>
      <c r="D54" s="36">
        <f>IFERROR(__xludf.DUMMYFUNCTION("""COMPUTED_VALUE"""),43579.0)</f>
        <v>43579</v>
      </c>
      <c r="E54" t="str">
        <f>IFERROR(__xludf.DUMMYFUNCTION("""COMPUTED_VALUE"""),"JP")</f>
        <v>JP</v>
      </c>
      <c r="F54" s="36">
        <f>IFERROR(__xludf.DUMMYFUNCTION("""COMPUTED_VALUE"""),43583.0)</f>
        <v>43583</v>
      </c>
      <c r="G54" t="str">
        <f>IFERROR(__xludf.DUMMYFUNCTION("""COMPUTED_VALUE"""),"Changed to double blind review, removed irrelevant urls for review form &amp; transfer. Reviewers see each others' comments but don't interact, changed preprint  url &amp; policies")</f>
        <v>Changed to double blind review, removed irrelevant urls for review form &amp; transfer. Reviewers see each others' comments but don't interact, changed preprint  url &amp; policies</v>
      </c>
      <c r="H54" t="str">
        <f>IFERROR(__xludf.DUMMYFUNCTION("""COMPUTED_VALUE"""),"1544-5208")</f>
        <v>1544-5208</v>
      </c>
      <c r="I54" t="str">
        <f>IFERROR(__xludf.DUMMYFUNCTION("""COMPUTED_VALUE"""),"Health Affairs")</f>
        <v>Health Affairs</v>
      </c>
      <c r="J54" t="str">
        <f>IFERROR(__xludf.DUMMYFUNCTION("""COMPUTED_VALUE"""),"Social Sciences")</f>
        <v>Social Sciences</v>
      </c>
      <c r="K54" t="str">
        <f>IFERROR(__xludf.DUMMYFUNCTION("""COMPUTED_VALUE"""),"Project HOPE")</f>
        <v>Project HOPE</v>
      </c>
      <c r="L54" t="str">
        <f>IFERROR(__xludf.DUMMYFUNCTION("""COMPUTED_VALUE"""),"Double blind")</f>
        <v>Double blind</v>
      </c>
      <c r="M54" s="78" t="str">
        <f>IFERROR(__xludf.DUMMYFUNCTION("""COMPUTED_VALUE"""),"https://www.healthaffairs.org/help-for-authors")</f>
        <v>https://www.healthaffairs.org/help-for-authors</v>
      </c>
      <c r="N54" t="str">
        <f>IFERROR(__xludf.DUMMYFUNCTION("""COMPUTED_VALUE"""),"")</f>
        <v/>
      </c>
      <c r="O54" s="78" t="str">
        <f>IFERROR(__xludf.DUMMYFUNCTION("""COMPUTED_VALUE"""),"https://www.healthaffairs.org/help-for-reviewers")</f>
        <v>https://www.healthaffairs.org/help-for-reviewers</v>
      </c>
      <c r="P54" t="str">
        <f>IFERROR(__xludf.DUMMYFUNCTION("""COMPUTED_VALUE"""),"Unsure")</f>
        <v>Unsure</v>
      </c>
      <c r="Q54" t="str">
        <f>IFERROR(__xludf.DUMMYFUNCTION("""COMPUTED_VALUE"""),"")</f>
        <v/>
      </c>
      <c r="R54" t="str">
        <f>IFERROR(__xludf.DUMMYFUNCTION("""COMPUTED_VALUE"""),"")</f>
        <v/>
      </c>
      <c r="S54" t="str">
        <f>IFERROR(__xludf.DUMMYFUNCTION("""COMPUTED_VALUE"""),"No")</f>
        <v>No</v>
      </c>
      <c r="T54" t="str">
        <f>IFERROR(__xludf.DUMMYFUNCTION("""COMPUTED_VALUE"""),"Not specified")</f>
        <v>Not specified</v>
      </c>
      <c r="U54" t="str">
        <f>IFERROR(__xludf.DUMMYFUNCTION("""COMPUTED_VALUE"""),"Not specified")</f>
        <v>Not specified</v>
      </c>
      <c r="V54" t="str">
        <f>IFERROR(__xludf.DUMMYFUNCTION("""COMPUTED_VALUE"""),"No")</f>
        <v>No</v>
      </c>
      <c r="W54" t="str">
        <f>IFERROR(__xludf.DUMMYFUNCTION("""COMPUTED_VALUE"""),"Not specified")</f>
        <v>Not specified</v>
      </c>
      <c r="X54" t="str">
        <f>IFERROR(__xludf.DUMMYFUNCTION("""COMPUTED_VALUE"""),"Not specified")</f>
        <v>Not specified</v>
      </c>
      <c r="Y54" t="str">
        <f>IFERROR(__xludf.DUMMYFUNCTION("""COMPUTED_VALUE"""),"No")</f>
        <v>No</v>
      </c>
      <c r="Z54" t="str">
        <f>IFERROR(__xludf.DUMMYFUNCTION("""COMPUTED_VALUE"""),"No")</f>
        <v>No</v>
      </c>
      <c r="AA54" t="str">
        <f>IFERROR(__xludf.DUMMYFUNCTION("""COMPUTED_VALUE"""),"")</f>
        <v/>
      </c>
      <c r="AB54" t="str">
        <f>IFERROR(__xludf.DUMMYFUNCTION("""COMPUTED_VALUE"""),"""These restrictions might be relaxed in the event that you wish to incorporate the comments of others in your review comments. However, other reviewers must agree to abide by the restrictions described above. If you do wish to enlist the aid of others in"&amp;" reviewing this paper, we ask that you inform us before proceeding. Please contact the editor who requested the review.""")</f>
        <v>"These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v>
      </c>
      <c r="AC54" s="78" t="str">
        <f>IFERROR(__xludf.DUMMYFUNCTION("""COMPUTED_VALUE"""),"https://www.healthaffairs.org/help-for-reviewers")</f>
        <v>https://www.healthaffairs.org/help-for-reviewers</v>
      </c>
      <c r="AD54" t="str">
        <f>IFERROR(__xludf.DUMMYFUNCTION("""COMPUTED_VALUE"""),"Yes")</f>
        <v>Yes</v>
      </c>
      <c r="AE54" t="str">
        <f>IFERROR(__xludf.DUMMYFUNCTION("""COMPUTED_VALUE"""),"Unsure")</f>
        <v>Unsure</v>
      </c>
      <c r="AF54" t="str">
        <f>IFERROR(__xludf.DUMMYFUNCTION("""COMPUTED_VALUE"""),"Unsure")</f>
        <v>Unsure</v>
      </c>
      <c r="AG54" s="78" t="str">
        <f>IFERROR(__xludf.DUMMYFUNCTION("""COMPUTED_VALUE"""),"https://www.healthaffairs.org/help-for-authors")</f>
        <v>https://www.healthaffairs.org/help-for-authors</v>
      </c>
      <c r="AH54" t="str">
        <f>IFERROR(__xludf.DUMMYFUNCTION("""COMPUTED_VALUE"""),"Unsure (preprints are allowed, but not sure what version)")</f>
        <v>Unsure (preprints are allowed, but not sure what version)</v>
      </c>
      <c r="AI54" t="str">
        <f>IFERROR(__xludf.DUMMYFUNCTION("""COMPUTED_VALUE"""),"If your paper has been posted on the Internet or otherwise circulated in a preliminary form or as a working paper for a limited audience, or if your paper is associated with a longer report or brief that either has or has not yet been released, you must i"&amp;"nform the editors at the time of submission. Factors that will be considered in determining whether or not a paper that is derivative of such working papers, briefs, or reports include: online presence, the extent of distribution/exposure, media exposure "&amp;"that resulted from active attempts to promote the work to the media (e.g., by media releases or media briefings), the presence of new data, analysis, etc., in the submission that distinguishes it from the earlier work.")</f>
        <v>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v>
      </c>
      <c r="AJ54" t="str">
        <f>IFERROR(__xludf.DUMMYFUNCTION("""COMPUTED_VALUE"""),"Not specified")</f>
        <v>Not specified</v>
      </c>
      <c r="AK54" t="str">
        <f>IFERROR(__xludf.DUMMYFUNCTION("""COMPUTED_VALUE"""),"Unsure")</f>
        <v>Unsure</v>
      </c>
      <c r="AL54" t="str">
        <f>IFERROR(__xludf.DUMMYFUNCTION("""COMPUTED_VALUE"""),"""All papers are embargoed for release until a specified date. No story may be released to the public until 12:01 a.m. on the embargo date (this means that news stories may be printed, aired, or released electronically in that day's morning editions)."" G"&amp;"eneral embargo policy: https://www.healthaffairs.org/help-for-authors#embargopolicy")</f>
        <v>"All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v>
      </c>
      <c r="AM54" t="str">
        <f>IFERROR(__xludf.DUMMYFUNCTION("""COMPUTED_VALUE"""),"")</f>
        <v/>
      </c>
      <c r="AN54" t="str">
        <f>IFERROR(__xludf.DUMMYFUNCTION("""COMPUTED_VALUE"""),"")</f>
        <v/>
      </c>
      <c r="AO54" t="str">
        <f>IFERROR(__xludf.DUMMYFUNCTION("""COMPUTED_VALUE"""),"")</f>
        <v/>
      </c>
      <c r="AP54" t="str">
        <f>IFERROR(__xludf.DUMMYFUNCTION("""COMPUTED_VALUE"""),"")</f>
        <v/>
      </c>
      <c r="AQ54" t="str">
        <f>IFERROR(__xludf.DUMMYFUNCTION("""COMPUTED_VALUE"""),"")</f>
        <v/>
      </c>
      <c r="AR54" t="str">
        <f>IFERROR(__xludf.DUMMYFUNCTION("""COMPUTED_VALUE"""),"")</f>
        <v/>
      </c>
    </row>
    <row r="55">
      <c r="A55" t="str">
        <f>IFERROR(__xludf.DUMMYFUNCTION("""COMPUTED_VALUE"""),"SR")</f>
        <v>SR</v>
      </c>
      <c r="B55" t="str">
        <f>IFERROR(__xludf.DUMMYFUNCTION("""COMPUTED_VALUE"""),"")</f>
        <v/>
      </c>
      <c r="C55" t="str">
        <f>IFERROR(__xludf.DUMMYFUNCTION("""COMPUTED_VALUE"""),"TRH")</f>
        <v>TRH</v>
      </c>
      <c r="D55" s="36">
        <f>IFERROR(__xludf.DUMMYFUNCTION("""COMPUTED_VALUE"""),43575.0)</f>
        <v>43575</v>
      </c>
      <c r="E55" t="str">
        <f>IFERROR(__xludf.DUMMYFUNCTION("""COMPUTED_VALUE"""),"JP")</f>
        <v>JP</v>
      </c>
      <c r="F55" s="36">
        <f>IFERROR(__xludf.DUMMYFUNCTION("""COMPUTED_VALUE"""),43581.0)</f>
        <v>43581</v>
      </c>
      <c r="G55" t="str">
        <f>IFERROR(__xludf.DUMMYFUNCTION("""COMPUTED_VALUE"""),"")</f>
        <v/>
      </c>
      <c r="H55" t="str">
        <f>IFERROR(__xludf.DUMMYFUNCTION("""COMPUTED_VALUE"""),"1527-3350")</f>
        <v>1527-3350</v>
      </c>
      <c r="I55" t="str">
        <f>IFERROR(__xludf.DUMMYFUNCTION("""COMPUTED_VALUE"""),"Hepatology")</f>
        <v>Hepatology</v>
      </c>
      <c r="J55" t="str">
        <f>IFERROR(__xludf.DUMMYFUNCTION("""COMPUTED_VALUE"""),"")</f>
        <v/>
      </c>
      <c r="K55" t="str">
        <f>IFERROR(__xludf.DUMMYFUNCTION("""COMPUTED_VALUE"""),"Wiley on behalf of the American Association for the Study of Liver Diseases")</f>
        <v>Wiley on behalf of the American Association for the Study of Liver Diseases</v>
      </c>
      <c r="L55" t="str">
        <f>IFERROR(__xludf.DUMMYFUNCTION("""COMPUTED_VALUE"""),"Unsure")</f>
        <v>Unsure</v>
      </c>
      <c r="M55" s="78" t="str">
        <f>IFERROR(__xludf.DUMMYFUNCTION("""COMPUTED_VALUE"""),"https://aasldpubs.onlinelibrary.wiley.com/hub/journal/15273350/about/author-guidelines")</f>
        <v>https://aasldpubs.onlinelibrary.wiley.com/hub/journal/15273350/about/author-guidelines</v>
      </c>
      <c r="N55" t="str">
        <f>IFERROR(__xludf.DUMMYFUNCTION("""COMPUTED_VALUE"""),"")</f>
        <v/>
      </c>
      <c r="O55" t="str">
        <f>IFERROR(__xludf.DUMMYFUNCTION("""COMPUTED_VALUE"""),"")</f>
        <v/>
      </c>
      <c r="P55" t="str">
        <f>IFERROR(__xludf.DUMMYFUNCTION("""COMPUTED_VALUE"""),"Unsure")</f>
        <v>Unsure</v>
      </c>
      <c r="Q55" t="str">
        <f>IFERROR(__xludf.DUMMYFUNCTION("""COMPUTED_VALUE"""),"")</f>
        <v/>
      </c>
      <c r="R55" t="str">
        <f>IFERROR(__xludf.DUMMYFUNCTION("""COMPUTED_VALUE"""),"")</f>
        <v/>
      </c>
      <c r="S55" t="str">
        <f>IFERROR(__xludf.DUMMYFUNCTION("""COMPUTED_VALUE"""),"Not specified")</f>
        <v>Not specified</v>
      </c>
      <c r="T55" t="str">
        <f>IFERROR(__xludf.DUMMYFUNCTION("""COMPUTED_VALUE"""),"Not specified")</f>
        <v>Not specified</v>
      </c>
      <c r="U55" t="str">
        <f>IFERROR(__xludf.DUMMYFUNCTION("""COMPUTED_VALUE"""),"Not specified")</f>
        <v>Not specified</v>
      </c>
      <c r="V55" t="str">
        <f>IFERROR(__xludf.DUMMYFUNCTION("""COMPUTED_VALUE"""),"Not specified")</f>
        <v>Not specified</v>
      </c>
      <c r="W55" t="str">
        <f>IFERROR(__xludf.DUMMYFUNCTION("""COMPUTED_VALUE"""),"No")</f>
        <v>No</v>
      </c>
      <c r="X55" t="str">
        <f>IFERROR(__xludf.DUMMYFUNCTION("""COMPUTED_VALUE"""),"No")</f>
        <v>No</v>
      </c>
      <c r="Y55" t="str">
        <f>IFERROR(__xludf.DUMMYFUNCTION("""COMPUTED_VALUE"""),"Not specified")</f>
        <v>Not specified</v>
      </c>
      <c r="Z55" t="str">
        <f>IFERROR(__xludf.DUMMYFUNCTION("""COMPUTED_VALUE"""),"Not specified")</f>
        <v>Not specified</v>
      </c>
      <c r="AA55" t="str">
        <f>IFERROR(__xludf.DUMMYFUNCTION("""COMPUTED_VALUE"""),"")</f>
        <v/>
      </c>
      <c r="AB55" t="str">
        <f>IFERROR(__xludf.DUMMYFUNCTION("""COMPUTED_VALUE"""),"")</f>
        <v/>
      </c>
      <c r="AC55" t="str">
        <f>IFERROR(__xludf.DUMMYFUNCTION("""COMPUTED_VALUE"""),"")</f>
        <v/>
      </c>
      <c r="AD55" t="str">
        <f>IFERROR(__xludf.DUMMYFUNCTION("""COMPUTED_VALUE"""),"Unsure")</f>
        <v>Unsure</v>
      </c>
      <c r="AE55" t="str">
        <f>IFERROR(__xludf.DUMMYFUNCTION("""COMPUTED_VALUE"""),"Unsure")</f>
        <v>Unsure</v>
      </c>
      <c r="AF55" t="str">
        <f>IFERROR(__xludf.DUMMYFUNCTION("""COMPUTED_VALUE"""),"Unsure")</f>
        <v>Unsure</v>
      </c>
      <c r="AG55" s="78" t="str">
        <f>IFERROR(__xludf.DUMMYFUNCTION("""COMPUTED_VALUE"""),"https://aasldpubs.onlinelibrary.wiley.com/hub/journal/15273350/about/author-guidelines")</f>
        <v>https://aasldpubs.onlinelibrary.wiley.com/hub/journal/15273350/about/author-guidelines</v>
      </c>
      <c r="AH55" t="str">
        <f>IFERROR(__xludf.DUMMYFUNCTION("""COMPUTED_VALUE"""),"First submission only (before peer review)")</f>
        <v>First submission only (before peer review)</v>
      </c>
      <c r="AI55" t="str">
        <f>IFERROR(__xludf.DUMMYFUNCTION("""COMPUTED_VALUE"""),"HEPATOLOGY will consider for review articles previously available as preprints on non-commercial servers such as ArXiv, bioRxiv, etc.")</f>
        <v>HEPATOLOGY will consider for review articles previously available as preprints on non-commercial servers such as ArXiv, bioRxiv, etc.</v>
      </c>
      <c r="AJ55" t="str">
        <f>IFERROR(__xludf.DUMMYFUNCTION("""COMPUTED_VALUE"""),"Not specified")</f>
        <v>Not specified</v>
      </c>
      <c r="AK55" t="str">
        <f>IFERROR(__xludf.DUMMYFUNCTION("""COMPUTED_VALUE"""),"Unsure")</f>
        <v>Unsure</v>
      </c>
      <c r="AL55" t="str">
        <f>IFERROR(__xludf.DUMMYFUNCTION("""COMPUTED_VALUE"""),"")</f>
        <v/>
      </c>
      <c r="AM55" t="str">
        <f>IFERROR(__xludf.DUMMYFUNCTION("""COMPUTED_VALUE"""),"")</f>
        <v/>
      </c>
      <c r="AN55" t="str">
        <f>IFERROR(__xludf.DUMMYFUNCTION("""COMPUTED_VALUE"""),"")</f>
        <v/>
      </c>
      <c r="AO55" t="str">
        <f>IFERROR(__xludf.DUMMYFUNCTION("""COMPUTED_VALUE"""),"")</f>
        <v/>
      </c>
      <c r="AP55" t="str">
        <f>IFERROR(__xludf.DUMMYFUNCTION("""COMPUTED_VALUE"""),"")</f>
        <v/>
      </c>
      <c r="AQ55" t="str">
        <f>IFERROR(__xludf.DUMMYFUNCTION("""COMPUTED_VALUE"""),"")</f>
        <v/>
      </c>
      <c r="AR55" t="str">
        <f>IFERROR(__xludf.DUMMYFUNCTION("""COMPUTED_VALUE"""),"")</f>
        <v/>
      </c>
    </row>
    <row r="56">
      <c r="A56" t="str">
        <f>IFERROR(__xludf.DUMMYFUNCTION("""COMPUTED_VALUE"""),"SR")</f>
        <v>SR</v>
      </c>
      <c r="B56" t="str">
        <f>IFERROR(__xludf.DUMMYFUNCTION("""COMPUTED_VALUE"""),"")</f>
        <v/>
      </c>
      <c r="C56" t="str">
        <f>IFERROR(__xludf.DUMMYFUNCTION("""COMPUTED_VALUE"""),"TRH")</f>
        <v>TRH</v>
      </c>
      <c r="D56" s="36">
        <f>IFERROR(__xludf.DUMMYFUNCTION("""COMPUTED_VALUE"""),43575.0)</f>
        <v>43575</v>
      </c>
      <c r="E56" t="str">
        <f>IFERROR(__xludf.DUMMYFUNCTION("""COMPUTED_VALUE"""),"JP")</f>
        <v>JP</v>
      </c>
      <c r="F56" s="36">
        <f>IFERROR(__xludf.DUMMYFUNCTION("""COMPUTED_VALUE"""),43581.0)</f>
        <v>43581</v>
      </c>
      <c r="G56" t="str">
        <f>IFERROR(__xludf.DUMMYFUNCTION("""COMPUTED_VALUE"""),"Migrated text from ""preprints in citations list"" to ""acceptable characteristics of servers""")</f>
        <v>Migrated text from "preprints in citations list" to "acceptable characteristics of servers"</v>
      </c>
      <c r="H56" t="str">
        <f>IFERROR(__xludf.DUMMYFUNCTION("""COMPUTED_VALUE"""),"0163-6804")</f>
        <v>0163-6804</v>
      </c>
      <c r="I56" t="str">
        <f>IFERROR(__xludf.DUMMYFUNCTION("""COMPUTED_VALUE"""),"IEEE Communications Magazine")</f>
        <v>IEEE Communications Magazine</v>
      </c>
      <c r="J56" t="str">
        <f>IFERROR(__xludf.DUMMYFUNCTION("""COMPUTED_VALUE"""),"")</f>
        <v/>
      </c>
      <c r="K56" t="str">
        <f>IFERROR(__xludf.DUMMYFUNCTION("""COMPUTED_VALUE"""),"")</f>
        <v/>
      </c>
      <c r="L56" t="str">
        <f>IFERROR(__xludf.DUMMYFUNCTION("""COMPUTED_VALUE"""),"Unsure")</f>
        <v>Unsure</v>
      </c>
      <c r="M56" s="78" t="str">
        <f>IFERROR(__xludf.DUMMYFUNCTION("""COMPUTED_VALUE"""),"https://www.comsoc.org/publications/magazines/ieee-communications-magazine/magazine-reviewer")</f>
        <v>https://www.comsoc.org/publications/magazines/ieee-communications-magazine/magazine-reviewer</v>
      </c>
      <c r="N56" t="str">
        <f>IFERROR(__xludf.DUMMYFUNCTION("""COMPUTED_VALUE"""),"")</f>
        <v/>
      </c>
      <c r="O56" t="str">
        <f>IFERROR(__xludf.DUMMYFUNCTION("""COMPUTED_VALUE"""),"")</f>
        <v/>
      </c>
      <c r="P56" t="str">
        <f>IFERROR(__xludf.DUMMYFUNCTION("""COMPUTED_VALUE"""),"Unsure")</f>
        <v>Unsure</v>
      </c>
      <c r="Q56" t="str">
        <f>IFERROR(__xludf.DUMMYFUNCTION("""COMPUTED_VALUE"""),"")</f>
        <v/>
      </c>
      <c r="R56" t="str">
        <f>IFERROR(__xludf.DUMMYFUNCTION("""COMPUTED_VALUE"""),"")</f>
        <v/>
      </c>
      <c r="S56" t="str">
        <f>IFERROR(__xludf.DUMMYFUNCTION("""COMPUTED_VALUE"""),"Not specified")</f>
        <v>Not specified</v>
      </c>
      <c r="T56" t="str">
        <f>IFERROR(__xludf.DUMMYFUNCTION("""COMPUTED_VALUE"""),"Not specified")</f>
        <v>Not specified</v>
      </c>
      <c r="U56" t="str">
        <f>IFERROR(__xludf.DUMMYFUNCTION("""COMPUTED_VALUE"""),"Not specified")</f>
        <v>Not specified</v>
      </c>
      <c r="V56" t="str">
        <f>IFERROR(__xludf.DUMMYFUNCTION("""COMPUTED_VALUE"""),"Not specified")</f>
        <v>Not specified</v>
      </c>
      <c r="W56" t="str">
        <f>IFERROR(__xludf.DUMMYFUNCTION("""COMPUTED_VALUE"""),"Not specified")</f>
        <v>Not specified</v>
      </c>
      <c r="X56" t="str">
        <f>IFERROR(__xludf.DUMMYFUNCTION("""COMPUTED_VALUE"""),"Not specified")</f>
        <v>Not specified</v>
      </c>
      <c r="Y56" t="str">
        <f>IFERROR(__xludf.DUMMYFUNCTION("""COMPUTED_VALUE"""),"Not specified")</f>
        <v>Not specified</v>
      </c>
      <c r="Z56" t="str">
        <f>IFERROR(__xludf.DUMMYFUNCTION("""COMPUTED_VALUE"""),"Not specified")</f>
        <v>Not specified</v>
      </c>
      <c r="AA56" t="str">
        <f>IFERROR(__xludf.DUMMYFUNCTION("""COMPUTED_VALUE"""),"")</f>
        <v/>
      </c>
      <c r="AB56" t="str">
        <f>IFERROR(__xludf.DUMMYFUNCTION("""COMPUTED_VALUE"""),"")</f>
        <v/>
      </c>
      <c r="AC56" t="str">
        <f>IFERROR(__xludf.DUMMYFUNCTION("""COMPUTED_VALUE"""),"")</f>
        <v/>
      </c>
      <c r="AD56" t="str">
        <f>IFERROR(__xludf.DUMMYFUNCTION("""COMPUTED_VALUE"""),"Unsure")</f>
        <v>Unsure</v>
      </c>
      <c r="AE56" t="str">
        <f>IFERROR(__xludf.DUMMYFUNCTION("""COMPUTED_VALUE"""),"Unsure")</f>
        <v>Unsure</v>
      </c>
      <c r="AF56" t="str">
        <f>IFERROR(__xludf.DUMMYFUNCTION("""COMPUTED_VALUE"""),"Unsure")</f>
        <v>Unsure</v>
      </c>
      <c r="AG56" s="78" t="str">
        <f>IFERROR(__xludf.DUMMYFUNCTION("""COMPUTED_VALUE"""),"https://pspb.ieee.org/images/files/files/opsmanual.pdf")</f>
        <v>https://pspb.ieee.org/images/files/files/opsmanual.pdf</v>
      </c>
      <c r="AH56" t="str">
        <f>IFERROR(__xludf.DUMMYFUNCTION("""COMPUTED_VALUE"""),"First submission only (before peer review)")</f>
        <v>First submission only (before peer review)</v>
      </c>
      <c r="AI56" t="str">
        <f>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6" t="str">
        <f>IFERROR(__xludf.DUMMYFUNCTION("""COMPUTED_VALUE"""),"Not specified")</f>
        <v>Not specified</v>
      </c>
      <c r="AK56" t="str">
        <f>IFERROR(__xludf.DUMMYFUNCTION("""COMPUTED_VALUE"""),"Unsure")</f>
        <v>Unsure</v>
      </c>
      <c r="AL56" t="str">
        <f>IFERROR(__xludf.DUMMYFUNCTION("""COMPUTED_VALUE"""),"")</f>
        <v/>
      </c>
      <c r="AM56" t="str">
        <f>IFERROR(__xludf.DUMMYFUNCTION("""COMPUTED_VALUE"""),"")</f>
        <v/>
      </c>
      <c r="AN56" t="str">
        <f>IFERROR(__xludf.DUMMYFUNCTION("""COMPUTED_VALUE"""),"")</f>
        <v/>
      </c>
      <c r="AO56" t="str">
        <f>IFERROR(__xludf.DUMMYFUNCTION("""COMPUTED_VALUE"""),"")</f>
        <v/>
      </c>
      <c r="AP56" t="str">
        <f>IFERROR(__xludf.DUMMYFUNCTION("""COMPUTED_VALUE"""),"")</f>
        <v/>
      </c>
      <c r="AQ56" t="str">
        <f>IFERROR(__xludf.DUMMYFUNCTION("""COMPUTED_VALUE"""),"")</f>
        <v/>
      </c>
      <c r="AR56" t="str">
        <f>IFERROR(__xludf.DUMMYFUNCTION("""COMPUTED_VALUE"""),"")</f>
        <v/>
      </c>
    </row>
    <row r="57">
      <c r="A57" t="str">
        <f>IFERROR(__xludf.DUMMYFUNCTION("""COMPUTED_VALUE"""),"SR")</f>
        <v>SR</v>
      </c>
      <c r="B57" t="str">
        <f>IFERROR(__xludf.DUMMYFUNCTION("""COMPUTED_VALUE"""),"")</f>
        <v/>
      </c>
      <c r="C57" t="str">
        <f>IFERROR(__xludf.DUMMYFUNCTION("""COMPUTED_VALUE"""),"TRH")</f>
        <v>TRH</v>
      </c>
      <c r="D57" s="36">
        <f>IFERROR(__xludf.DUMMYFUNCTION("""COMPUTED_VALUE"""),43575.0)</f>
        <v>43575</v>
      </c>
      <c r="E57" t="str">
        <f>IFERROR(__xludf.DUMMYFUNCTION("""COMPUTED_VALUE"""),"JP")</f>
        <v>JP</v>
      </c>
      <c r="F57" s="36">
        <f>IFERROR(__xludf.DUMMYFUNCTION("""COMPUTED_VALUE"""),43581.0)</f>
        <v>43581</v>
      </c>
      <c r="G57" t="str">
        <f>IFERROR(__xludf.DUMMYFUNCTION("""COMPUTED_VALUE"""),"Migrated text from ""preprints in citations list"" to ""acceptable characteristics of servers""")</f>
        <v>Migrated text from "preprints in citations list" to "acceptable characteristics of servers"</v>
      </c>
      <c r="H57" t="str">
        <f>IFERROR(__xludf.DUMMYFUNCTION("""COMPUTED_VALUE"""),"1553-877X")</f>
        <v>1553-877X</v>
      </c>
      <c r="I57" t="str">
        <f>IFERROR(__xludf.DUMMYFUNCTION("""COMPUTED_VALUE"""),"IEEE Communications Surveys &amp; Tutorials")</f>
        <v>IEEE Communications Surveys &amp; Tutorials</v>
      </c>
      <c r="J57" t="str">
        <f>IFERROR(__xludf.DUMMYFUNCTION("""COMPUTED_VALUE"""),"Engineering &amp; Computer Science")</f>
        <v>Engineering &amp; Computer Science</v>
      </c>
      <c r="K57" t="str">
        <f>IFERROR(__xludf.DUMMYFUNCTION("""COMPUTED_VALUE"""),"")</f>
        <v/>
      </c>
      <c r="L57" t="str">
        <f>IFERROR(__xludf.DUMMYFUNCTION("""COMPUTED_VALUE"""),"Unsure")</f>
        <v>Unsure</v>
      </c>
      <c r="M57" s="78" t="str">
        <f>IFERROR(__xludf.DUMMYFUNCTION("""COMPUTED_VALUE"""),"https://www.comsoc.org/publications/journals/ieee-comst/guidelines-reviewers")</f>
        <v>https://www.comsoc.org/publications/journals/ieee-comst/guidelines-reviewers</v>
      </c>
      <c r="N57" t="str">
        <f>IFERROR(__xludf.DUMMYFUNCTION("""COMPUTED_VALUE"""),"")</f>
        <v/>
      </c>
      <c r="O57" t="str">
        <f>IFERROR(__xludf.DUMMYFUNCTION("""COMPUTED_VALUE"""),"")</f>
        <v/>
      </c>
      <c r="P57" t="str">
        <f>IFERROR(__xludf.DUMMYFUNCTION("""COMPUTED_VALUE"""),"Unsure")</f>
        <v>Unsure</v>
      </c>
      <c r="Q57" t="str">
        <f>IFERROR(__xludf.DUMMYFUNCTION("""COMPUTED_VALUE"""),"")</f>
        <v/>
      </c>
      <c r="R57" t="str">
        <f>IFERROR(__xludf.DUMMYFUNCTION("""COMPUTED_VALUE"""),"")</f>
        <v/>
      </c>
      <c r="S57" t="str">
        <f>IFERROR(__xludf.DUMMYFUNCTION("""COMPUTED_VALUE"""),"Not specified")</f>
        <v>Not specified</v>
      </c>
      <c r="T57" t="str">
        <f>IFERROR(__xludf.DUMMYFUNCTION("""COMPUTED_VALUE"""),"Not specified")</f>
        <v>Not specified</v>
      </c>
      <c r="U57" t="str">
        <f>IFERROR(__xludf.DUMMYFUNCTION("""COMPUTED_VALUE"""),"Not specified")</f>
        <v>Not specified</v>
      </c>
      <c r="V57" t="str">
        <f>IFERROR(__xludf.DUMMYFUNCTION("""COMPUTED_VALUE"""),"Not specified")</f>
        <v>Not specified</v>
      </c>
      <c r="W57" t="str">
        <f>IFERROR(__xludf.DUMMYFUNCTION("""COMPUTED_VALUE"""),"Not specified")</f>
        <v>Not specified</v>
      </c>
      <c r="X57" t="str">
        <f>IFERROR(__xludf.DUMMYFUNCTION("""COMPUTED_VALUE"""),"Not specified")</f>
        <v>Not specified</v>
      </c>
      <c r="Y57" t="str">
        <f>IFERROR(__xludf.DUMMYFUNCTION("""COMPUTED_VALUE"""),"Not specified")</f>
        <v>Not specified</v>
      </c>
      <c r="Z57" t="str">
        <f>IFERROR(__xludf.DUMMYFUNCTION("""COMPUTED_VALUE"""),"Not specified")</f>
        <v>Not specified</v>
      </c>
      <c r="AA57" t="str">
        <f>IFERROR(__xludf.DUMMYFUNCTION("""COMPUTED_VALUE"""),"")</f>
        <v/>
      </c>
      <c r="AB57" t="str">
        <f>IFERROR(__xludf.DUMMYFUNCTION("""COMPUTED_VALUE"""),"Not specified")</f>
        <v>Not specified</v>
      </c>
      <c r="AC57" t="str">
        <f>IFERROR(__xludf.DUMMYFUNCTION("""COMPUTED_VALUE"""),"")</f>
        <v/>
      </c>
      <c r="AD57" t="str">
        <f>IFERROR(__xludf.DUMMYFUNCTION("""COMPUTED_VALUE"""),"Unsure")</f>
        <v>Unsure</v>
      </c>
      <c r="AE57" t="str">
        <f>IFERROR(__xludf.DUMMYFUNCTION("""COMPUTED_VALUE"""),"Unsure")</f>
        <v>Unsure</v>
      </c>
      <c r="AF57" t="str">
        <f>IFERROR(__xludf.DUMMYFUNCTION("""COMPUTED_VALUE"""),"Unsure")</f>
        <v>Unsure</v>
      </c>
      <c r="AG57" s="78" t="str">
        <f>IFERROR(__xludf.DUMMYFUNCTION("""COMPUTED_VALUE"""),"https://pspb.ieee.org/images/files/files/opsmanual.pdf")</f>
        <v>https://pspb.ieee.org/images/files/files/opsmanual.pdf</v>
      </c>
      <c r="AH57" t="str">
        <f>IFERROR(__xludf.DUMMYFUNCTION("""COMPUTED_VALUE"""),"First submission only (before peer review)")</f>
        <v>First submission only (before peer review)</v>
      </c>
      <c r="AI57" t="str">
        <f>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7" t="str">
        <f>IFERROR(__xludf.DUMMYFUNCTION("""COMPUTED_VALUE"""),"Not specified")</f>
        <v>Not specified</v>
      </c>
      <c r="AK57" t="str">
        <f>IFERROR(__xludf.DUMMYFUNCTION("""COMPUTED_VALUE"""),"Unsure")</f>
        <v>Unsure</v>
      </c>
      <c r="AL57" t="str">
        <f>IFERROR(__xludf.DUMMYFUNCTION("""COMPUTED_VALUE"""),"")</f>
        <v/>
      </c>
      <c r="AM57" t="str">
        <f>IFERROR(__xludf.DUMMYFUNCTION("""COMPUTED_VALUE"""),"")</f>
        <v/>
      </c>
      <c r="AN57" t="str">
        <f>IFERROR(__xludf.DUMMYFUNCTION("""COMPUTED_VALUE"""),"")</f>
        <v/>
      </c>
      <c r="AO57" t="str">
        <f>IFERROR(__xludf.DUMMYFUNCTION("""COMPUTED_VALUE"""),"")</f>
        <v/>
      </c>
      <c r="AP57" t="str">
        <f>IFERROR(__xludf.DUMMYFUNCTION("""COMPUTED_VALUE"""),"")</f>
        <v/>
      </c>
      <c r="AQ57" t="str">
        <f>IFERROR(__xludf.DUMMYFUNCTION("""COMPUTED_VALUE"""),"")</f>
        <v/>
      </c>
      <c r="AR57" t="str">
        <f>IFERROR(__xludf.DUMMYFUNCTION("""COMPUTED_VALUE"""),"")</f>
        <v/>
      </c>
    </row>
    <row r="58">
      <c r="A58" t="str">
        <f>IFERROR(__xludf.DUMMYFUNCTION("""COMPUTED_VALUE"""),"SR")</f>
        <v>SR</v>
      </c>
      <c r="B58" t="str">
        <f>IFERROR(__xludf.DUMMYFUNCTION("""COMPUTED_VALUE"""),"")</f>
        <v/>
      </c>
      <c r="C58" t="str">
        <f>IFERROR(__xludf.DUMMYFUNCTION("""COMPUTED_VALUE"""),"TRH")</f>
        <v>TRH</v>
      </c>
      <c r="D58" s="36">
        <f>IFERROR(__xludf.DUMMYFUNCTION("""COMPUTED_VALUE"""),43575.0)</f>
        <v>43575</v>
      </c>
      <c r="E58" t="str">
        <f>IFERROR(__xludf.DUMMYFUNCTION("""COMPUTED_VALUE"""),"JP")</f>
        <v>JP</v>
      </c>
      <c r="F58" s="36">
        <f>IFERROR(__xludf.DUMMYFUNCTION("""COMPUTED_VALUE"""),43581.0)</f>
        <v>43581</v>
      </c>
      <c r="G58" t="str">
        <f>IFERROR(__xludf.DUMMYFUNCTION("""COMPUTED_VALUE"""),"Added coreview policies; preprint citation policy seems to be specifically for calling attention to duplicate/highly related work during submission process?")</f>
        <v>Added coreview policies; preprint citation policy seems to be specifically for calling attention to duplicate/highly related work during submission process?</v>
      </c>
      <c r="H58" t="str">
        <f>IFERROR(__xludf.DUMMYFUNCTION("""COMPUTED_VALUE"""),"Only ISBN available, counts as a book")</f>
        <v>Only ISBN available, counts as a book</v>
      </c>
      <c r="I58" t="str">
        <f>IFERROR(__xludf.DUMMYFUNCTION("""COMPUTED_VALUE"""),"IEEE Conference on Computer Vision and Pattern Recognition, CVPR")</f>
        <v>IEEE Conference on Computer Vision and Pattern Recognition, CVPR</v>
      </c>
      <c r="J58" t="str">
        <f>IFERROR(__xludf.DUMMYFUNCTION("""COMPUTED_VALUE"""),"Engineering &amp; Computer Science")</f>
        <v>Engineering &amp; Computer Science</v>
      </c>
      <c r="K58" t="str">
        <f>IFERROR(__xludf.DUMMYFUNCTION("""COMPUTED_VALUE"""),"")</f>
        <v/>
      </c>
      <c r="L58" t="str">
        <f>IFERROR(__xludf.DUMMYFUNCTION("""COMPUTED_VALUE"""),"Double blind")</f>
        <v>Double blind</v>
      </c>
      <c r="M58" s="78" t="str">
        <f>IFERROR(__xludf.DUMMYFUNCTION("""COMPUTED_VALUE"""),"http://cvpr2019.thecvf.com/")</f>
        <v>http://cvpr2019.thecvf.com/</v>
      </c>
      <c r="N58" t="str">
        <f>IFERROR(__xludf.DUMMYFUNCTION("""COMPUTED_VALUE"""),"")</f>
        <v/>
      </c>
      <c r="O58" t="str">
        <f>IFERROR(__xludf.DUMMYFUNCTION("""COMPUTED_VALUE"""),"")</f>
        <v/>
      </c>
      <c r="P58" t="str">
        <f>IFERROR(__xludf.DUMMYFUNCTION("""COMPUTED_VALUE"""),"Unsure")</f>
        <v>Unsure</v>
      </c>
      <c r="Q58" t="str">
        <f>IFERROR(__xludf.DUMMYFUNCTION("""COMPUTED_VALUE"""),"")</f>
        <v/>
      </c>
      <c r="R58" t="str">
        <f>IFERROR(__xludf.DUMMYFUNCTION("""COMPUTED_VALUE"""),"")</f>
        <v/>
      </c>
      <c r="S58" t="str">
        <f>IFERROR(__xludf.DUMMYFUNCTION("""COMPUTED_VALUE"""),"No")</f>
        <v>No</v>
      </c>
      <c r="T58" t="str">
        <f>IFERROR(__xludf.DUMMYFUNCTION("""COMPUTED_VALUE"""),"No")</f>
        <v>No</v>
      </c>
      <c r="U58" t="str">
        <f>IFERROR(__xludf.DUMMYFUNCTION("""COMPUTED_VALUE"""),"No")</f>
        <v>No</v>
      </c>
      <c r="V58" t="str">
        <f>IFERROR(__xludf.DUMMYFUNCTION("""COMPUTED_VALUE"""),"No")</f>
        <v>No</v>
      </c>
      <c r="W58" t="str">
        <f>IFERROR(__xludf.DUMMYFUNCTION("""COMPUTED_VALUE"""),"No")</f>
        <v>No</v>
      </c>
      <c r="X58" t="str">
        <f>IFERROR(__xludf.DUMMYFUNCTION("""COMPUTED_VALUE"""),"No")</f>
        <v>No</v>
      </c>
      <c r="Y58" t="str">
        <f>IFERROR(__xludf.DUMMYFUNCTION("""COMPUTED_VALUE"""),"No")</f>
        <v>No</v>
      </c>
      <c r="Z58" t="str">
        <f>IFERROR(__xludf.DUMMYFUNCTION("""COMPUTED_VALUE"""),"No")</f>
        <v>No</v>
      </c>
      <c r="AA58" t="str">
        <f>IFERROR(__xludf.DUMMYFUNCTION("""COMPUTED_VALUE"""),"")</f>
        <v/>
      </c>
      <c r="AB58" t="str">
        <f>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8" s="78" t="str">
        <f>IFERROR(__xludf.DUMMYFUNCTION("""COMPUTED_VALUE"""),"http://cvpr2019.thecvf.com/submission/main_conference/reviewer_guidelines")</f>
        <v>http://cvpr2019.thecvf.com/submission/main_conference/reviewer_guidelines</v>
      </c>
      <c r="AD58" t="str">
        <f>IFERROR(__xludf.DUMMYFUNCTION("""COMPUTED_VALUE"""),"Yes")</f>
        <v>Yes</v>
      </c>
      <c r="AE58" t="str">
        <f>IFERROR(__xludf.DUMMYFUNCTION("""COMPUTED_VALUE"""),"Unsure")</f>
        <v>Unsure</v>
      </c>
      <c r="AF58" t="str">
        <f>IFERROR(__xludf.DUMMYFUNCTION("""COMPUTED_VALUE"""),"Unsure")</f>
        <v>Unsure</v>
      </c>
      <c r="AG58" s="78" t="str">
        <f>IFERROR(__xludf.DUMMYFUNCTION("""COMPUTED_VALUE"""),"http://cvpr2019.thecvf.com/submission/main_conference/author_guidelines")</f>
        <v>http://cvpr2019.thecvf.com/submission/main_conference/author_guidelines</v>
      </c>
      <c r="AH58" t="str">
        <f>IFERROR(__xludf.DUMMYFUNCTION("""COMPUTED_VALUE"""),"Unsure (preprints are allowed, but it's not clear what version)")</f>
        <v>Unsure (preprints are allowed, but it's not clear what version)</v>
      </c>
      <c r="AI58" t="str">
        <f>IFERROR(__xludf.DUMMYFUNCTION("""COMPUTED_VALUE"""),"Our policy is based upon the following particular definition of “publication”. A publication, for the purposes of the dual submission policy, is defined to be a written work longer than four pages that was submitted for review by peers for either acceptan"&amp;"ce or rejection, and, after review, was accepted. In particular, this definition of publication does not depend upon whether such an accepted written work appears in a formal proceedings or whether the organizers declare that such work ``counts as a publi"&amp;"cation''.
Note that such a definition does not consider an arXiv.org paper as a publication because it cannot be rejected. It also excludes university technical reports which are typically not peer reviewed.")</f>
        <v>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v>
      </c>
      <c r="AJ58" t="str">
        <f>IFERROR(__xludf.DUMMYFUNCTION("""COMPUTED_VALUE"""),"Unsure")</f>
        <v>Unsure</v>
      </c>
      <c r="AK58" t="str">
        <f>IFERROR(__xludf.DUMMYFUNCTION("""COMPUTED_VALUE"""),"Unsure")</f>
        <v>Unsure</v>
      </c>
      <c r="AL58" t="str">
        <f>IFERROR(__xludf.DUMMYFUNCTION("""COMPUTED_VALUE"""),"")</f>
        <v/>
      </c>
      <c r="AM58" t="str">
        <f>IFERROR(__xludf.DUMMYFUNCTION("""COMPUTED_VALUE"""),"")</f>
        <v/>
      </c>
      <c r="AN58" t="str">
        <f>IFERROR(__xludf.DUMMYFUNCTION("""COMPUTED_VALUE"""),"")</f>
        <v/>
      </c>
      <c r="AO58" t="str">
        <f>IFERROR(__xludf.DUMMYFUNCTION("""COMPUTED_VALUE"""),"")</f>
        <v/>
      </c>
      <c r="AP58" t="str">
        <f>IFERROR(__xludf.DUMMYFUNCTION("""COMPUTED_VALUE"""),"")</f>
        <v/>
      </c>
      <c r="AQ58" t="str">
        <f>IFERROR(__xludf.DUMMYFUNCTION("""COMPUTED_VALUE"""),"")</f>
        <v/>
      </c>
      <c r="AR58" t="str">
        <f>IFERROR(__xludf.DUMMYFUNCTION("""COMPUTED_VALUE"""),"")</f>
        <v/>
      </c>
    </row>
    <row r="59">
      <c r="A59" t="str">
        <f>IFERROR(__xludf.DUMMYFUNCTION("""COMPUTED_VALUE"""),"SR")</f>
        <v>SR</v>
      </c>
      <c r="B59" t="str">
        <f>IFERROR(__xludf.DUMMYFUNCTION("""COMPUTED_VALUE"""),"")</f>
        <v/>
      </c>
      <c r="C59" t="str">
        <f>IFERROR(__xludf.DUMMYFUNCTION("""COMPUTED_VALUE"""),"JP")</f>
        <v>JP</v>
      </c>
      <c r="D59" s="36">
        <f>IFERROR(__xludf.DUMMYFUNCTION("""COMPUTED_VALUE"""),43571.0)</f>
        <v>43571</v>
      </c>
      <c r="E59" t="str">
        <f>IFERROR(__xludf.DUMMYFUNCTION("""COMPUTED_VALUE"""),"TRH")</f>
        <v>TRH</v>
      </c>
      <c r="F59" s="36">
        <f>IFERROR(__xludf.DUMMYFUNCTION("""COMPUTED_VALUE"""),43581.0)</f>
        <v>43581</v>
      </c>
      <c r="G59" t="str">
        <f>IFERROR(__xludf.DUMMYFUNCTION("""COMPUTED_VALUE"""),"")</f>
        <v/>
      </c>
      <c r="H59" t="str">
        <f>IFERROR(__xludf.DUMMYFUNCTION("""COMPUTED_VALUE"""),"2380-7504")</f>
        <v>2380-7504</v>
      </c>
      <c r="I59" t="str">
        <f>IFERROR(__xludf.DUMMYFUNCTION("""COMPUTED_VALUE"""),"IEEE International Conference on Computer Vision")</f>
        <v>IEEE International Conference on Computer Vision</v>
      </c>
      <c r="J59" t="str">
        <f>IFERROR(__xludf.DUMMYFUNCTION("""COMPUTED_VALUE"""),"Engineering &amp; Computer Science")</f>
        <v>Engineering &amp; Computer Science</v>
      </c>
      <c r="K59" t="str">
        <f>IFERROR(__xludf.DUMMYFUNCTION("""COMPUTED_VALUE"""),"")</f>
        <v/>
      </c>
      <c r="L59" t="str">
        <f>IFERROR(__xludf.DUMMYFUNCTION("""COMPUTED_VALUE"""),"Double blind")</f>
        <v>Double blind</v>
      </c>
      <c r="M59" s="78" t="str">
        <f>IFERROR(__xludf.DUMMYFUNCTION("""COMPUTED_VALUE"""),"http://iccv2019.thecvf.com/submission/timeline")</f>
        <v>http://iccv2019.thecvf.com/submission/timeline</v>
      </c>
      <c r="N59" t="str">
        <f>IFERROR(__xludf.DUMMYFUNCTION("""COMPUTED_VALUE"""),"")</f>
        <v/>
      </c>
      <c r="O59" t="str">
        <f>IFERROR(__xludf.DUMMYFUNCTION("""COMPUTED_VALUE"""),"")</f>
        <v/>
      </c>
      <c r="P59" t="str">
        <f>IFERROR(__xludf.DUMMYFUNCTION("""COMPUTED_VALUE"""),"Unsure")</f>
        <v>Unsure</v>
      </c>
      <c r="Q59" t="str">
        <f>IFERROR(__xludf.DUMMYFUNCTION("""COMPUTED_VALUE"""),"")</f>
        <v/>
      </c>
      <c r="R59" t="str">
        <f>IFERROR(__xludf.DUMMYFUNCTION("""COMPUTED_VALUE"""),"")</f>
        <v/>
      </c>
      <c r="S59" t="str">
        <f>IFERROR(__xludf.DUMMYFUNCTION("""COMPUTED_VALUE"""),"No")</f>
        <v>No</v>
      </c>
      <c r="T59" t="str">
        <f>IFERROR(__xludf.DUMMYFUNCTION("""COMPUTED_VALUE"""),"No")</f>
        <v>No</v>
      </c>
      <c r="U59" t="str">
        <f>IFERROR(__xludf.DUMMYFUNCTION("""COMPUTED_VALUE"""),"No")</f>
        <v>No</v>
      </c>
      <c r="V59" t="str">
        <f>IFERROR(__xludf.DUMMYFUNCTION("""COMPUTED_VALUE"""),"No")</f>
        <v>No</v>
      </c>
      <c r="W59" t="str">
        <f>IFERROR(__xludf.DUMMYFUNCTION("""COMPUTED_VALUE"""),"No")</f>
        <v>No</v>
      </c>
      <c r="X59" t="str">
        <f>IFERROR(__xludf.DUMMYFUNCTION("""COMPUTED_VALUE"""),"No")</f>
        <v>No</v>
      </c>
      <c r="Y59" t="str">
        <f>IFERROR(__xludf.DUMMYFUNCTION("""COMPUTED_VALUE"""),"No")</f>
        <v>No</v>
      </c>
      <c r="Z59" t="str">
        <f>IFERROR(__xludf.DUMMYFUNCTION("""COMPUTED_VALUE"""),"Mandatory")</f>
        <v>Mandatory</v>
      </c>
      <c r="AA59" t="str">
        <f>IFERROR(__xludf.DUMMYFUNCTION("""COMPUTED_VALUE"""),"")</f>
        <v/>
      </c>
      <c r="AB59" t="str">
        <f>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9" s="78" t="str">
        <f>IFERROR(__xludf.DUMMYFUNCTION("""COMPUTED_VALUE"""),"http://iccv2019.thecvf.com/submission/main_conference/reviewer_guidelines")</f>
        <v>http://iccv2019.thecvf.com/submission/main_conference/reviewer_guidelines</v>
      </c>
      <c r="AD59" t="str">
        <f>IFERROR(__xludf.DUMMYFUNCTION("""COMPUTED_VALUE"""),"Yes")</f>
        <v>Yes</v>
      </c>
      <c r="AE59" t="str">
        <f>IFERROR(__xludf.DUMMYFUNCTION("""COMPUTED_VALUE"""),"Unsure")</f>
        <v>Unsure</v>
      </c>
      <c r="AF59" t="str">
        <f>IFERROR(__xludf.DUMMYFUNCTION("""COMPUTED_VALUE"""),"Unsure")</f>
        <v>Unsure</v>
      </c>
      <c r="AG59" s="78" t="str">
        <f>IFERROR(__xludf.DUMMYFUNCTION("""COMPUTED_VALUE"""),"http://iccv2019.thecvf.com/submission/main_conference/author_guidelines")</f>
        <v>http://iccv2019.thecvf.com/submission/main_conference/author_guidelines</v>
      </c>
      <c r="AH59" t="str">
        <f>IFERROR(__xludf.DUMMYFUNCTION("""COMPUTED_VALUE"""),"Any")</f>
        <v>Any</v>
      </c>
      <c r="AI59" t="str">
        <f>IFERROR(__xludf.DUMMYFUNCTION("""COMPUTED_VALUE"""),"The above definition does not consider an arXiv.org paper as a publication because it cannot be rejected. It also excludes university technical reports which are typically not peer reviewed.")</f>
        <v>The above definition does not consider an arXiv.org paper as a publication because it cannot be rejected. It also excludes university technical reports which are typically not peer reviewed.</v>
      </c>
      <c r="AJ59" t="str">
        <f>IFERROR(__xludf.DUMMYFUNCTION("""COMPUTED_VALUE"""),"Yes, in the reference list")</f>
        <v>Yes, in the reference list</v>
      </c>
      <c r="AK59" t="str">
        <f>IFERROR(__xludf.DUMMYFUNCTION("""COMPUTED_VALUE"""),"Unsure")</f>
        <v>Unsure</v>
      </c>
      <c r="AL59" t="str">
        <f>IFERROR(__xludf.DUMMYFUNCTION("""COMPUTED_VALUE"""),"Papers submitted to ICCV must not be discussed with the press until they have been officially accepted for publication. Work explicitly identified as an ICCV submission also may not be advertised on social media. Please see the FAQ below for more details."&amp;" Violations may result in the paper being rejected or removed from the conference and proceedings.")</f>
        <v>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v>
      </c>
      <c r="AM59" t="str">
        <f>IFERROR(__xludf.DUMMYFUNCTION("""COMPUTED_VALUE"""),"Not specified")</f>
        <v>Not specified</v>
      </c>
      <c r="AN59" t="str">
        <f>IFERROR(__xludf.DUMMYFUNCTION("""COMPUTED_VALUE"""),"Not specified")</f>
        <v>Not specified</v>
      </c>
      <c r="AO59" t="str">
        <f>IFERROR(__xludf.DUMMYFUNCTION("""COMPUTED_VALUE"""),"Not specified")</f>
        <v>Not specified</v>
      </c>
      <c r="AP59" t="str">
        <f>IFERROR(__xludf.DUMMYFUNCTION("""COMPUTED_VALUE"""),"Conf proceedings for annual event - information taken from conf website - unsure how often this info changes year to year.")</f>
        <v>Conf proceedings for annual event - information taken from conf website - unsure how often this info changes year to year.</v>
      </c>
      <c r="AQ59" t="str">
        <f>IFERROR(__xludf.DUMMYFUNCTION("""COMPUTED_VALUE"""),"")</f>
        <v/>
      </c>
      <c r="AR59" t="str">
        <f>IFERROR(__xludf.DUMMYFUNCTION("""COMPUTED_VALUE"""),"")</f>
        <v/>
      </c>
    </row>
    <row r="60">
      <c r="A60" t="str">
        <f>IFERROR(__xludf.DUMMYFUNCTION("""COMPUTED_VALUE"""),"SR")</f>
        <v>SR</v>
      </c>
      <c r="B60" t="str">
        <f>IFERROR(__xludf.DUMMYFUNCTION("""COMPUTED_VALUE"""),"")</f>
        <v/>
      </c>
      <c r="C60" t="str">
        <f>IFERROR(__xludf.DUMMYFUNCTION("""COMPUTED_VALUE"""),"JP")</f>
        <v>JP</v>
      </c>
      <c r="D60" s="36">
        <f>IFERROR(__xludf.DUMMYFUNCTION("""COMPUTED_VALUE"""),43571.0)</f>
        <v>43571</v>
      </c>
      <c r="E60" t="str">
        <f>IFERROR(__xludf.DUMMYFUNCTION("""COMPUTED_VALUE"""),"TRH")</f>
        <v>TRH</v>
      </c>
      <c r="F60" s="36">
        <f>IFERROR(__xludf.DUMMYFUNCTION("""COMPUTED_VALUE"""),43581.0)</f>
        <v>43581</v>
      </c>
      <c r="G60" t="str">
        <f>IFERROR(__xludf.DUMMYFUNCTION("""COMPUTED_VALUE"""),"")</f>
        <v/>
      </c>
      <c r="H60" t="str">
        <f>IFERROR(__xludf.DUMMYFUNCTION("""COMPUTED_VALUE"""),"0018-9286")</f>
        <v>0018-9286</v>
      </c>
      <c r="I60" t="str">
        <f>IFERROR(__xludf.DUMMYFUNCTION("""COMPUTED_VALUE"""),"IEEE Transactions on Automatic Control")</f>
        <v>IEEE Transactions on Automatic Control</v>
      </c>
      <c r="J60" t="str">
        <f>IFERROR(__xludf.DUMMYFUNCTION("""COMPUTED_VALUE"""),"Physics &amp; Mathematics")</f>
        <v>Physics &amp; Mathematics</v>
      </c>
      <c r="K60" t="str">
        <f>IFERROR(__xludf.DUMMYFUNCTION("""COMPUTED_VALUE"""),"IEEE Communications Society")</f>
        <v>IEEE Communications Society</v>
      </c>
      <c r="L60" t="str">
        <f>IFERROR(__xludf.DUMMYFUNCTION("""COMPUTED_VALUE"""),"Unsure")</f>
        <v>Unsure</v>
      </c>
      <c r="M60" s="78" t="str">
        <f>IFERROR(__xludf.DUMMYFUNCTION("""COMPUTED_VALUE"""),"https://ieeeauthorcenter.ieee.org/peer-review-at-ieee/")</f>
        <v>https://ieeeauthorcenter.ieee.org/peer-review-at-ieee/</v>
      </c>
      <c r="N60" t="str">
        <f>IFERROR(__xludf.DUMMYFUNCTION("""COMPUTED_VALUE"""),"")</f>
        <v/>
      </c>
      <c r="O60" t="str">
        <f>IFERROR(__xludf.DUMMYFUNCTION("""COMPUTED_VALUE"""),"")</f>
        <v/>
      </c>
      <c r="P60" t="str">
        <f>IFERROR(__xludf.DUMMYFUNCTION("""COMPUTED_VALUE"""),"Unsure")</f>
        <v>Unsure</v>
      </c>
      <c r="Q60" t="str">
        <f>IFERROR(__xludf.DUMMYFUNCTION("""COMPUTED_VALUE"""),"")</f>
        <v/>
      </c>
      <c r="R60" t="str">
        <f>IFERROR(__xludf.DUMMYFUNCTION("""COMPUTED_VALUE"""),"")</f>
        <v/>
      </c>
      <c r="S60" t="str">
        <f>IFERROR(__xludf.DUMMYFUNCTION("""COMPUTED_VALUE"""),"Not specified")</f>
        <v>Not specified</v>
      </c>
      <c r="T60" t="str">
        <f>IFERROR(__xludf.DUMMYFUNCTION("""COMPUTED_VALUE"""),"Not specified")</f>
        <v>Not specified</v>
      </c>
      <c r="U60" t="str">
        <f>IFERROR(__xludf.DUMMYFUNCTION("""COMPUTED_VALUE"""),"Not specified")</f>
        <v>Not specified</v>
      </c>
      <c r="V60" t="str">
        <f>IFERROR(__xludf.DUMMYFUNCTION("""COMPUTED_VALUE"""),"Not specified")</f>
        <v>Not specified</v>
      </c>
      <c r="W60" t="str">
        <f>IFERROR(__xludf.DUMMYFUNCTION("""COMPUTED_VALUE"""),"Not specified")</f>
        <v>Not specified</v>
      </c>
      <c r="X60" t="str">
        <f>IFERROR(__xludf.DUMMYFUNCTION("""COMPUTED_VALUE"""),"Not specified")</f>
        <v>Not specified</v>
      </c>
      <c r="Y60" t="str">
        <f>IFERROR(__xludf.DUMMYFUNCTION("""COMPUTED_VALUE"""),"Not specified")</f>
        <v>Not specified</v>
      </c>
      <c r="Z60" t="str">
        <f>IFERROR(__xludf.DUMMYFUNCTION("""COMPUTED_VALUE"""),"Not specified")</f>
        <v>Not specified</v>
      </c>
      <c r="AA60" t="str">
        <f>IFERROR(__xludf.DUMMYFUNCTION("""COMPUTED_VALUE"""),"")</f>
        <v/>
      </c>
      <c r="AB60" t="str">
        <f>IFERROR(__xludf.DUMMYFUNCTION("""COMPUTED_VALUE"""),"")</f>
        <v/>
      </c>
      <c r="AC60" t="str">
        <f>IFERROR(__xludf.DUMMYFUNCTION("""COMPUTED_VALUE"""),"")</f>
        <v/>
      </c>
      <c r="AD60" t="str">
        <f>IFERROR(__xludf.DUMMYFUNCTION("""COMPUTED_VALUE"""),"Unsure")</f>
        <v>Unsure</v>
      </c>
      <c r="AE60" t="str">
        <f>IFERROR(__xludf.DUMMYFUNCTION("""COMPUTED_VALUE"""),"Unsure")</f>
        <v>Unsure</v>
      </c>
      <c r="AF60" t="str">
        <f>IFERROR(__xludf.DUMMYFUNCTION("""COMPUTED_VALUE"""),"Unsure")</f>
        <v>Unsure</v>
      </c>
      <c r="AG60" s="78" t="str">
        <f>IFERROR(__xludf.DUMMYFUNCTION("""COMPUTED_VALUE"""),"https://ieeeauthorcenter.ieee.org/publishing-ethics/guidelines-and-policies/policy-posting-your-article/")</f>
        <v>https://ieeeauthorcenter.ieee.org/publishing-ethics/guidelines-and-policies/policy-posting-your-article/</v>
      </c>
      <c r="AH60" t="str">
        <f>IFERROR(__xludf.DUMMYFUNCTION("""COMPUTED_VALUE"""),"First submission only (before peer review)")</f>
        <v>First submission only (before peer review)</v>
      </c>
      <c r="AI60" t="str">
        <f>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0" t="str">
        <f>IFERROR(__xludf.DUMMYFUNCTION("""COMPUTED_VALUE"""),"Not specified")</f>
        <v>Not specified</v>
      </c>
      <c r="AK60" t="str">
        <f>IFERROR(__xludf.DUMMYFUNCTION("""COMPUTED_VALUE"""),"Unsure")</f>
        <v>Unsure</v>
      </c>
      <c r="AL60" t="str">
        <f>IFERROR(__xludf.DUMMYFUNCTION("""COMPUTED_VALUE"""),"")</f>
        <v/>
      </c>
      <c r="AM60" t="str">
        <f>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0" t="str">
        <f>IFERROR(__xludf.DUMMYFUNCTION("""COMPUTED_VALUE"""),"")</f>
        <v/>
      </c>
      <c r="AO60" t="str">
        <f>IFERROR(__xludf.DUMMYFUNCTION("""COMPUTED_VALUE"""),"")</f>
        <v/>
      </c>
      <c r="AP60" t="str">
        <f>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0" t="str">
        <f>IFERROR(__xludf.DUMMYFUNCTION("""COMPUTED_VALUE"""),"")</f>
        <v/>
      </c>
      <c r="AR60" t="str">
        <f>IFERROR(__xludf.DUMMYFUNCTION("""COMPUTED_VALUE"""),"")</f>
        <v/>
      </c>
    </row>
    <row r="61">
      <c r="A61" t="str">
        <f>IFERROR(__xludf.DUMMYFUNCTION("""COMPUTED_VALUE"""),"SR")</f>
        <v>SR</v>
      </c>
      <c r="B61" t="str">
        <f>IFERROR(__xludf.DUMMYFUNCTION("""COMPUTED_VALUE"""),"")</f>
        <v/>
      </c>
      <c r="C61" t="str">
        <f>IFERROR(__xludf.DUMMYFUNCTION("""COMPUTED_VALUE"""),"JP")</f>
        <v>JP</v>
      </c>
      <c r="D61" s="36">
        <f>IFERROR(__xludf.DUMMYFUNCTION("""COMPUTED_VALUE"""),43571.0)</f>
        <v>43571</v>
      </c>
      <c r="E61" t="str">
        <f>IFERROR(__xludf.DUMMYFUNCTION("""COMPUTED_VALUE"""),"TRH")</f>
        <v>TRH</v>
      </c>
      <c r="F61" s="36">
        <f>IFERROR(__xludf.DUMMYFUNCTION("""COMPUTED_VALUE"""),43581.0)</f>
        <v>43581</v>
      </c>
      <c r="G61" t="str">
        <f>IFERROR(__xludf.DUMMYFUNCTION("""COMPUTED_VALUE"""),"")</f>
        <v/>
      </c>
      <c r="H61" t="str">
        <f>IFERROR(__xludf.DUMMYFUNCTION("""COMPUTED_VALUE"""),"0278-0046")</f>
        <v>0278-0046</v>
      </c>
      <c r="I61" t="str">
        <f>IFERROR(__xludf.DUMMYFUNCTION("""COMPUTED_VALUE"""),"IEEE Transactions on Industrial Electronics")</f>
        <v>IEEE Transactions on Industrial Electronics</v>
      </c>
      <c r="J61" t="str">
        <f>IFERROR(__xludf.DUMMYFUNCTION("""COMPUTED_VALUE"""),"Engineering &amp; Computer Science")</f>
        <v>Engineering &amp; Computer Science</v>
      </c>
      <c r="K61" t="str">
        <f>IFERROR(__xludf.DUMMYFUNCTION("""COMPUTED_VALUE"""),"IEEE")</f>
        <v>IEEE</v>
      </c>
      <c r="L61" t="str">
        <f>IFERROR(__xludf.DUMMYFUNCTION("""COMPUTED_VALUE"""),"Unsure")</f>
        <v>Unsure</v>
      </c>
      <c r="M61" s="78" t="str">
        <f>IFERROR(__xludf.DUMMYFUNCTION("""COMPUTED_VALUE"""),"https://ieeeauthorcenter.ieee.org/peer-review-at-ieee/")</f>
        <v>https://ieeeauthorcenter.ieee.org/peer-review-at-ieee/</v>
      </c>
      <c r="N61" t="str">
        <f>IFERROR(__xludf.DUMMYFUNCTION("""COMPUTED_VALUE"""),"")</f>
        <v/>
      </c>
      <c r="O61" t="str">
        <f>IFERROR(__xludf.DUMMYFUNCTION("""COMPUTED_VALUE"""),"")</f>
        <v/>
      </c>
      <c r="P61" t="str">
        <f>IFERROR(__xludf.DUMMYFUNCTION("""COMPUTED_VALUE"""),"Unsure")</f>
        <v>Unsure</v>
      </c>
      <c r="Q61" t="str">
        <f>IFERROR(__xludf.DUMMYFUNCTION("""COMPUTED_VALUE"""),"")</f>
        <v/>
      </c>
      <c r="R61" t="str">
        <f>IFERROR(__xludf.DUMMYFUNCTION("""COMPUTED_VALUE"""),"")</f>
        <v/>
      </c>
      <c r="S61" t="str">
        <f>IFERROR(__xludf.DUMMYFUNCTION("""COMPUTED_VALUE"""),"Not specified")</f>
        <v>Not specified</v>
      </c>
      <c r="T61" t="str">
        <f>IFERROR(__xludf.DUMMYFUNCTION("""COMPUTED_VALUE"""),"Not specified")</f>
        <v>Not specified</v>
      </c>
      <c r="U61" t="str">
        <f>IFERROR(__xludf.DUMMYFUNCTION("""COMPUTED_VALUE"""),"Not specified")</f>
        <v>Not specified</v>
      </c>
      <c r="V61" t="str">
        <f>IFERROR(__xludf.DUMMYFUNCTION("""COMPUTED_VALUE"""),"Not specified")</f>
        <v>Not specified</v>
      </c>
      <c r="W61" t="str">
        <f>IFERROR(__xludf.DUMMYFUNCTION("""COMPUTED_VALUE"""),"Not specified")</f>
        <v>Not specified</v>
      </c>
      <c r="X61" t="str">
        <f>IFERROR(__xludf.DUMMYFUNCTION("""COMPUTED_VALUE"""),"Not specified")</f>
        <v>Not specified</v>
      </c>
      <c r="Y61" t="str">
        <f>IFERROR(__xludf.DUMMYFUNCTION("""COMPUTED_VALUE"""),"Not specified")</f>
        <v>Not specified</v>
      </c>
      <c r="Z61" t="str">
        <f>IFERROR(__xludf.DUMMYFUNCTION("""COMPUTED_VALUE"""),"Not specified")</f>
        <v>Not specified</v>
      </c>
      <c r="AA61" t="str">
        <f>IFERROR(__xludf.DUMMYFUNCTION("""COMPUTED_VALUE"""),"")</f>
        <v/>
      </c>
      <c r="AB61" t="str">
        <f>IFERROR(__xludf.DUMMYFUNCTION("""COMPUTED_VALUE"""),"")</f>
        <v/>
      </c>
      <c r="AC61" t="str">
        <f>IFERROR(__xludf.DUMMYFUNCTION("""COMPUTED_VALUE"""),"")</f>
        <v/>
      </c>
      <c r="AD61" t="str">
        <f>IFERROR(__xludf.DUMMYFUNCTION("""COMPUTED_VALUE"""),"Unsure")</f>
        <v>Unsure</v>
      </c>
      <c r="AE61" t="str">
        <f>IFERROR(__xludf.DUMMYFUNCTION("""COMPUTED_VALUE"""),"Unsure")</f>
        <v>Unsure</v>
      </c>
      <c r="AF61" t="str">
        <f>IFERROR(__xludf.DUMMYFUNCTION("""COMPUTED_VALUE"""),"Unsure")</f>
        <v>Unsure</v>
      </c>
      <c r="AG61" s="78" t="str">
        <f>IFERROR(__xludf.DUMMYFUNCTION("""COMPUTED_VALUE"""),"https://ieeeauthorcenter.ieee.org/publishing-ethics/guidelines-and-policies/policy-posting-your-article/")</f>
        <v>https://ieeeauthorcenter.ieee.org/publishing-ethics/guidelines-and-policies/policy-posting-your-article/</v>
      </c>
      <c r="AH61" t="str">
        <f>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AI61" t="str">
        <f>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1" t="str">
        <f>IFERROR(__xludf.DUMMYFUNCTION("""COMPUTED_VALUE"""),"Not specified")</f>
        <v>Not specified</v>
      </c>
      <c r="AK61" t="str">
        <f>IFERROR(__xludf.DUMMYFUNCTION("""COMPUTED_VALUE"""),"Unsure")</f>
        <v>Unsure</v>
      </c>
      <c r="AL61" t="str">
        <f>IFERROR(__xludf.DUMMYFUNCTION("""COMPUTED_VALUE"""),"")</f>
        <v/>
      </c>
      <c r="AM61" t="str">
        <f>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1" t="str">
        <f>IFERROR(__xludf.DUMMYFUNCTION("""COMPUTED_VALUE"""),"")</f>
        <v/>
      </c>
      <c r="AO61" t="str">
        <f>IFERROR(__xludf.DUMMYFUNCTION("""COMPUTED_VALUE"""),"")</f>
        <v/>
      </c>
      <c r="AP61" t="str">
        <f>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1" t="str">
        <f>IFERROR(__xludf.DUMMYFUNCTION("""COMPUTED_VALUE"""),"")</f>
        <v/>
      </c>
      <c r="AR61" t="str">
        <f>IFERROR(__xludf.DUMMYFUNCTION("""COMPUTED_VALUE"""),"")</f>
        <v/>
      </c>
    </row>
    <row r="62">
      <c r="A62" t="str">
        <f>IFERROR(__xludf.DUMMYFUNCTION("""COMPUTED_VALUE"""),"SR")</f>
        <v>SR</v>
      </c>
      <c r="B62" t="str">
        <f>IFERROR(__xludf.DUMMYFUNCTION("""COMPUTED_VALUE"""),"")</f>
        <v/>
      </c>
      <c r="C62" t="str">
        <f>IFERROR(__xludf.DUMMYFUNCTION("""COMPUTED_VALUE"""),"JP")</f>
        <v>JP</v>
      </c>
      <c r="D62" s="36">
        <f>IFERROR(__xludf.DUMMYFUNCTION("""COMPUTED_VALUE"""),43571.0)</f>
        <v>43571</v>
      </c>
      <c r="E62" t="str">
        <f>IFERROR(__xludf.DUMMYFUNCTION("""COMPUTED_VALUE"""),"TRH")</f>
        <v>TRH</v>
      </c>
      <c r="F62" s="36">
        <f>IFERROR(__xludf.DUMMYFUNCTION("""COMPUTED_VALUE"""),43581.0)</f>
        <v>43581</v>
      </c>
      <c r="G62" t="str">
        <f>IFERROR(__xludf.DUMMYFUNCTION("""COMPUTED_VALUE"""),"")</f>
        <v/>
      </c>
      <c r="H62" t="str">
        <f>IFERROR(__xludf.DUMMYFUNCTION("""COMPUTED_VALUE"""),"0162-8828")</f>
        <v>0162-8828</v>
      </c>
      <c r="I62" t="str">
        <f>IFERROR(__xludf.DUMMYFUNCTION("""COMPUTED_VALUE"""),"IEEE Transactions on Pattern Analysis and Machine Intelligence")</f>
        <v>IEEE Transactions on Pattern Analysis and Machine Intelligence</v>
      </c>
      <c r="J62" t="str">
        <f>IFERROR(__xludf.DUMMYFUNCTION("""COMPUTED_VALUE"""),"")</f>
        <v/>
      </c>
      <c r="K62" t="str">
        <f>IFERROR(__xludf.DUMMYFUNCTION("""COMPUTED_VALUE"""),"IEEE")</f>
        <v>IEEE</v>
      </c>
      <c r="L62" t="str">
        <f>IFERROR(__xludf.DUMMYFUNCTION("""COMPUTED_VALUE"""),"Unsure")</f>
        <v>Unsure</v>
      </c>
      <c r="M62" s="78" t="str">
        <f>IFERROR(__xludf.DUMMYFUNCTION("""COMPUTED_VALUE"""),"https://ieeeauthorcenter.ieee.org/peer-review-at-ieee/")</f>
        <v>https://ieeeauthorcenter.ieee.org/peer-review-at-ieee/</v>
      </c>
      <c r="N62" t="str">
        <f>IFERROR(__xludf.DUMMYFUNCTION("""COMPUTED_VALUE"""),"")</f>
        <v/>
      </c>
      <c r="O62" t="str">
        <f>IFERROR(__xludf.DUMMYFUNCTION("""COMPUTED_VALUE"""),"")</f>
        <v/>
      </c>
      <c r="P62" t="str">
        <f>IFERROR(__xludf.DUMMYFUNCTION("""COMPUTED_VALUE"""),"Unsure")</f>
        <v>Unsure</v>
      </c>
      <c r="Q62" t="str">
        <f>IFERROR(__xludf.DUMMYFUNCTION("""COMPUTED_VALUE"""),"")</f>
        <v/>
      </c>
      <c r="R62" t="str">
        <f>IFERROR(__xludf.DUMMYFUNCTION("""COMPUTED_VALUE"""),"")</f>
        <v/>
      </c>
      <c r="S62" t="str">
        <f>IFERROR(__xludf.DUMMYFUNCTION("""COMPUTED_VALUE"""),"Not specified")</f>
        <v>Not specified</v>
      </c>
      <c r="T62" t="str">
        <f>IFERROR(__xludf.DUMMYFUNCTION("""COMPUTED_VALUE"""),"Not specified")</f>
        <v>Not specified</v>
      </c>
      <c r="U62" t="str">
        <f>IFERROR(__xludf.DUMMYFUNCTION("""COMPUTED_VALUE"""),"Not specified")</f>
        <v>Not specified</v>
      </c>
      <c r="V62" t="str">
        <f>IFERROR(__xludf.DUMMYFUNCTION("""COMPUTED_VALUE"""),"Not specified")</f>
        <v>Not specified</v>
      </c>
      <c r="W62" t="str">
        <f>IFERROR(__xludf.DUMMYFUNCTION("""COMPUTED_VALUE"""),"Not specified")</f>
        <v>Not specified</v>
      </c>
      <c r="X62" t="str">
        <f>IFERROR(__xludf.DUMMYFUNCTION("""COMPUTED_VALUE"""),"Not specified")</f>
        <v>Not specified</v>
      </c>
      <c r="Y62" t="str">
        <f>IFERROR(__xludf.DUMMYFUNCTION("""COMPUTED_VALUE"""),"Not specified")</f>
        <v>Not specified</v>
      </c>
      <c r="Z62" t="str">
        <f>IFERROR(__xludf.DUMMYFUNCTION("""COMPUTED_VALUE"""),"Not specified")</f>
        <v>Not specified</v>
      </c>
      <c r="AA62" t="str">
        <f>IFERROR(__xludf.DUMMYFUNCTION("""COMPUTED_VALUE"""),"")</f>
        <v/>
      </c>
      <c r="AB62" t="str">
        <f>IFERROR(__xludf.DUMMYFUNCTION("""COMPUTED_VALUE"""),"")</f>
        <v/>
      </c>
      <c r="AC62" t="str">
        <f>IFERROR(__xludf.DUMMYFUNCTION("""COMPUTED_VALUE"""),"")</f>
        <v/>
      </c>
      <c r="AD62" t="str">
        <f>IFERROR(__xludf.DUMMYFUNCTION("""COMPUTED_VALUE"""),"Unsure")</f>
        <v>Unsure</v>
      </c>
      <c r="AE62" t="str">
        <f>IFERROR(__xludf.DUMMYFUNCTION("""COMPUTED_VALUE"""),"Unsure")</f>
        <v>Unsure</v>
      </c>
      <c r="AF62" t="str">
        <f>IFERROR(__xludf.DUMMYFUNCTION("""COMPUTED_VALUE"""),"Unsure")</f>
        <v>Unsure</v>
      </c>
      <c r="AG62" s="78" t="str">
        <f>IFERROR(__xludf.DUMMYFUNCTION("""COMPUTED_VALUE"""),"https://ieeeauthorcenter.ieee.org/publishing-ethics/guidelines-and-policies/policy-posting-your-article/")</f>
        <v>https://ieeeauthorcenter.ieee.org/publishing-ethics/guidelines-and-policies/policy-posting-your-article/</v>
      </c>
      <c r="AH62" t="str">
        <f>IFERROR(__xludf.DUMMYFUNCTION("""COMPUTED_VALUE"""),"First submission only (before peer review)")</f>
        <v>First submission only (before peer review)</v>
      </c>
      <c r="AI62" t="str">
        <f>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2" t="str">
        <f>IFERROR(__xludf.DUMMYFUNCTION("""COMPUTED_VALUE"""),"Not specified")</f>
        <v>Not specified</v>
      </c>
      <c r="AK62" t="str">
        <f>IFERROR(__xludf.DUMMYFUNCTION("""COMPUTED_VALUE"""),"")</f>
        <v/>
      </c>
      <c r="AL62" t="str">
        <f>IFERROR(__xludf.DUMMYFUNCTION("""COMPUTED_VALUE"""),"")</f>
        <v/>
      </c>
      <c r="AM62" t="str">
        <f>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2" t="str">
        <f>IFERROR(__xludf.DUMMYFUNCTION("""COMPUTED_VALUE"""),"")</f>
        <v/>
      </c>
      <c r="AO62" t="str">
        <f>IFERROR(__xludf.DUMMYFUNCTION("""COMPUTED_VALUE"""),"")</f>
        <v/>
      </c>
      <c r="AP62" t="str">
        <f>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2" t="str">
        <f>IFERROR(__xludf.DUMMYFUNCTION("""COMPUTED_VALUE"""),"")</f>
        <v/>
      </c>
      <c r="AR62" t="str">
        <f>IFERROR(__xludf.DUMMYFUNCTION("""COMPUTED_VALUE"""),"")</f>
        <v/>
      </c>
    </row>
    <row r="63">
      <c r="A63" t="str">
        <f>IFERROR(__xludf.DUMMYFUNCTION("""COMPUTED_VALUE"""),"SR")</f>
        <v>SR</v>
      </c>
      <c r="B63" t="str">
        <f>IFERROR(__xludf.DUMMYFUNCTION("""COMPUTED_VALUE"""),"")</f>
        <v/>
      </c>
      <c r="C63" t="str">
        <f>IFERROR(__xludf.DUMMYFUNCTION("""COMPUTED_VALUE"""),"NP")</f>
        <v>NP</v>
      </c>
      <c r="D63" s="36">
        <f>IFERROR(__xludf.DUMMYFUNCTION("""COMPUTED_VALUE"""),43575.0)</f>
        <v>43575</v>
      </c>
      <c r="E63" t="str">
        <f>IFERROR(__xludf.DUMMYFUNCTION("""COMPUTED_VALUE"""),"JP")</f>
        <v>JP</v>
      </c>
      <c r="F63" s="36">
        <f>IFERROR(__xludf.DUMMYFUNCTION("""COMPUTED_VALUE"""),43581.0)</f>
        <v>43581</v>
      </c>
      <c r="G63" t="str">
        <f>IFERROR(__xludf.DUMMYFUNCTION("""COMPUTED_VALUE"""),"")</f>
        <v/>
      </c>
      <c r="H63" t="str">
        <f>IFERROR(__xludf.DUMMYFUNCTION("""COMPUTED_VALUE"""),"0885-8993")</f>
        <v>0885-8993</v>
      </c>
      <c r="I63" t="str">
        <f>IFERROR(__xludf.DUMMYFUNCTION("""COMPUTED_VALUE"""),"IEEE Transactions on Power Electronics")</f>
        <v>IEEE Transactions on Power Electronics</v>
      </c>
      <c r="J63" t="str">
        <f>IFERROR(__xludf.DUMMYFUNCTION("""COMPUTED_VALUE"""),"Engineering &amp; Computer Science")</f>
        <v>Engineering &amp; Computer Science</v>
      </c>
      <c r="K63" t="str">
        <f>IFERROR(__xludf.DUMMYFUNCTION("""COMPUTED_VALUE"""),"")</f>
        <v/>
      </c>
      <c r="L63" t="str">
        <f>IFERROR(__xludf.DUMMYFUNCTION("""COMPUTED_VALUE"""),"Single blind")</f>
        <v>Single blind</v>
      </c>
      <c r="M63" s="78" t="str">
        <f>IFERROR(__xludf.DUMMYFUNCTION("""COMPUTED_VALUE"""),"https://ieeeauthorcenter.ieee.org/peer-review-at-ieee/ethics-in-peer-review/")</f>
        <v>https://ieeeauthorcenter.ieee.org/peer-review-at-ieee/ethics-in-peer-review/</v>
      </c>
      <c r="N63" t="str">
        <f>IFERROR(__xludf.DUMMYFUNCTION("""COMPUTED_VALUE"""),"")</f>
        <v/>
      </c>
      <c r="O63" t="str">
        <f>IFERROR(__xludf.DUMMYFUNCTION("""COMPUTED_VALUE"""),"")</f>
        <v/>
      </c>
      <c r="P63" t="str">
        <f>IFERROR(__xludf.DUMMYFUNCTION("""COMPUTED_VALUE"""),"Unsure")</f>
        <v>Unsure</v>
      </c>
      <c r="Q63" t="str">
        <f>IFERROR(__xludf.DUMMYFUNCTION("""COMPUTED_VALUE"""),"")</f>
        <v/>
      </c>
      <c r="R63" t="str">
        <f>IFERROR(__xludf.DUMMYFUNCTION("""COMPUTED_VALUE"""),"")</f>
        <v/>
      </c>
      <c r="S63" t="str">
        <f>IFERROR(__xludf.DUMMYFUNCTION("""COMPUTED_VALUE"""),"Not specified")</f>
        <v>Not specified</v>
      </c>
      <c r="T63" t="str">
        <f>IFERROR(__xludf.DUMMYFUNCTION("""COMPUTED_VALUE"""),"Not specified")</f>
        <v>Not specified</v>
      </c>
      <c r="U63" t="str">
        <f>IFERROR(__xludf.DUMMYFUNCTION("""COMPUTED_VALUE"""),"Not specified")</f>
        <v>Not specified</v>
      </c>
      <c r="V63" t="str">
        <f>IFERROR(__xludf.DUMMYFUNCTION("""COMPUTED_VALUE"""),"Not specified")</f>
        <v>Not specified</v>
      </c>
      <c r="W63" t="str">
        <f>IFERROR(__xludf.DUMMYFUNCTION("""COMPUTED_VALUE"""),"No")</f>
        <v>No</v>
      </c>
      <c r="X63" t="str">
        <f>IFERROR(__xludf.DUMMYFUNCTION("""COMPUTED_VALUE"""),"No")</f>
        <v>No</v>
      </c>
      <c r="Y63" t="str">
        <f>IFERROR(__xludf.DUMMYFUNCTION("""COMPUTED_VALUE"""),"Not specified")</f>
        <v>Not specified</v>
      </c>
      <c r="Z63" t="str">
        <f>IFERROR(__xludf.DUMMYFUNCTION("""COMPUTED_VALUE"""),"Not specified")</f>
        <v>Not specified</v>
      </c>
      <c r="AA63" t="str">
        <f>IFERROR(__xludf.DUMMYFUNCTION("""COMPUTED_VALUE"""),"")</f>
        <v/>
      </c>
      <c r="AB63" t="str">
        <f>IFERROR(__xludf.DUMMYFUNCTION("""COMPUTED_VALUE"""),"")</f>
        <v/>
      </c>
      <c r="AC63" t="str">
        <f>IFERROR(__xludf.DUMMYFUNCTION("""COMPUTED_VALUE"""),"")</f>
        <v/>
      </c>
      <c r="AD63" t="str">
        <f>IFERROR(__xludf.DUMMYFUNCTION("""COMPUTED_VALUE"""),"Unsure")</f>
        <v>Unsure</v>
      </c>
      <c r="AE63" t="str">
        <f>IFERROR(__xludf.DUMMYFUNCTION("""COMPUTED_VALUE"""),"Unsure")</f>
        <v>Unsure</v>
      </c>
      <c r="AF63" t="str">
        <f>IFERROR(__xludf.DUMMYFUNCTION("""COMPUTED_VALUE"""),"Unsure")</f>
        <v>Unsure</v>
      </c>
      <c r="AG63" s="78" t="str">
        <f>IFERROR(__xludf.DUMMYFUNCTION("""COMPUTED_VALUE"""),"https://ieeeauthorcenter.ieee.org/publishing-ethics/guidelines-and-policies/policy-posting-your-article/")</f>
        <v>https://ieeeauthorcenter.ieee.org/publishing-ethics/guidelines-and-policies/policy-posting-your-article/</v>
      </c>
      <c r="AH63" t="str">
        <f>IFERROR(__xludf.DUMMYFUNCTION("""COMPUTED_VALUE"""),"First submission only (before peer review)")</f>
        <v>First submission only (before peer review)</v>
      </c>
      <c r="AI63" t="str">
        <f>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3" t="str">
        <f>IFERROR(__xludf.DUMMYFUNCTION("""COMPUTED_VALUE"""),"Not specified")</f>
        <v>Not specified</v>
      </c>
      <c r="AK63" t="str">
        <f>IFERROR(__xludf.DUMMYFUNCTION("""COMPUTED_VALUE"""),"Unsure")</f>
        <v>Unsure</v>
      </c>
      <c r="AL63" t="str">
        <f>IFERROR(__xludf.DUMMYFUNCTION("""COMPUTED_VALUE"""),"")</f>
        <v/>
      </c>
      <c r="AM63" t="str">
        <f>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3" t="str">
        <f>IFERROR(__xludf.DUMMYFUNCTION("""COMPUTED_VALUE"""),"")</f>
        <v/>
      </c>
      <c r="AO63" t="str">
        <f>IFERROR(__xludf.DUMMYFUNCTION("""COMPUTED_VALUE"""),"")</f>
        <v/>
      </c>
      <c r="AP63" t="str">
        <f>IFERROR(__xludf.DUMMYFUNCTION("""COMPUTED_VALUE"""),"")</f>
        <v/>
      </c>
      <c r="AQ63" t="str">
        <f>IFERROR(__xludf.DUMMYFUNCTION("""COMPUTED_VALUE"""),"")</f>
        <v/>
      </c>
      <c r="AR63" t="str">
        <f>IFERROR(__xludf.DUMMYFUNCTION("""COMPUTED_VALUE"""),"")</f>
        <v/>
      </c>
    </row>
    <row r="64">
      <c r="A64" t="str">
        <f>IFERROR(__xludf.DUMMYFUNCTION("""COMPUTED_VALUE"""),"SR")</f>
        <v>SR</v>
      </c>
      <c r="B64" t="str">
        <f>IFERROR(__xludf.DUMMYFUNCTION("""COMPUTED_VALUE"""),"")</f>
        <v/>
      </c>
      <c r="C64" t="str">
        <f>IFERROR(__xludf.DUMMYFUNCTION("""COMPUTED_VALUE"""),"NP")</f>
        <v>NP</v>
      </c>
      <c r="D64" s="36">
        <f>IFERROR(__xludf.DUMMYFUNCTION("""COMPUTED_VALUE"""),43575.0)</f>
        <v>43575</v>
      </c>
      <c r="E64" t="str">
        <f>IFERROR(__xludf.DUMMYFUNCTION("""COMPUTED_VALUE"""),"JP")</f>
        <v>JP</v>
      </c>
      <c r="F64" s="36">
        <f>IFERROR(__xludf.DUMMYFUNCTION("""COMPUTED_VALUE"""),43581.0)</f>
        <v>43581</v>
      </c>
      <c r="G64" t="str">
        <f>IFERROR(__xludf.DUMMYFUNCTION("""COMPUTED_VALUE"""),"")</f>
        <v/>
      </c>
      <c r="H64" t="str">
        <f>IFERROR(__xludf.DUMMYFUNCTION("""COMPUTED_VALUE"""),"1053-587X")</f>
        <v>1053-587X</v>
      </c>
      <c r="I64" t="str">
        <f>IFERROR(__xludf.DUMMYFUNCTION("""COMPUTED_VALUE"""),"IEEE Transactions on Signal Processing")</f>
        <v>IEEE Transactions on Signal Processing</v>
      </c>
      <c r="J64" t="str">
        <f>IFERROR(__xludf.DUMMYFUNCTION("""COMPUTED_VALUE"""),"Physics &amp; Mathematics")</f>
        <v>Physics &amp; Mathematics</v>
      </c>
      <c r="K64" t="str">
        <f>IFERROR(__xludf.DUMMYFUNCTION("""COMPUTED_VALUE"""),"")</f>
        <v/>
      </c>
      <c r="L64" t="str">
        <f>IFERROR(__xludf.DUMMYFUNCTION("""COMPUTED_VALUE"""),"Single blind")</f>
        <v>Single blind</v>
      </c>
      <c r="M64" s="78" t="str">
        <f>IFERROR(__xludf.DUMMYFUNCTION("""COMPUTED_VALUE"""),"https://ieeeauthorcenter.ieee.org/peer-review-at-ieee/ethics-in-peer-review/")</f>
        <v>https://ieeeauthorcenter.ieee.org/peer-review-at-ieee/ethics-in-peer-review/</v>
      </c>
      <c r="N64" t="str">
        <f>IFERROR(__xludf.DUMMYFUNCTION("""COMPUTED_VALUE"""),"")</f>
        <v/>
      </c>
      <c r="O64" t="str">
        <f>IFERROR(__xludf.DUMMYFUNCTION("""COMPUTED_VALUE"""),"")</f>
        <v/>
      </c>
      <c r="P64" t="str">
        <f>IFERROR(__xludf.DUMMYFUNCTION("""COMPUTED_VALUE"""),"Unsure")</f>
        <v>Unsure</v>
      </c>
      <c r="Q64" t="str">
        <f>IFERROR(__xludf.DUMMYFUNCTION("""COMPUTED_VALUE"""),"")</f>
        <v/>
      </c>
      <c r="R64" t="str">
        <f>IFERROR(__xludf.DUMMYFUNCTION("""COMPUTED_VALUE"""),"")</f>
        <v/>
      </c>
      <c r="S64" t="str">
        <f>IFERROR(__xludf.DUMMYFUNCTION("""COMPUTED_VALUE"""),"Not specified")</f>
        <v>Not specified</v>
      </c>
      <c r="T64" t="str">
        <f>IFERROR(__xludf.DUMMYFUNCTION("""COMPUTED_VALUE"""),"Not specified")</f>
        <v>Not specified</v>
      </c>
      <c r="U64" t="str">
        <f>IFERROR(__xludf.DUMMYFUNCTION("""COMPUTED_VALUE"""),"Not specified")</f>
        <v>Not specified</v>
      </c>
      <c r="V64" t="str">
        <f>IFERROR(__xludf.DUMMYFUNCTION("""COMPUTED_VALUE"""),"Not specified")</f>
        <v>Not specified</v>
      </c>
      <c r="W64" t="str">
        <f>IFERROR(__xludf.DUMMYFUNCTION("""COMPUTED_VALUE"""),"No")</f>
        <v>No</v>
      </c>
      <c r="X64" t="str">
        <f>IFERROR(__xludf.DUMMYFUNCTION("""COMPUTED_VALUE"""),"No")</f>
        <v>No</v>
      </c>
      <c r="Y64" t="str">
        <f>IFERROR(__xludf.DUMMYFUNCTION("""COMPUTED_VALUE"""),"Not specified")</f>
        <v>Not specified</v>
      </c>
      <c r="Z64" t="str">
        <f>IFERROR(__xludf.DUMMYFUNCTION("""COMPUTED_VALUE"""),"Not specified")</f>
        <v>Not specified</v>
      </c>
      <c r="AA64" t="str">
        <f>IFERROR(__xludf.DUMMYFUNCTION("""COMPUTED_VALUE"""),"")</f>
        <v/>
      </c>
      <c r="AB64" t="str">
        <f>IFERROR(__xludf.DUMMYFUNCTION("""COMPUTED_VALUE"""),"Papers sent to you for review are confidential. However, requesting the opinion of a single colleague may be appropriate in some circumstances. Please consult your associate editor if you’d like to the input of outside help for the review.")</f>
        <v>Papers sent to you for review are confidential. However, requesting the opinion of a single colleague may be appropriate in some circumstances. Please consult your associate editor if you’d like to the input of outside help for the review.</v>
      </c>
      <c r="AC64" s="78" t="str">
        <f>IFERROR(__xludf.DUMMYFUNCTION("""COMPUTED_VALUE"""),"https://signalprocessingsociety.org/publications-resources/publications-faq")</f>
        <v>https://signalprocessingsociety.org/publications-resources/publications-faq</v>
      </c>
      <c r="AD64" t="str">
        <f>IFERROR(__xludf.DUMMYFUNCTION("""COMPUTED_VALUE"""),"Unsure")</f>
        <v>Unsure</v>
      </c>
      <c r="AE64" t="str">
        <f>IFERROR(__xludf.DUMMYFUNCTION("""COMPUTED_VALUE"""),"Unsure")</f>
        <v>Unsure</v>
      </c>
      <c r="AF64" t="str">
        <f>IFERROR(__xludf.DUMMYFUNCTION("""COMPUTED_VALUE"""),"Unsure")</f>
        <v>Unsure</v>
      </c>
      <c r="AG64" s="78" t="str">
        <f>IFERROR(__xludf.DUMMYFUNCTION("""COMPUTED_VALUE"""),"https://ieeeauthorcenter.ieee.org/publishing-ethics/guidelines-and-policies/policy-posting-your-article/")</f>
        <v>https://ieeeauthorcenter.ieee.org/publishing-ethics/guidelines-and-policies/policy-posting-your-article/</v>
      </c>
      <c r="AH64" t="str">
        <f>IFERROR(__xludf.DUMMYFUNCTION("""COMPUTED_VALUE"""),"First submission only (before peer review)")</f>
        <v>First submission only (before peer review)</v>
      </c>
      <c r="AI64" t="str">
        <f>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4" t="str">
        <f>IFERROR(__xludf.DUMMYFUNCTION("""COMPUTED_VALUE"""),"Not specified")</f>
        <v>Not specified</v>
      </c>
      <c r="AK64" t="str">
        <f>IFERROR(__xludf.DUMMYFUNCTION("""COMPUTED_VALUE"""),"Unsure")</f>
        <v>Unsure</v>
      </c>
      <c r="AL64" t="str">
        <f>IFERROR(__xludf.DUMMYFUNCTION("""COMPUTED_VALUE"""),"")</f>
        <v/>
      </c>
      <c r="AM64" t="str">
        <f>IFERROR(__xludf.DUMMYFUNCTION("""COMPUTED_VALUE"""),"")</f>
        <v/>
      </c>
      <c r="AN64" t="str">
        <f>IFERROR(__xludf.DUMMYFUNCTION("""COMPUTED_VALUE"""),"")</f>
        <v/>
      </c>
      <c r="AO64" t="str">
        <f>IFERROR(__xludf.DUMMYFUNCTION("""COMPUTED_VALUE"""),"")</f>
        <v/>
      </c>
      <c r="AP64" t="str">
        <f>IFERROR(__xludf.DUMMYFUNCTION("""COMPUTED_VALUE"""),"")</f>
        <v/>
      </c>
      <c r="AQ64" t="str">
        <f>IFERROR(__xludf.DUMMYFUNCTION("""COMPUTED_VALUE"""),"")</f>
        <v/>
      </c>
      <c r="AR64" t="str">
        <f>IFERROR(__xludf.DUMMYFUNCTION("""COMPUTED_VALUE"""),"")</f>
        <v/>
      </c>
    </row>
    <row r="65">
      <c r="A65" t="str">
        <f>IFERROR(__xludf.DUMMYFUNCTION("""COMPUTED_VALUE"""),"SR")</f>
        <v>SR</v>
      </c>
      <c r="B65" t="str">
        <f>IFERROR(__xludf.DUMMYFUNCTION("""COMPUTED_VALUE"""),"")</f>
        <v/>
      </c>
      <c r="C65" t="str">
        <f>IFERROR(__xludf.DUMMYFUNCTION("""COMPUTED_VALUE"""),"NP")</f>
        <v>NP</v>
      </c>
      <c r="D65" s="36">
        <f>IFERROR(__xludf.DUMMYFUNCTION("""COMPUTED_VALUE"""),43575.0)</f>
        <v>43575</v>
      </c>
      <c r="E65" t="str">
        <f>IFERROR(__xludf.DUMMYFUNCTION("""COMPUTED_VALUE"""),"JP")</f>
        <v>JP</v>
      </c>
      <c r="F65" s="36">
        <f>IFERROR(__xludf.DUMMYFUNCTION("""COMPUTED_VALUE"""),43581.0)</f>
        <v>43581</v>
      </c>
      <c r="G65" t="str">
        <f>IFERROR(__xludf.DUMMYFUNCTION("""COMPUTED_VALUE"""),"")</f>
        <v/>
      </c>
      <c r="H65" t="str">
        <f>IFERROR(__xludf.DUMMYFUNCTION("""COMPUTED_VALUE"""),"1074-7613")</f>
        <v>1074-7613</v>
      </c>
      <c r="I65" t="str">
        <f>IFERROR(__xludf.DUMMYFUNCTION("""COMPUTED_VALUE"""),"Immunity")</f>
        <v>Immunity</v>
      </c>
      <c r="J65" t="str">
        <f>IFERROR(__xludf.DUMMYFUNCTION("""COMPUTED_VALUE"""),"Health &amp; Medical Sciences")</f>
        <v>Health &amp; Medical Sciences</v>
      </c>
      <c r="K65" t="str">
        <f>IFERROR(__xludf.DUMMYFUNCTION("""COMPUTED_VALUE"""),"Elsevier")</f>
        <v>Elsevier</v>
      </c>
      <c r="L65" t="str">
        <f>IFERROR(__xludf.DUMMYFUNCTION("""COMPUTED_VALUE"""),"Single blind")</f>
        <v>Single blind</v>
      </c>
      <c r="M65" s="78" t="str">
        <f>IFERROR(__xludf.DUMMYFUNCTION("""COMPUTED_VALUE"""),"https://www.cell.com/reviewers")</f>
        <v>https://www.cell.com/reviewers</v>
      </c>
      <c r="N65" t="str">
        <f>IFERROR(__xludf.DUMMYFUNCTION("""COMPUTED_VALUE"""),"")</f>
        <v/>
      </c>
      <c r="O65" t="str">
        <f>IFERROR(__xludf.DUMMYFUNCTION("""COMPUTED_VALUE"""),"")</f>
        <v/>
      </c>
      <c r="P65" t="str">
        <f>IFERROR(__xludf.DUMMYFUNCTION("""COMPUTED_VALUE"""),"Unsure")</f>
        <v>Unsure</v>
      </c>
      <c r="Q65" s="78" t="str">
        <f>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65" t="str">
        <f>IFERROR(__xludf.DUMMYFUNCTION("""COMPUTED_VALUE"""),"https://www.cell.com/immunity/authors
https://www.cell.com/immunity/articletransfer")</f>
        <v>https://www.cell.com/immunity/authors
https://www.cell.com/immunity/articletransfer</v>
      </c>
      <c r="S65" t="str">
        <f>IFERROR(__xludf.DUMMYFUNCTION("""COMPUTED_VALUE"""),"Not specified")</f>
        <v>Not specified</v>
      </c>
      <c r="T65" t="str">
        <f>IFERROR(__xludf.DUMMYFUNCTION("""COMPUTED_VALUE"""),"Not specified")</f>
        <v>Not specified</v>
      </c>
      <c r="U65" t="str">
        <f>IFERROR(__xludf.DUMMYFUNCTION("""COMPUTED_VALUE"""),"Not specified")</f>
        <v>Not specified</v>
      </c>
      <c r="V65" t="str">
        <f>IFERROR(__xludf.DUMMYFUNCTION("""COMPUTED_VALUE"""),"Not specified")</f>
        <v>Not specified</v>
      </c>
      <c r="W65" t="str">
        <f>IFERROR(__xludf.DUMMYFUNCTION("""COMPUTED_VALUE"""),"No")</f>
        <v>No</v>
      </c>
      <c r="X65" t="str">
        <f>IFERROR(__xludf.DUMMYFUNCTION("""COMPUTED_VALUE"""),"No")</f>
        <v>No</v>
      </c>
      <c r="Y65" t="str">
        <f>IFERROR(__xludf.DUMMYFUNCTION("""COMPUTED_VALUE"""),"Not specified")</f>
        <v>Not specified</v>
      </c>
      <c r="Z65" t="str">
        <f>IFERROR(__xludf.DUMMYFUNCTION("""COMPUTED_VALUE"""),"Not specified")</f>
        <v>Not specified</v>
      </c>
      <c r="AA65" t="str">
        <f>IFERROR(__xludf.DUMMYFUNCTION("""COMPUTED_VALUE"""),"")</f>
        <v/>
      </c>
      <c r="AB65" t="str">
        <f>IFERROR(__xludf.DUMMYFUNCTION("""COMPUTED_VALUE"""),"Not specified")</f>
        <v>Not specified</v>
      </c>
      <c r="AC65" t="str">
        <f>IFERROR(__xludf.DUMMYFUNCTION("""COMPUTED_VALUE"""),"")</f>
        <v/>
      </c>
      <c r="AD65" t="str">
        <f>IFERROR(__xludf.DUMMYFUNCTION("""COMPUTED_VALUE"""),"Unsure")</f>
        <v>Unsure</v>
      </c>
      <c r="AE65" t="str">
        <f>IFERROR(__xludf.DUMMYFUNCTION("""COMPUTED_VALUE"""),"Unsure")</f>
        <v>Unsure</v>
      </c>
      <c r="AF65" t="str">
        <f>IFERROR(__xludf.DUMMYFUNCTION("""COMPUTED_VALUE"""),"Unsure")</f>
        <v>Unsure</v>
      </c>
      <c r="AG65" s="78" t="str">
        <f>IFERROR(__xludf.DUMMYFUNCTION("""COMPUTED_VALUE"""),"https://www.cell.com/immunity/authors")</f>
        <v>https://www.cell.com/immunity/authors</v>
      </c>
      <c r="AH65" t="str">
        <f>IFERROR(__xludf.DUMMYFUNCTION("""COMPUTED_VALUE"""),"First submission only (before peer review)")</f>
        <v>First submission only (before peer review)</v>
      </c>
      <c r="AI65" t="str">
        <f>IFERROR(__xludf.DUMMYFUNCTION("""COMPUTED_VALUE"""),"We will consider papers previously posted on preprint servers like arXiv, bioRxiv, BioRN, ChemRxiv, or ChemRN.")</f>
        <v>We will consider papers previously posted on preprint servers like arXiv, bioRxiv, BioRN, ChemRxiv, or ChemRN.</v>
      </c>
      <c r="AJ65" t="str">
        <f>IFERROR(__xludf.DUMMYFUNCTION("""COMPUTED_VALUE"""),"Other: References should include only articles that are published or in press.")</f>
        <v>Other: References should include only articles that are published or in press.</v>
      </c>
      <c r="AK65" t="str">
        <f>IFERROR(__xludf.DUMMYFUNCTION("""COMPUTED_VALUE"""),"Unsure")</f>
        <v>Unsure</v>
      </c>
      <c r="AL65" t="str">
        <f>IFERROR(__xludf.DUMMYFUNCTION("""COMPUTED_VALUE"""),"We want to make sure that your paper gets the attention it deserves, so we work with the popular and scientific media to promote coverage of your paper. As part of this process, we ask that you refrain from talking to the media until one week prior to the"&amp;" online publication date of the paper. If you do speak with the media at that time, please inform them that the paper is under media embargo until 11 AM US east coast time on the date of publication. We encourage you to present your work at scientific mee"&amp;"tings, but we ask that you not discuss the findings with the media beyond the formal presentation. This policy covers work that is intended for submission, currently under consideration, or in press at a Cell Press journal. Additionally, before your paper"&amp;" is published, please do not discuss it or cite it as in press in review articles. However, you can discuss your embargoed paper with other scientific journals if the paper will be covered in review or news material that is intended to coincide or follow "&amp;"publication of your paper.")</f>
        <v>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v>
      </c>
      <c r="AM65" t="str">
        <f>IFERROR(__xludf.DUMMYFUNCTION("""COMPUTED_VALUE"""),"")</f>
        <v/>
      </c>
      <c r="AN65" t="str">
        <f>IFERROR(__xludf.DUMMYFUNCTION("""COMPUTED_VALUE"""),"")</f>
        <v/>
      </c>
      <c r="AO65" t="str">
        <f>IFERROR(__xludf.DUMMYFUNCTION("""COMPUTED_VALUE"""),"")</f>
        <v/>
      </c>
      <c r="AP65" t="str">
        <f>IFERROR(__xludf.DUMMYFUNCTION("""COMPUTED_VALUE"""),"Media coverage policy (which also applies to preprints) https://www.cell.com/immunity/authors?code=cell-site#prepub")</f>
        <v>Media coverage policy (which also applies to preprints) https://www.cell.com/immunity/authors?code=cell-site#prepub</v>
      </c>
      <c r="AQ65" t="str">
        <f>IFERROR(__xludf.DUMMYFUNCTION("""COMPUTED_VALUE"""),"")</f>
        <v/>
      </c>
      <c r="AR65" t="str">
        <f>IFERROR(__xludf.DUMMYFUNCTION("""COMPUTED_VALUE"""),"")</f>
        <v/>
      </c>
    </row>
    <row r="66">
      <c r="A66" t="str">
        <f>IFERROR(__xludf.DUMMYFUNCTION("""COMPUTED_VALUE"""),"SR")</f>
        <v>SR</v>
      </c>
      <c r="B66" t="str">
        <f>IFERROR(__xludf.DUMMYFUNCTION("""COMPUTED_VALUE"""),"")</f>
        <v/>
      </c>
      <c r="C66" t="str">
        <f>IFERROR(__xludf.DUMMYFUNCTION("""COMPUTED_VALUE"""),"NP")</f>
        <v>NP</v>
      </c>
      <c r="D66" s="36">
        <f>IFERROR(__xludf.DUMMYFUNCTION("""COMPUTED_VALUE"""),43575.0)</f>
        <v>43575</v>
      </c>
      <c r="E66" t="str">
        <f>IFERROR(__xludf.DUMMYFUNCTION("""COMPUTED_VALUE"""),"JP")</f>
        <v>JP</v>
      </c>
      <c r="F66" s="36">
        <f>IFERROR(__xludf.DUMMYFUNCTION("""COMPUTED_VALUE"""),43581.0)</f>
        <v>43581</v>
      </c>
      <c r="G66" t="str">
        <f>IFERROR(__xludf.DUMMYFUNCTION("""COMPUTED_VALUE"""),"")</f>
        <v/>
      </c>
      <c r="H66" t="str">
        <f>IFERROR(__xludf.DUMMYFUNCTION("""COMPUTED_VALUE"""),"1932-8036")</f>
        <v>1932-8036</v>
      </c>
      <c r="I66" t="str">
        <f>IFERROR(__xludf.DUMMYFUNCTION("""COMPUTED_VALUE"""),"International Journal of Communication")</f>
        <v>International Journal of Communication</v>
      </c>
      <c r="J66" t="str">
        <f>IFERROR(__xludf.DUMMYFUNCTION("""COMPUTED_VALUE"""),"Humanities, Literature &amp; Arts")</f>
        <v>Humanities, Literature &amp; Arts</v>
      </c>
      <c r="K66" t="str">
        <f>IFERROR(__xludf.DUMMYFUNCTION("""COMPUTED_VALUE"""),"University of Southern California")</f>
        <v>University of Southern California</v>
      </c>
      <c r="L66" t="str">
        <f>IFERROR(__xludf.DUMMYFUNCTION("""COMPUTED_VALUE"""),"Unsure")</f>
        <v>Unsure</v>
      </c>
      <c r="M66" t="str">
        <f>IFERROR(__xludf.DUMMYFUNCTION("""COMPUTED_VALUE"""),"")</f>
        <v/>
      </c>
      <c r="N66" t="str">
        <f>IFERROR(__xludf.DUMMYFUNCTION("""COMPUTED_VALUE"""),"")</f>
        <v/>
      </c>
      <c r="O66" t="str">
        <f>IFERROR(__xludf.DUMMYFUNCTION("""COMPUTED_VALUE"""),"")</f>
        <v/>
      </c>
      <c r="P66" t="str">
        <f>IFERROR(__xludf.DUMMYFUNCTION("""COMPUTED_VALUE"""),"Unsure")</f>
        <v>Unsure</v>
      </c>
      <c r="Q66" t="str">
        <f>IFERROR(__xludf.DUMMYFUNCTION("""COMPUTED_VALUE"""),"")</f>
        <v/>
      </c>
      <c r="R66" t="str">
        <f>IFERROR(__xludf.DUMMYFUNCTION("""COMPUTED_VALUE"""),"")</f>
        <v/>
      </c>
      <c r="S66" t="str">
        <f>IFERROR(__xludf.DUMMYFUNCTION("""COMPUTED_VALUE"""),"Not specified")</f>
        <v>Not specified</v>
      </c>
      <c r="T66" t="str">
        <f>IFERROR(__xludf.DUMMYFUNCTION("""COMPUTED_VALUE"""),"Not specified")</f>
        <v>Not specified</v>
      </c>
      <c r="U66" t="str">
        <f>IFERROR(__xludf.DUMMYFUNCTION("""COMPUTED_VALUE"""),"Not specified")</f>
        <v>Not specified</v>
      </c>
      <c r="V66" t="str">
        <f>IFERROR(__xludf.DUMMYFUNCTION("""COMPUTED_VALUE"""),"Not specified")</f>
        <v>Not specified</v>
      </c>
      <c r="W66" t="str">
        <f>IFERROR(__xludf.DUMMYFUNCTION("""COMPUTED_VALUE"""),"Not specified")</f>
        <v>Not specified</v>
      </c>
      <c r="X66" t="str">
        <f>IFERROR(__xludf.DUMMYFUNCTION("""COMPUTED_VALUE"""),"Not specified")</f>
        <v>Not specified</v>
      </c>
      <c r="Y66" t="str">
        <f>IFERROR(__xludf.DUMMYFUNCTION("""COMPUTED_VALUE"""),"Not specified")</f>
        <v>Not specified</v>
      </c>
      <c r="Z66" t="str">
        <f>IFERROR(__xludf.DUMMYFUNCTION("""COMPUTED_VALUE"""),"Not specified")</f>
        <v>Not specified</v>
      </c>
      <c r="AA66" t="str">
        <f>IFERROR(__xludf.DUMMYFUNCTION("""COMPUTED_VALUE"""),"")</f>
        <v/>
      </c>
      <c r="AB66" t="str">
        <f>IFERROR(__xludf.DUMMYFUNCTION("""COMPUTED_VALUE"""),"Not specified")</f>
        <v>Not specified</v>
      </c>
      <c r="AC66" t="str">
        <f>IFERROR(__xludf.DUMMYFUNCTION("""COMPUTED_VALUE"""),"")</f>
        <v/>
      </c>
      <c r="AD66" t="str">
        <f>IFERROR(__xludf.DUMMYFUNCTION("""COMPUTED_VALUE"""),"Unsure")</f>
        <v>Unsure</v>
      </c>
      <c r="AE66" t="str">
        <f>IFERROR(__xludf.DUMMYFUNCTION("""COMPUTED_VALUE"""),"Unsure")</f>
        <v>Unsure</v>
      </c>
      <c r="AF66" t="str">
        <f>IFERROR(__xludf.DUMMYFUNCTION("""COMPUTED_VALUE"""),"Unsure")</f>
        <v>Unsure</v>
      </c>
      <c r="AG66" t="str">
        <f>IFERROR(__xludf.DUMMYFUNCTION("""COMPUTED_VALUE"""),"")</f>
        <v/>
      </c>
      <c r="AH66" t="str">
        <f>IFERROR(__xludf.DUMMYFUNCTION("""COMPUTED_VALUE"""),"No preprint policy")</f>
        <v>No preprint policy</v>
      </c>
      <c r="AI66" t="str">
        <f>IFERROR(__xludf.DUMMYFUNCTION("""COMPUTED_VALUE"""),"")</f>
        <v/>
      </c>
      <c r="AJ66" t="str">
        <f>IFERROR(__xludf.DUMMYFUNCTION("""COMPUTED_VALUE"""),"Not specified")</f>
        <v>Not specified</v>
      </c>
      <c r="AK66" t="str">
        <f>IFERROR(__xludf.DUMMYFUNCTION("""COMPUTED_VALUE"""),"Unsure")</f>
        <v>Unsure</v>
      </c>
      <c r="AL66" t="str">
        <f>IFERROR(__xludf.DUMMYFUNCTION("""COMPUTED_VALUE"""),"")</f>
        <v/>
      </c>
      <c r="AM66" t="str">
        <f>IFERROR(__xludf.DUMMYFUNCTION("""COMPUTED_VALUE"""),"")</f>
        <v/>
      </c>
      <c r="AN66" t="str">
        <f>IFERROR(__xludf.DUMMYFUNCTION("""COMPUTED_VALUE"""),"")</f>
        <v/>
      </c>
      <c r="AO66" t="str">
        <f>IFERROR(__xludf.DUMMYFUNCTION("""COMPUTED_VALUE"""),"")</f>
        <v/>
      </c>
      <c r="AP66" t="str">
        <f>IFERROR(__xludf.DUMMYFUNCTION("""COMPUTED_VALUE"""),"")</f>
        <v/>
      </c>
      <c r="AQ66" t="str">
        <f>IFERROR(__xludf.DUMMYFUNCTION("""COMPUTED_VALUE"""),"")</f>
        <v/>
      </c>
      <c r="AR66" t="str">
        <f>IFERROR(__xludf.DUMMYFUNCTION("""COMPUTED_VALUE"""),"")</f>
        <v/>
      </c>
    </row>
    <row r="67">
      <c r="A67" t="str">
        <f>IFERROR(__xludf.DUMMYFUNCTION("""COMPUTED_VALUE"""),"SR")</f>
        <v>SR</v>
      </c>
      <c r="B67" t="str">
        <f>IFERROR(__xludf.DUMMYFUNCTION("""COMPUTED_VALUE"""),"")</f>
        <v/>
      </c>
      <c r="C67" t="str">
        <f>IFERROR(__xludf.DUMMYFUNCTION("""COMPUTED_VALUE"""),"JP")</f>
        <v>JP</v>
      </c>
      <c r="D67" s="36">
        <f>IFERROR(__xludf.DUMMYFUNCTION("""COMPUTED_VALUE"""),43572.0)</f>
        <v>43572</v>
      </c>
      <c r="E67" t="str">
        <f>IFERROR(__xludf.DUMMYFUNCTION("""COMPUTED_VALUE"""),"TRH")</f>
        <v>TRH</v>
      </c>
      <c r="F67" s="36">
        <f>IFERROR(__xludf.DUMMYFUNCTION("""COMPUTED_VALUE"""),43581.0)</f>
        <v>43581</v>
      </c>
      <c r="G67" t="str">
        <f>IFERROR(__xludf.DUMMYFUNCTION("""COMPUTED_VALUE"""),"")</f>
        <v/>
      </c>
      <c r="H67" t="str">
        <f>IFERROR(__xludf.DUMMYFUNCTION("""COMPUTED_VALUE"""),"0925-5273")</f>
        <v>0925-5273</v>
      </c>
      <c r="I67" t="str">
        <f>IFERROR(__xludf.DUMMYFUNCTION("""COMPUTED_VALUE"""),"International Journal of Production Economics")</f>
        <v>International Journal of Production Economics</v>
      </c>
      <c r="J67" t="str">
        <f>IFERROR(__xludf.DUMMYFUNCTION("""COMPUTED_VALUE"""),"Business, Economics &amp; Management")</f>
        <v>Business, Economics &amp; Management</v>
      </c>
      <c r="K67" t="str">
        <f>IFERROR(__xludf.DUMMYFUNCTION("""COMPUTED_VALUE"""),"Elsevier")</f>
        <v>Elsevier</v>
      </c>
      <c r="L67" t="str">
        <f>IFERROR(__xludf.DUMMYFUNCTION("""COMPUTED_VALUE"""),"Double blind")</f>
        <v>Double blind</v>
      </c>
      <c r="M67" s="78" t="str">
        <f>IFERROR(__xludf.DUMMYFUNCTION("""COMPUTED_VALUE"""),"https://www.elsevier.com/journals/international-journal-of-production-economics/0925-5273?generatepdf=true")</f>
        <v>https://www.elsevier.com/journals/international-journal-of-production-economics/0925-5273?generatepdf=true</v>
      </c>
      <c r="N67" t="str">
        <f>IFERROR(__xludf.DUMMYFUNCTION("""COMPUTED_VALUE"""),"Not found")</f>
        <v>Not found</v>
      </c>
      <c r="O67" s="78" t="str">
        <f>IFERROR(__xludf.DUMMYFUNCTION("""COMPUTED_VALUE"""),"https://www.elsevier.com/reviewers/role#RRP")</f>
        <v>https://www.elsevier.com/reviewers/role#RRP</v>
      </c>
      <c r="P67" t="str">
        <f>IFERROR(__xludf.DUMMYFUNCTION("""COMPUTED_VALUE"""),"Unsure")</f>
        <v>Unsure</v>
      </c>
      <c r="Q67"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67" s="78" t="str">
        <f>IFERROR(__xludf.DUMMYFUNCTION("""COMPUTED_VALUE"""),"https://www.elsevier.com/reviewers/what-is-peer-review")</f>
        <v>https://www.elsevier.com/reviewers/what-is-peer-review</v>
      </c>
      <c r="S67" t="str">
        <f>IFERROR(__xludf.DUMMYFUNCTION("""COMPUTED_VALUE"""),"No")</f>
        <v>No</v>
      </c>
      <c r="T67" t="str">
        <f>IFERROR(__xludf.DUMMYFUNCTION("""COMPUTED_VALUE"""),"No")</f>
        <v>No</v>
      </c>
      <c r="U67" t="str">
        <f>IFERROR(__xludf.DUMMYFUNCTION("""COMPUTED_VALUE"""),"No")</f>
        <v>No</v>
      </c>
      <c r="V67" t="str">
        <f>IFERROR(__xludf.DUMMYFUNCTION("""COMPUTED_VALUE"""),"No")</f>
        <v>No</v>
      </c>
      <c r="W67" t="str">
        <f>IFERROR(__xludf.DUMMYFUNCTION("""COMPUTED_VALUE"""),"No")</f>
        <v>No</v>
      </c>
      <c r="X67" t="str">
        <f>IFERROR(__xludf.DUMMYFUNCTION("""COMPUTED_VALUE"""),"No")</f>
        <v>No</v>
      </c>
      <c r="Y67" t="str">
        <f>IFERROR(__xludf.DUMMYFUNCTION("""COMPUTED_VALUE"""),"No")</f>
        <v>No</v>
      </c>
      <c r="Z67" t="str">
        <f>IFERROR(__xludf.DUMMYFUNCTION("""COMPUTED_VALUE"""),"No")</f>
        <v>No</v>
      </c>
      <c r="AA67" t="str">
        <f>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67"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67" s="78" t="str">
        <f>IFERROR(__xludf.DUMMYFUNCTION("""COMPUTED_VALUE"""),"https://www.elsevier.com/reviewers/how-to-review")</f>
        <v>https://www.elsevier.com/reviewers/how-to-review</v>
      </c>
      <c r="AD67" t="str">
        <f>IFERROR(__xludf.DUMMYFUNCTION("""COMPUTED_VALUE"""),"Unsure")</f>
        <v>Unsure</v>
      </c>
      <c r="AE67" t="str">
        <f>IFERROR(__xludf.DUMMYFUNCTION("""COMPUTED_VALUE"""),"Unsure")</f>
        <v>Unsure</v>
      </c>
      <c r="AF67" t="str">
        <f>IFERROR(__xludf.DUMMYFUNCTION("""COMPUTED_VALUE"""),"Unsure")</f>
        <v>Unsure</v>
      </c>
      <c r="AG67" s="78" t="str">
        <f>IFERROR(__xludf.DUMMYFUNCTION("""COMPUTED_VALUE"""),"https://www.elsevier.com/journals/international-journal-of-production-economics/0925-5273/guide-for-authors")</f>
        <v>https://www.elsevier.com/journals/international-journal-of-production-economics/0925-5273/guide-for-authors</v>
      </c>
      <c r="AH67" t="str">
        <f>IFERROR(__xludf.DUMMYFUNCTION("""COMPUTED_VALUE"""),"Unsure (preprints are allowed, but it's not clear what version)")</f>
        <v>Unsure (preprints are allowed, but it's not clear what version)</v>
      </c>
      <c r="AI67" t="str">
        <f>IFERROR(__xludf.DUMMYFUNCTION("""COMPUTED_VALUE"""),"A manuscript may have been published earlier in a different language, in a preliminary form as a Working Paper in a local university series, or in a PrePrint publication of a conference, etc. In all such cases, it is compulsory that the original publicati"&amp;"on is mentioned when submitting the manuscript.")</f>
        <v>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v>
      </c>
      <c r="AJ67" t="str">
        <f>IFERROR(__xludf.DUMMYFUNCTION("""COMPUTED_VALUE"""),"Not specified")</f>
        <v>Not specified</v>
      </c>
      <c r="AK67" t="str">
        <f>IFERROR(__xludf.DUMMYFUNCTION("""COMPUTED_VALUE"""),"Unsure")</f>
        <v>Unsure</v>
      </c>
      <c r="AL67" t="str">
        <f>IFERROR(__xludf.DUMMYFUNCTION("""COMPUTED_VALUE"""),"")</f>
        <v/>
      </c>
      <c r="AM67" t="str">
        <f>IFERROR(__xludf.DUMMYFUNCTION("""COMPUTED_VALUE"""),"")</f>
        <v/>
      </c>
      <c r="AN67" t="str">
        <f>IFERROR(__xludf.DUMMYFUNCTION("""COMPUTED_VALUE"""),"")</f>
        <v/>
      </c>
      <c r="AO67" t="str">
        <f>IFERROR(__xludf.DUMMYFUNCTION("""COMPUTED_VALUE"""),"")</f>
        <v/>
      </c>
      <c r="AP67" t="str">
        <f>IFERROR(__xludf.DUMMYFUNCTION("""COMPUTED_VALUE"""),"The International Journal of Production Economics is published by Elsevier, which means that most of Elsevier's general policies apply. Interestingly, though, it is difficult to locate the policies on the journal websites even if one has done that before."&amp;" Once you determine the type of peer review the journal in question employs you can then read their what-is-peer-review page to determine the degree of ""openness"" of the peer review process in question. The preprint policy is not journal-specific, so El"&amp;"sevier's general rules (seem to) apply.")</f>
        <v>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67" t="str">
        <f>IFERROR(__xludf.DUMMYFUNCTION("""COMPUTED_VALUE"""),"")</f>
        <v/>
      </c>
      <c r="AR67" t="str">
        <f>IFERROR(__xludf.DUMMYFUNCTION("""COMPUTED_VALUE"""),"")</f>
        <v/>
      </c>
    </row>
    <row r="68">
      <c r="A68" t="str">
        <f>IFERROR(__xludf.DUMMYFUNCTION("""COMPUTED_VALUE"""),"SR")</f>
        <v>SR</v>
      </c>
      <c r="B68" s="34">
        <f>IFERROR(__xludf.DUMMYFUNCTION("""COMPUTED_VALUE"""),43441.0)</f>
        <v>43441</v>
      </c>
      <c r="C68" t="str">
        <f>IFERROR(__xludf.DUMMYFUNCTION("""COMPUTED_VALUE"""),"JP")</f>
        <v>JP</v>
      </c>
      <c r="D68" s="36">
        <f>IFERROR(__xludf.DUMMYFUNCTION("""COMPUTED_VALUE"""),43572.0)</f>
        <v>43572</v>
      </c>
      <c r="E68" t="str">
        <f>IFERROR(__xludf.DUMMYFUNCTION("""COMPUTED_VALUE"""),"TRH")</f>
        <v>TRH</v>
      </c>
      <c r="F68" s="36">
        <f>IFERROR(__xludf.DUMMYFUNCTION("""COMPUTED_VALUE"""),43581.0)</f>
        <v>43581</v>
      </c>
      <c r="G68" t="str">
        <f>IFERROR(__xludf.DUMMYFUNCTION("""COMPUTED_VALUE"""),"")</f>
        <v/>
      </c>
      <c r="H68" t="str">
        <f>IFERROR(__xludf.DUMMYFUNCTION("""COMPUTED_VALUE"""),"1538-3598")</f>
        <v>1538-3598</v>
      </c>
      <c r="I68" t="str">
        <f>IFERROR(__xludf.DUMMYFUNCTION("""COMPUTED_VALUE"""),"Journal of the American Medical Association")</f>
        <v>Journal of the American Medical Association</v>
      </c>
      <c r="J68" t="str">
        <f>IFERROR(__xludf.DUMMYFUNCTION("""COMPUTED_VALUE"""),"Health &amp; Medical Sciences")</f>
        <v>Health &amp; Medical Sciences</v>
      </c>
      <c r="K68" t="str">
        <f>IFERROR(__xludf.DUMMYFUNCTION("""COMPUTED_VALUE"""),"American Medical Association")</f>
        <v>American Medical Association</v>
      </c>
      <c r="L68" t="str">
        <f>IFERROR(__xludf.DUMMYFUNCTION("""COMPUTED_VALUE"""),"Single blind")</f>
        <v>Single blind</v>
      </c>
      <c r="M68" s="78" t="str">
        <f>IFERROR(__xludf.DUMMYFUNCTION("""COMPUTED_VALUE"""),"https://jamanetwork.com/journals/jama/pages/instructions-for-authors")</f>
        <v>https://jamanetwork.com/journals/jama/pages/instructions-for-authors</v>
      </c>
      <c r="N68" t="str">
        <f>IFERROR(__xludf.DUMMYFUNCTION("""COMPUTED_VALUE"""),"")</f>
        <v/>
      </c>
      <c r="O68" t="str">
        <f>IFERROR(__xludf.DUMMYFUNCTION("""COMPUTED_VALUE"""),"")</f>
        <v/>
      </c>
      <c r="P68" t="str">
        <f>IFERROR(__xludf.DUMMYFUNCTION("""COMPUTED_VALUE"""),"Unsure")</f>
        <v>Unsure</v>
      </c>
      <c r="Q68" t="str">
        <f>IFERROR(__xludf.DUMMYFUNCTION("""COMPUTED_VALUE"""),"At the time of manuscript submission, authors may preselect the option to have their manuscript and reviewers' comments automatically referred to one of the JAMA Network specialty journals if the manuscript is not accepted by JAMA.")</f>
        <v>At the time of manuscript submission, authors may preselect the option to have their manuscript and reviewers' comments automatically referred to one of the JAMA Network specialty journals if the manuscript is not accepted by JAMA.</v>
      </c>
      <c r="R68" s="78" t="str">
        <f>IFERROR(__xludf.DUMMYFUNCTION("""COMPUTED_VALUE"""),"https://jamanetwork.com/journals/jama/pages/instructions-for-authors")</f>
        <v>https://jamanetwork.com/journals/jama/pages/instructions-for-authors</v>
      </c>
      <c r="S68" t="str">
        <f>IFERROR(__xludf.DUMMYFUNCTION("""COMPUTED_VALUE"""),"No")</f>
        <v>No</v>
      </c>
      <c r="T68" t="str">
        <f>IFERROR(__xludf.DUMMYFUNCTION("""COMPUTED_VALUE"""),"Not specified")</f>
        <v>Not specified</v>
      </c>
      <c r="U68" t="str">
        <f>IFERROR(__xludf.DUMMYFUNCTION("""COMPUTED_VALUE"""),"Not specified")</f>
        <v>Not specified</v>
      </c>
      <c r="V68" t="str">
        <f>IFERROR(__xludf.DUMMYFUNCTION("""COMPUTED_VALUE"""),"No")</f>
        <v>No</v>
      </c>
      <c r="W68" t="str">
        <f>IFERROR(__xludf.DUMMYFUNCTION("""COMPUTED_VALUE"""),"Not specified")</f>
        <v>Not specified</v>
      </c>
      <c r="X68" t="str">
        <f>IFERROR(__xludf.DUMMYFUNCTION("""COMPUTED_VALUE"""),"Optional")</f>
        <v>Optional</v>
      </c>
      <c r="Y68" t="str">
        <f>IFERROR(__xludf.DUMMYFUNCTION("""COMPUTED_VALUE"""),"No")</f>
        <v>No</v>
      </c>
      <c r="Z68" t="str">
        <f>IFERROR(__xludf.DUMMYFUNCTION("""COMPUTED_VALUE"""),"Not specified")</f>
        <v>Not specified</v>
      </c>
      <c r="AA68" t="str">
        <f>IFERROR(__xludf.DUMMYFUNCTION("""COMPUTED_VALUE"""),"The journal uses a single-blind peer review process: peer reviewer identities are kept confidential (unless reviewers choose to reveal their names in their formal reviews); author identities are made known to reviewers. The existence of a manuscript under"&amp;" review is not revealed to anyone other than peer reviewers and editorial staff. Peer reviewers are required to maintain confidentiality about the manuscripts they review and must not divulge any information about a specific manuscript or its content to a"&amp;"ny third party without prior permission from the journal editors.")</f>
        <v>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v>
      </c>
      <c r="AB68" t="str">
        <f>IFERROR(__xludf.DUMMYFUNCTION("""COMPUTED_VALUE"""),"")</f>
        <v/>
      </c>
      <c r="AC68" t="str">
        <f>IFERROR(__xludf.DUMMYFUNCTION("""COMPUTED_VALUE"""),"")</f>
        <v/>
      </c>
      <c r="AD68" t="str">
        <f>IFERROR(__xludf.DUMMYFUNCTION("""COMPUTED_VALUE"""),"Unsure")</f>
        <v>Unsure</v>
      </c>
      <c r="AE68" t="str">
        <f>IFERROR(__xludf.DUMMYFUNCTION("""COMPUTED_VALUE"""),"Unsure")</f>
        <v>Unsure</v>
      </c>
      <c r="AF68" t="str">
        <f>IFERROR(__xludf.DUMMYFUNCTION("""COMPUTED_VALUE"""),"Unsure")</f>
        <v>Unsure</v>
      </c>
      <c r="AG68" s="78" t="str">
        <f>IFERROR(__xludf.DUMMYFUNCTION("""COMPUTED_VALUE"""),"https://jamanetwork.com/journals/jama/pages/instructions-for-authors#SecPreviousorPlannedPresentationorReleaseofInformation")</f>
        <v>https://jamanetwork.com/journals/jama/pages/instructions-for-authors#SecPreviousorPlannedPresentationorReleaseofInformation</v>
      </c>
      <c r="AH68" t="str">
        <f>IFERROR(__xludf.DUMMYFUNCTION("""COMPUTED_VALUE"""),"None (preprints not allowed)")</f>
        <v>None (preprints not allowed)</v>
      </c>
      <c r="AI68" t="str">
        <f>IFERROR(__xludf.DUMMYFUNCTION("""COMPUTED_VALUE"""),"")</f>
        <v/>
      </c>
      <c r="AJ68" t="str">
        <f>IFERROR(__xludf.DUMMYFUNCTION("""COMPUTED_VALUE"""),"Not specified")</f>
        <v>Not specified</v>
      </c>
      <c r="AK68" t="str">
        <f>IFERROR(__xludf.DUMMYFUNCTION("""COMPUTED_VALUE"""),"No")</f>
        <v>No</v>
      </c>
      <c r="AL68" t="str">
        <f>IFERROR(__xludf.DUMMYFUNCTION("""COMPUTED_VALUE"""),"Authors who present information contained in a manuscript that is under consideration by this journal during scientific or clinical meetings should not distribute complete reports (ie, copies of manuscripts) or full data presented as tables and figures to"&amp;" conference attendees or journalists. Publication of abstracts in print and online conference proceedings, as well as posting of slides or videos from the scientific presentation on the meeting website, is acceptable. However, for manuscripts under consid"&amp;"eration by this journal, publication of full reports in meeting proceedings or online, issuing detailed news releases reporting the results of the study that go beyond the meeting abstract, or participation in formal news conferences will ordinarily jeopa"&amp;"rdize chances for publication of the submitted manuscript in this journal.5 Media coverage of presentations at scientific meetings will not jeopardize consideration, but direct release of information through press releases or news media briefings may prec"&amp;"lude consideration of the manuscript by this journal.")</f>
        <v>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v>
      </c>
      <c r="AM68" t="str">
        <f>IFERROR(__xludf.DUMMYFUNCTION("""COMPUTED_VALUE"""),"")</f>
        <v/>
      </c>
      <c r="AN68" t="str">
        <f>IFERROR(__xludf.DUMMYFUNCTION("""COMPUTED_VALUE"""),"")</f>
        <v/>
      </c>
      <c r="AO68" t="str">
        <f>IFERROR(__xludf.DUMMYFUNCTION("""COMPUTED_VALUE"""),"")</f>
        <v/>
      </c>
      <c r="AP68" t="str">
        <f>IFERROR(__xludf.DUMMYFUNCTION("""COMPUTED_VALUE"""),"When going through the JAMA Network's preprint policy it is evident that the policy is tailored to a very specific epistemic and publishing culture of presenting path-breaking work at upcoming conferences while simultanoeusly submitting said work to journ"&amp;"als. This might explain why the JAMA editors assign priority to this form of pre-publication publicity (i.e. why there is even a policy for that).")</f>
        <v>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v>
      </c>
      <c r="AQ68" t="str">
        <f>IFERROR(__xludf.DUMMYFUNCTION("""COMPUTED_VALUE"""),"")</f>
        <v/>
      </c>
      <c r="AR68" t="str">
        <f>IFERROR(__xludf.DUMMYFUNCTION("""COMPUTED_VALUE"""),"")</f>
        <v/>
      </c>
    </row>
    <row r="69">
      <c r="A69" t="str">
        <f>IFERROR(__xludf.DUMMYFUNCTION("""COMPUTED_VALUE"""),"SR")</f>
        <v>SR</v>
      </c>
      <c r="B69" s="34">
        <f>IFERROR(__xludf.DUMMYFUNCTION("""COMPUTED_VALUE"""),43441.0)</f>
        <v>43441</v>
      </c>
      <c r="C69" t="str">
        <f>IFERROR(__xludf.DUMMYFUNCTION("""COMPUTED_VALUE"""),"JP")</f>
        <v>JP</v>
      </c>
      <c r="D69" s="36">
        <f>IFERROR(__xludf.DUMMYFUNCTION("""COMPUTED_VALUE"""),43572.0)</f>
        <v>43572</v>
      </c>
      <c r="E69" t="str">
        <f>IFERROR(__xludf.DUMMYFUNCTION("""COMPUTED_VALUE"""),"TRH")</f>
        <v>TRH</v>
      </c>
      <c r="F69" s="36">
        <f>IFERROR(__xludf.DUMMYFUNCTION("""COMPUTED_VALUE"""),43581.0)</f>
        <v>43581</v>
      </c>
      <c r="G69" t="str">
        <f>IFERROR(__xludf.DUMMYFUNCTION("""COMPUTED_VALUE"""),"")</f>
        <v/>
      </c>
      <c r="H69" t="str">
        <f>IFERROR(__xludf.DUMMYFUNCTION("""COMPUTED_VALUE"""),"0091-6749")</f>
        <v>0091-6749</v>
      </c>
      <c r="I69" t="str">
        <f>IFERROR(__xludf.DUMMYFUNCTION("""COMPUTED_VALUE"""),"Journal of Allergy and Clinical Immunology")</f>
        <v>Journal of Allergy and Clinical Immunology</v>
      </c>
      <c r="J69" t="str">
        <f>IFERROR(__xludf.DUMMYFUNCTION("""COMPUTED_VALUE"""),"")</f>
        <v/>
      </c>
      <c r="K69" t="str">
        <f>IFERROR(__xludf.DUMMYFUNCTION("""COMPUTED_VALUE"""),"Elsevier/American Academy of Allergy, Asthma &amp; Immunology")</f>
        <v>Elsevier/American Academy of Allergy, Asthma &amp; Immunology</v>
      </c>
      <c r="L69" t="str">
        <f>IFERROR(__xludf.DUMMYFUNCTION("""COMPUTED_VALUE"""),"Unsure")</f>
        <v>Unsure</v>
      </c>
      <c r="M69" s="78" t="str">
        <f>IFERROR(__xludf.DUMMYFUNCTION("""COMPUTED_VALUE"""),"https://www.jacionline.org/content/authorinfo")</f>
        <v>https://www.jacionline.org/content/authorinfo</v>
      </c>
      <c r="N69" t="str">
        <f>IFERROR(__xludf.DUMMYFUNCTION("""COMPUTED_VALUE"""),"")</f>
        <v/>
      </c>
      <c r="O69" t="str">
        <f>IFERROR(__xludf.DUMMYFUNCTION("""COMPUTED_VALUE"""),"")</f>
        <v/>
      </c>
      <c r="P69" t="str">
        <f>IFERROR(__xludf.DUMMYFUNCTION("""COMPUTED_VALUE"""),"Unsure")</f>
        <v>Unsure</v>
      </c>
      <c r="Q69" t="str">
        <f>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69" s="78" t="str">
        <f>IFERROR(__xludf.DUMMYFUNCTION("""COMPUTED_VALUE"""),"https://www.elsevier.com/authors/journal-authors/submit-your-paper/submit-and-revise/article-transfer-service")</f>
        <v>https://www.elsevier.com/authors/journal-authors/submit-your-paper/submit-and-revise/article-transfer-service</v>
      </c>
      <c r="S69" t="str">
        <f>IFERROR(__xludf.DUMMYFUNCTION("""COMPUTED_VALUE"""),"Not specified")</f>
        <v>Not specified</v>
      </c>
      <c r="T69" t="str">
        <f>IFERROR(__xludf.DUMMYFUNCTION("""COMPUTED_VALUE"""),"Not specified")</f>
        <v>Not specified</v>
      </c>
      <c r="U69" t="str">
        <f>IFERROR(__xludf.DUMMYFUNCTION("""COMPUTED_VALUE"""),"Not specified")</f>
        <v>Not specified</v>
      </c>
      <c r="V69" t="str">
        <f>IFERROR(__xludf.DUMMYFUNCTION("""COMPUTED_VALUE"""),"Not specified")</f>
        <v>Not specified</v>
      </c>
      <c r="W69" t="str">
        <f>IFERROR(__xludf.DUMMYFUNCTION("""COMPUTED_VALUE"""),"Not specified")</f>
        <v>Not specified</v>
      </c>
      <c r="X69" t="str">
        <f>IFERROR(__xludf.DUMMYFUNCTION("""COMPUTED_VALUE"""),"Not specified")</f>
        <v>Not specified</v>
      </c>
      <c r="Y69" t="str">
        <f>IFERROR(__xludf.DUMMYFUNCTION("""COMPUTED_VALUE"""),"Not specified")</f>
        <v>Not specified</v>
      </c>
      <c r="Z69" t="str">
        <f>IFERROR(__xludf.DUMMYFUNCTION("""COMPUTED_VALUE"""),"Not specified")</f>
        <v>Not specified</v>
      </c>
      <c r="AA69" t="str">
        <f>IFERROR(__xludf.DUMMYFUNCTION("""COMPUTED_VALUE"""),"")</f>
        <v/>
      </c>
      <c r="AB69" t="str">
        <f>IFERROR(__xludf.DUMMYFUNCTION("""COMPUTED_VALUE"""),"")</f>
        <v/>
      </c>
      <c r="AC69" t="str">
        <f>IFERROR(__xludf.DUMMYFUNCTION("""COMPUTED_VALUE"""),"")</f>
        <v/>
      </c>
      <c r="AD69" t="str">
        <f>IFERROR(__xludf.DUMMYFUNCTION("""COMPUTED_VALUE"""),"Unsure")</f>
        <v>Unsure</v>
      </c>
      <c r="AE69" t="str">
        <f>IFERROR(__xludf.DUMMYFUNCTION("""COMPUTED_VALUE"""),"Unsure")</f>
        <v>Unsure</v>
      </c>
      <c r="AF69" t="str">
        <f>IFERROR(__xludf.DUMMYFUNCTION("""COMPUTED_VALUE"""),"Unsure")</f>
        <v>Unsure</v>
      </c>
      <c r="AG69" s="78" t="str">
        <f>IFERROR(__xludf.DUMMYFUNCTION("""COMPUTED_VALUE"""),"https://www.elsevier.com/about/policies/sharing")</f>
        <v>https://www.elsevier.com/about/policies/sharing</v>
      </c>
      <c r="AH69" t="str">
        <f>IFERROR(__xludf.DUMMYFUNCTION("""COMPUTED_VALUE"""),"Unsure")</f>
        <v>Unsure</v>
      </c>
      <c r="AI69" t="str">
        <f>IFERROR(__xludf.DUMMYFUNCTION("""COMPUTED_VALUE"""),"Elsevier, the publisher of JACI, has a long tradition of liberal copyright policies and for many years has permitted both the posting of preprints on public servers and the posting of final papers as accepted on secure internal servers. Now authors of pap"&amp;"ers published in an Elsevier journal may also post their final version, as accepted by the journal, publicly on their personal Web site or their institutions' Web sites (including their institutional repository). The “final version” is the author's Word ("&amp;"or Text or similar word processing) file, which can be updated by the author to incorporate changes made during the peer-review and editing processes.
Authors do not need to ask Elsevier's permission to do this. They need to include the full citation of "&amp;"the published article (once known) and a link to the homepage of the journal or, better, the DOI of the published article.
The posting cannot be for commercial purposes (such as systematic distribution or creating links for customers to articles) and it "&amp;"is not permitted to post to Web sites outside of their institution (other than their own personal web page). ")</f>
        <v>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v>
      </c>
      <c r="AJ69" t="str">
        <f>IFERROR(__xludf.DUMMYFUNCTION("""COMPUTED_VALUE"""),"Not specified")</f>
        <v>Not specified</v>
      </c>
      <c r="AK69" t="str">
        <f>IFERROR(__xludf.DUMMYFUNCTION("""COMPUTED_VALUE"""),"Unsure")</f>
        <v>Unsure</v>
      </c>
      <c r="AL69" t="str">
        <f>IFERROR(__xludf.DUMMYFUNCTION("""COMPUTED_VALUE"""),"")</f>
        <v/>
      </c>
      <c r="AM69" t="str">
        <f>IFERROR(__xludf.DUMMYFUNCTION("""COMPUTED_VALUE"""),"")</f>
        <v/>
      </c>
      <c r="AN69" t="str">
        <f>IFERROR(__xludf.DUMMYFUNCTION("""COMPUTED_VALUE"""),"")</f>
        <v/>
      </c>
      <c r="AO69" t="str">
        <f>IFERROR(__xludf.DUMMYFUNCTION("""COMPUTED_VALUE"""),"")</f>
        <v/>
      </c>
      <c r="AP69" t="str">
        <f>IFERROR(__xludf.DUMMYFUNCTION("""COMPUTED_VALUE"""),"The Journal of Allergy and Clinical Immunology is published by Elsevier, but offers unique guidelines on peer review policies and preprint policies. However, the exact peer review process is nowhere specified, so it is difficult for prospective authors to"&amp;" assess.")</f>
        <v>The Journal of Allergy and Clinical Immunology is published by Elsevier, but offers unique guidelines on peer review policies and preprint policies. However, the exact peer review process is nowhere specified, so it is difficult for prospective authors to assess.</v>
      </c>
      <c r="AQ69" t="str">
        <f>IFERROR(__xludf.DUMMYFUNCTION("""COMPUTED_VALUE"""),"")</f>
        <v/>
      </c>
      <c r="AR69" t="str">
        <f>IFERROR(__xludf.DUMMYFUNCTION("""COMPUTED_VALUE"""),"")</f>
        <v/>
      </c>
    </row>
    <row r="70">
      <c r="A70" t="str">
        <f>IFERROR(__xludf.DUMMYFUNCTION("""COMPUTED_VALUE"""),"SR")</f>
        <v>SR</v>
      </c>
      <c r="B70" s="34">
        <f>IFERROR(__xludf.DUMMYFUNCTION("""COMPUTED_VALUE"""),43441.0)</f>
        <v>43441</v>
      </c>
      <c r="C70" t="str">
        <f>IFERROR(__xludf.DUMMYFUNCTION("""COMPUTED_VALUE"""),"JP")</f>
        <v>JP</v>
      </c>
      <c r="D70" s="36">
        <f>IFERROR(__xludf.DUMMYFUNCTION("""COMPUTED_VALUE"""),43572.0)</f>
        <v>43572</v>
      </c>
      <c r="E70" t="str">
        <f>IFERROR(__xludf.DUMMYFUNCTION("""COMPUTED_VALUE"""),"TRH")</f>
        <v>TRH</v>
      </c>
      <c r="F70" s="36">
        <f>IFERROR(__xludf.DUMMYFUNCTION("""COMPUTED_VALUE"""),43581.0)</f>
        <v>43581</v>
      </c>
      <c r="G70" t="str">
        <f>IFERROR(__xludf.DUMMYFUNCTION("""COMPUTED_VALUE"""),"")</f>
        <v/>
      </c>
      <c r="H70" t="str">
        <f>IFERROR(__xludf.DUMMYFUNCTION("""COMPUTED_VALUE"""),"0378-4266")</f>
        <v>0378-4266</v>
      </c>
      <c r="I70" t="str">
        <f>IFERROR(__xludf.DUMMYFUNCTION("""COMPUTED_VALUE"""),"Journal of Banking &amp; Finance")</f>
        <v>Journal of Banking &amp; Finance</v>
      </c>
      <c r="J70" t="str">
        <f>IFERROR(__xludf.DUMMYFUNCTION("""COMPUTED_VALUE"""),"Business, Economics &amp; Management")</f>
        <v>Business, Economics &amp; Management</v>
      </c>
      <c r="K70" t="str">
        <f>IFERROR(__xludf.DUMMYFUNCTION("""COMPUTED_VALUE"""),"Elsevier")</f>
        <v>Elsevier</v>
      </c>
      <c r="L70" t="str">
        <f>IFERROR(__xludf.DUMMYFUNCTION("""COMPUTED_VALUE"""),"Double blind")</f>
        <v>Double blind</v>
      </c>
      <c r="M70" s="78" t="str">
        <f>IFERROR(__xludf.DUMMYFUNCTION("""COMPUTED_VALUE"""),"https://www.elsevier.com/journals/journal-of-banking-and-finance/0378-4266/guide-for-authors")</f>
        <v>https://www.elsevier.com/journals/journal-of-banking-and-finance/0378-4266/guide-for-authors</v>
      </c>
      <c r="N70" t="str">
        <f>IFERROR(__xludf.DUMMYFUNCTION("""COMPUTED_VALUE"""),"")</f>
        <v/>
      </c>
      <c r="O70" s="78" t="str">
        <f>IFERROR(__xludf.DUMMYFUNCTION("""COMPUTED_VALUE"""),"https://www.elsevier.com/reviewers/role#RRP")</f>
        <v>https://www.elsevier.com/reviewers/role#RRP</v>
      </c>
      <c r="P70" t="str">
        <f>IFERROR(__xludf.DUMMYFUNCTION("""COMPUTED_VALUE"""),"Unsure")</f>
        <v>Unsure</v>
      </c>
      <c r="Q70"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0" s="78" t="str">
        <f>IFERROR(__xludf.DUMMYFUNCTION("""COMPUTED_VALUE"""),"https://www.elsevier.com/reviewers/what-is-peer-review")</f>
        <v>https://www.elsevier.com/reviewers/what-is-peer-review</v>
      </c>
      <c r="S70" t="str">
        <f>IFERROR(__xludf.DUMMYFUNCTION("""COMPUTED_VALUE"""),"No")</f>
        <v>No</v>
      </c>
      <c r="T70" t="str">
        <f>IFERROR(__xludf.DUMMYFUNCTION("""COMPUTED_VALUE"""),"No")</f>
        <v>No</v>
      </c>
      <c r="U70" t="str">
        <f>IFERROR(__xludf.DUMMYFUNCTION("""COMPUTED_VALUE"""),"No")</f>
        <v>No</v>
      </c>
      <c r="V70" t="str">
        <f>IFERROR(__xludf.DUMMYFUNCTION("""COMPUTED_VALUE"""),"No")</f>
        <v>No</v>
      </c>
      <c r="W70" t="str">
        <f>IFERROR(__xludf.DUMMYFUNCTION("""COMPUTED_VALUE"""),"No")</f>
        <v>No</v>
      </c>
      <c r="X70" t="str">
        <f>IFERROR(__xludf.DUMMYFUNCTION("""COMPUTED_VALUE"""),"No")</f>
        <v>No</v>
      </c>
      <c r="Y70" t="str">
        <f>IFERROR(__xludf.DUMMYFUNCTION("""COMPUTED_VALUE"""),"No")</f>
        <v>No</v>
      </c>
      <c r="Z70" t="str">
        <f>IFERROR(__xludf.DUMMYFUNCTION("""COMPUTED_VALUE"""),"No")</f>
        <v>No</v>
      </c>
      <c r="AA70" t="str">
        <f>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70"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0" s="78" t="str">
        <f>IFERROR(__xludf.DUMMYFUNCTION("""COMPUTED_VALUE"""),"https://www.elsevier.com/reviewers/how-to-review")</f>
        <v>https://www.elsevier.com/reviewers/how-to-review</v>
      </c>
      <c r="AD70" t="str">
        <f>IFERROR(__xludf.DUMMYFUNCTION("""COMPUTED_VALUE"""),"Unsure")</f>
        <v>Unsure</v>
      </c>
      <c r="AE70" t="str">
        <f>IFERROR(__xludf.DUMMYFUNCTION("""COMPUTED_VALUE"""),"Unsure")</f>
        <v>Unsure</v>
      </c>
      <c r="AF70" t="str">
        <f>IFERROR(__xludf.DUMMYFUNCTION("""COMPUTED_VALUE"""),"Unsure")</f>
        <v>Unsure</v>
      </c>
      <c r="AG70" s="78" t="str">
        <f>IFERROR(__xludf.DUMMYFUNCTION("""COMPUTED_VALUE"""),"https://www.elsevier.com/about/policies/sharing")</f>
        <v>https://www.elsevier.com/about/policies/sharing</v>
      </c>
      <c r="AH70" t="str">
        <f>IFERROR(__xludf.DUMMYFUNCTION("""COMPUTED_VALUE"""),"No preprint policy")</f>
        <v>No preprint policy</v>
      </c>
      <c r="AI70" t="str">
        <f>IFERROR(__xludf.DUMMYFUNCTION("""COMPUTED_VALUE"""),"")</f>
        <v/>
      </c>
      <c r="AJ70" t="str">
        <f>IFERROR(__xludf.DUMMYFUNCTION("""COMPUTED_VALUE"""),"Not specified")</f>
        <v>Not specified</v>
      </c>
      <c r="AK70" t="str">
        <f>IFERROR(__xludf.DUMMYFUNCTION("""COMPUTED_VALUE"""),"Unsure")</f>
        <v>Unsure</v>
      </c>
      <c r="AL70" t="str">
        <f>IFERROR(__xludf.DUMMYFUNCTION("""COMPUTED_VALUE"""),"")</f>
        <v/>
      </c>
      <c r="AM70" t="str">
        <f>IFERROR(__xludf.DUMMYFUNCTION("""COMPUTED_VALUE"""),"")</f>
        <v/>
      </c>
      <c r="AN70" t="str">
        <f>IFERROR(__xludf.DUMMYFUNCTION("""COMPUTED_VALUE"""),"")</f>
        <v/>
      </c>
      <c r="AO70" t="str">
        <f>IFERROR(__xludf.DUMMYFUNCTION("""COMPUTED_VALUE"""),"")</f>
        <v/>
      </c>
      <c r="AP70" t="str">
        <f>IFERROR(__xludf.DUMMYFUNCTION("""COMPUTED_VALUE"""),"The Journal of Banking and Finance is published by Elsevier, which means that most of Elsevier's general policies apply. Interestingly, though, it is difficult to locate the policies on the journal websites even if one has done that before. Once you deter"&amp;"mine the type of peer review the journal in question employs you can then read their what-is-peer-review page to determine the degree of ""openness"" of the peer review process in question. The preprint policy is not journal-specific, so Elsevier's genera"&amp;"l rules (seem to) apply.")</f>
        <v>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70" t="str">
        <f>IFERROR(__xludf.DUMMYFUNCTION("""COMPUTED_VALUE"""),"20 mins")</f>
        <v>20 mins</v>
      </c>
      <c r="AR70" t="str">
        <f>IFERROR(__xludf.DUMMYFUNCTION("""COMPUTED_VALUE"""),"")</f>
        <v/>
      </c>
    </row>
    <row r="71">
      <c r="A71" t="str">
        <f>IFERROR(__xludf.DUMMYFUNCTION("""COMPUTED_VALUE"""),"SR")</f>
        <v>SR</v>
      </c>
      <c r="B71" s="34">
        <f>IFERROR(__xludf.DUMMYFUNCTION("""COMPUTED_VALUE"""),43441.0)</f>
        <v>43441</v>
      </c>
      <c r="C71" t="str">
        <f>IFERROR(__xludf.DUMMYFUNCTION("""COMPUTED_VALUE"""),"SH")</f>
        <v>SH</v>
      </c>
      <c r="D71" s="45">
        <f>IFERROR(__xludf.DUMMYFUNCTION("""COMPUTED_VALUE"""),43571.0)</f>
        <v>43571</v>
      </c>
      <c r="E71" t="str">
        <f>IFERROR(__xludf.DUMMYFUNCTION("""COMPUTED_VALUE"""),"TRH")</f>
        <v>TRH</v>
      </c>
      <c r="F71" s="36">
        <f>IFERROR(__xludf.DUMMYFUNCTION("""COMPUTED_VALUE"""),43581.0)</f>
        <v>43581</v>
      </c>
      <c r="G71" t="str">
        <f>IFERROR(__xludf.DUMMYFUNCTION("""COMPUTED_VALUE"""),"")</f>
        <v/>
      </c>
      <c r="H71" t="str">
        <f>IFERROR(__xludf.DUMMYFUNCTION("""COMPUTED_VALUE"""),"1573-0697")</f>
        <v>1573-0697</v>
      </c>
      <c r="I71" t="str">
        <f>IFERROR(__xludf.DUMMYFUNCTION("""COMPUTED_VALUE"""),"Journal of Business Ethics")</f>
        <v>Journal of Business Ethics</v>
      </c>
      <c r="J71" t="str">
        <f>IFERROR(__xludf.DUMMYFUNCTION("""COMPUTED_VALUE"""),"Business, Economics &amp; Management,
Social Sciences")</f>
        <v>Business, Economics &amp; Management,
Social Sciences</v>
      </c>
      <c r="K71" t="str">
        <f>IFERROR(__xludf.DUMMYFUNCTION("""COMPUTED_VALUE"""),"SpringerNature")</f>
        <v>SpringerNature</v>
      </c>
      <c r="L71" t="str">
        <f>IFERROR(__xludf.DUMMYFUNCTION("""COMPUTED_VALUE"""),"Double blind")</f>
        <v>Double blind</v>
      </c>
      <c r="M71" s="78" t="str">
        <f>IFERROR(__xludf.DUMMYFUNCTION("""COMPUTED_VALUE"""),"https://www.springer.com/philosophy/ethics+and+moral+philosophy/journal/10551#")</f>
        <v>https://www.springer.com/philosophy/ethics+and+moral+philosophy/journal/10551#</v>
      </c>
      <c r="N71" t="str">
        <f>IFERROR(__xludf.DUMMYFUNCTION("""COMPUTED_VALUE"""),"")</f>
        <v/>
      </c>
      <c r="O71" s="78" t="str">
        <f>IFERROR(__xludf.DUMMYFUNCTION("""COMPUTED_VALUE"""),"https://www.springer.com/philosophy/ethics+and+moral+philosophy/journal/10551#")</f>
        <v>https://www.springer.com/philosophy/ethics+and+moral+philosophy/journal/10551#</v>
      </c>
      <c r="P71" t="str">
        <f>IFERROR(__xludf.DUMMYFUNCTION("""COMPUTED_VALUE"""),"Yes")</f>
        <v>Yes</v>
      </c>
      <c r="Q71" t="str">
        <f>IFERROR(__xludf.DUMMYFUNCTION("""COMPUTED_VALUE"""),"")</f>
        <v/>
      </c>
      <c r="R71" t="str">
        <f>IFERROR(__xludf.DUMMYFUNCTION("""COMPUTED_VALUE"""),"")</f>
        <v/>
      </c>
      <c r="S71" t="str">
        <f>IFERROR(__xludf.DUMMYFUNCTION("""COMPUTED_VALUE"""),"Not specified")</f>
        <v>Not specified</v>
      </c>
      <c r="T71" t="str">
        <f>IFERROR(__xludf.DUMMYFUNCTION("""COMPUTED_VALUE"""),"Not specified")</f>
        <v>Not specified</v>
      </c>
      <c r="U71" t="str">
        <f>IFERROR(__xludf.DUMMYFUNCTION("""COMPUTED_VALUE"""),"Not specified")</f>
        <v>Not specified</v>
      </c>
      <c r="V71" t="str">
        <f>IFERROR(__xludf.DUMMYFUNCTION("""COMPUTED_VALUE"""),"Not specified")</f>
        <v>Not specified</v>
      </c>
      <c r="W71" t="str">
        <f>IFERROR(__xludf.DUMMYFUNCTION("""COMPUTED_VALUE"""),"Not specified")</f>
        <v>Not specified</v>
      </c>
      <c r="X71" t="str">
        <f>IFERROR(__xludf.DUMMYFUNCTION("""COMPUTED_VALUE"""),"Not specified")</f>
        <v>Not specified</v>
      </c>
      <c r="Y71" t="str">
        <f>IFERROR(__xludf.DUMMYFUNCTION("""COMPUTED_VALUE"""),"Not specified")</f>
        <v>Not specified</v>
      </c>
      <c r="Z71" t="str">
        <f>IFERROR(__xludf.DUMMYFUNCTION("""COMPUTED_VALUE"""),"Not specified")</f>
        <v>Not specified</v>
      </c>
      <c r="AA71" t="str">
        <f>IFERROR(__xludf.DUMMYFUNCTION("""COMPUTED_VALUE"""),"")</f>
        <v/>
      </c>
      <c r="AB71" t="str">
        <f>IFERROR(__xludf.DUMMYFUNCTION("""COMPUTED_VALUE"""),"")</f>
        <v/>
      </c>
      <c r="AC71" t="str">
        <f>IFERROR(__xludf.DUMMYFUNCTION("""COMPUTED_VALUE"""),"")</f>
        <v/>
      </c>
      <c r="AD71" t="str">
        <f>IFERROR(__xludf.DUMMYFUNCTION("""COMPUTED_VALUE"""),"Unsure")</f>
        <v>Unsure</v>
      </c>
      <c r="AE71" t="str">
        <f>IFERROR(__xludf.DUMMYFUNCTION("""COMPUTED_VALUE"""),"Unsure")</f>
        <v>Unsure</v>
      </c>
      <c r="AF71" t="str">
        <f>IFERROR(__xludf.DUMMYFUNCTION("""COMPUTED_VALUE"""),"Unsure")</f>
        <v>Unsure</v>
      </c>
      <c r="AG71" t="str">
        <f>IFERROR(__xludf.DUMMYFUNCTION("""COMPUTED_VALUE"""),"")</f>
        <v/>
      </c>
      <c r="AH71" t="str">
        <f>IFERROR(__xludf.DUMMYFUNCTION("""COMPUTED_VALUE"""),"No preprint policy")</f>
        <v>No preprint policy</v>
      </c>
      <c r="AI71" t="str">
        <f>IFERROR(__xludf.DUMMYFUNCTION("""COMPUTED_VALUE"""),"Not specified")</f>
        <v>Not specified</v>
      </c>
      <c r="AJ71" t="str">
        <f>IFERROR(__xludf.DUMMYFUNCTION("""COMPUTED_VALUE"""),"Not specified")</f>
        <v>Not specified</v>
      </c>
      <c r="AK71" t="str">
        <f>IFERROR(__xludf.DUMMYFUNCTION("""COMPUTED_VALUE"""),"Unsure")</f>
        <v>Unsure</v>
      </c>
      <c r="AL71" t="str">
        <f>IFERROR(__xludf.DUMMYFUNCTION("""COMPUTED_VALUE"""),"")</f>
        <v/>
      </c>
      <c r="AM71" t="str">
        <f>IFERROR(__xludf.DUMMYFUNCTION("""COMPUTED_VALUE"""),"")</f>
        <v/>
      </c>
      <c r="AN71" t="str">
        <f>IFERROR(__xludf.DUMMYFUNCTION("""COMPUTED_VALUE"""),"")</f>
        <v/>
      </c>
      <c r="AO71" t="str">
        <f>IFERROR(__xludf.DUMMYFUNCTION("""COMPUTED_VALUE"""),"")</f>
        <v/>
      </c>
      <c r="AP71" t="str">
        <f>IFERROR(__xludf.DUMMYFUNCTION("""COMPUTED_VALUE"""),"The Journal of Business Ethics is published by SpringerNature, and offers a rather comprehensive list of policies. However, the peer review process is not described in great detail (one only learns that the journal employs a double blind peer review), and"&amp;" their pre-print policy is non-existent.")</f>
        <v>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v>
      </c>
      <c r="AQ71" t="str">
        <f>IFERROR(__xludf.DUMMYFUNCTION("""COMPUTED_VALUE"""),"20 mins")</f>
        <v>20 mins</v>
      </c>
      <c r="AR71" t="str">
        <f>IFERROR(__xludf.DUMMYFUNCTION("""COMPUTED_VALUE"""),"")</f>
        <v/>
      </c>
    </row>
    <row r="72">
      <c r="A72" t="str">
        <f>IFERROR(__xludf.DUMMYFUNCTION("""COMPUTED_VALUE"""),"SR")</f>
        <v>SR</v>
      </c>
      <c r="B72" s="34">
        <f>IFERROR(__xludf.DUMMYFUNCTION("""COMPUTED_VALUE"""),43438.0)</f>
        <v>43438</v>
      </c>
      <c r="C72" t="str">
        <f>IFERROR(__xludf.DUMMYFUNCTION("""COMPUTED_VALUE"""),"SH")</f>
        <v>SH</v>
      </c>
      <c r="D72" s="45">
        <f>IFERROR(__xludf.DUMMYFUNCTION("""COMPUTED_VALUE"""),43571.0)</f>
        <v>43571</v>
      </c>
      <c r="E72" t="str">
        <f>IFERROR(__xludf.DUMMYFUNCTION("""COMPUTED_VALUE"""),"TRH")</f>
        <v>TRH</v>
      </c>
      <c r="F72" s="36">
        <f>IFERROR(__xludf.DUMMYFUNCTION("""COMPUTED_VALUE"""),43581.0)</f>
        <v>43581</v>
      </c>
      <c r="G72" t="str">
        <f>IFERROR(__xludf.DUMMYFUNCTION("""COMPUTED_VALUE"""),"")</f>
        <v/>
      </c>
      <c r="H72" t="str">
        <f>IFERROR(__xludf.DUMMYFUNCTION("""COMPUTED_VALUE"""),"0148-2963")</f>
        <v>0148-2963</v>
      </c>
      <c r="I72" t="str">
        <f>IFERROR(__xludf.DUMMYFUNCTION("""COMPUTED_VALUE"""),"Journal of Business Research")</f>
        <v>Journal of Business Research</v>
      </c>
      <c r="J72" t="str">
        <f>IFERROR(__xludf.DUMMYFUNCTION("""COMPUTED_VALUE"""),"Business, Economics &amp; Management")</f>
        <v>Business, Economics &amp; Management</v>
      </c>
      <c r="K72" t="str">
        <f>IFERROR(__xludf.DUMMYFUNCTION("""COMPUTED_VALUE"""),"Elsevier")</f>
        <v>Elsevier</v>
      </c>
      <c r="L72" t="str">
        <f>IFERROR(__xludf.DUMMYFUNCTION("""COMPUTED_VALUE"""),"Double blind")</f>
        <v>Double blind</v>
      </c>
      <c r="M72" s="78" t="str">
        <f>IFERROR(__xludf.DUMMYFUNCTION("""COMPUTED_VALUE"""),"https://www.elsevier.com/journals/journal-of-business-research/0148-2963/guide-for-authors")</f>
        <v>https://www.elsevier.com/journals/journal-of-business-research/0148-2963/guide-for-authors</v>
      </c>
      <c r="N72" t="str">
        <f>IFERROR(__xludf.DUMMYFUNCTION("""COMPUTED_VALUE"""),"")</f>
        <v/>
      </c>
      <c r="O72" s="78" t="str">
        <f>IFERROR(__xludf.DUMMYFUNCTION("""COMPUTED_VALUE"""),"https://www.elsevier.com/reviewers/role#recognizing")</f>
        <v>https://www.elsevier.com/reviewers/role#recognizing</v>
      </c>
      <c r="P72" t="str">
        <f>IFERROR(__xludf.DUMMYFUNCTION("""COMPUTED_VALUE"""),"Yes")</f>
        <v>Yes</v>
      </c>
      <c r="Q72"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2" s="78" t="str">
        <f>IFERROR(__xludf.DUMMYFUNCTION("""COMPUTED_VALUE"""),"https://www.elsevier.com/reviewers/what-is-peer-review")</f>
        <v>https://www.elsevier.com/reviewers/what-is-peer-review</v>
      </c>
      <c r="S72" t="str">
        <f>IFERROR(__xludf.DUMMYFUNCTION("""COMPUTED_VALUE"""),"Not specified")</f>
        <v>Not specified</v>
      </c>
      <c r="T72" t="str">
        <f>IFERROR(__xludf.DUMMYFUNCTION("""COMPUTED_VALUE"""),"Not specified")</f>
        <v>Not specified</v>
      </c>
      <c r="U72" t="str">
        <f>IFERROR(__xludf.DUMMYFUNCTION("""COMPUTED_VALUE"""),"Not specified")</f>
        <v>Not specified</v>
      </c>
      <c r="V72" t="str">
        <f>IFERROR(__xludf.DUMMYFUNCTION("""COMPUTED_VALUE"""),"Not specified")</f>
        <v>Not specified</v>
      </c>
      <c r="W72" t="str">
        <f>IFERROR(__xludf.DUMMYFUNCTION("""COMPUTED_VALUE"""),"Not specified")</f>
        <v>Not specified</v>
      </c>
      <c r="X72" t="str">
        <f>IFERROR(__xludf.DUMMYFUNCTION("""COMPUTED_VALUE"""),"Not specified")</f>
        <v>Not specified</v>
      </c>
      <c r="Y72" t="str">
        <f>IFERROR(__xludf.DUMMYFUNCTION("""COMPUTED_VALUE"""),"Not specified")</f>
        <v>Not specified</v>
      </c>
      <c r="Z72" t="str">
        <f>IFERROR(__xludf.DUMMYFUNCTION("""COMPUTED_VALUE"""),"Not specified")</f>
        <v>Not specified</v>
      </c>
      <c r="AA72" t="str">
        <f>IFERROR(__xludf.DUMMYFUNCTION("""COMPUTED_VALUE"""),"")</f>
        <v/>
      </c>
      <c r="AB72"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2" s="78" t="str">
        <f>IFERROR(__xludf.DUMMYFUNCTION("""COMPUTED_VALUE"""),"https://www.elsevier.com/reviewers/how-to-review")</f>
        <v>https://www.elsevier.com/reviewers/how-to-review</v>
      </c>
      <c r="AD72" t="str">
        <f>IFERROR(__xludf.DUMMYFUNCTION("""COMPUTED_VALUE"""),"Unsure")</f>
        <v>Unsure</v>
      </c>
      <c r="AE72" t="str">
        <f>IFERROR(__xludf.DUMMYFUNCTION("""COMPUTED_VALUE"""),"Unsure")</f>
        <v>Unsure</v>
      </c>
      <c r="AF72" t="str">
        <f>IFERROR(__xludf.DUMMYFUNCTION("""COMPUTED_VALUE"""),"Unsure")</f>
        <v>Unsure</v>
      </c>
      <c r="AG72" s="78" t="str">
        <f>IFERROR(__xludf.DUMMYFUNCTION("""COMPUTED_VALUE"""),"https://www.elsevier.com/about/policies/sharing")</f>
        <v>https://www.elsevier.com/about/policies/sharing</v>
      </c>
      <c r="AH72" t="str">
        <f>IFERROR(__xludf.DUMMYFUNCTION("""COMPUTED_VALUE"""),"Unsure")</f>
        <v>Unsure</v>
      </c>
      <c r="AI72" t="str">
        <f>IFERROR(__xludf.DUMMYFUNCTION("""COMPUTED_VALUE"""),"Authors can share their preprint anywhere at any time.")</f>
        <v>Authors can share their preprint anywhere at any time.</v>
      </c>
      <c r="AJ72" t="str">
        <f>IFERROR(__xludf.DUMMYFUNCTION("""COMPUTED_VALUE"""),"Not specified")</f>
        <v>Not specified</v>
      </c>
      <c r="AK72" t="str">
        <f>IFERROR(__xludf.DUMMYFUNCTION("""COMPUTED_VALUE"""),"Unsure")</f>
        <v>Unsure</v>
      </c>
      <c r="AL72" t="str">
        <f>IFERROR(__xludf.DUMMYFUNCTION("""COMPUTED_VALUE"""),"")</f>
        <v/>
      </c>
      <c r="AM72" t="str">
        <f>IFERROR(__xludf.DUMMYFUNCTION("""COMPUTED_VALUE"""),"")</f>
        <v/>
      </c>
      <c r="AN72" t="str">
        <f>IFERROR(__xludf.DUMMYFUNCTION("""COMPUTED_VALUE"""),"")</f>
        <v/>
      </c>
      <c r="AO72" t="str">
        <f>IFERROR(__xludf.DUMMYFUNCTION("""COMPUTED_VALUE"""),"")</f>
        <v/>
      </c>
      <c r="AP72" t="str">
        <f>IFERROR(__xludf.DUMMYFUNCTION("""COMPUTED_VALUE"""),"The JoBR is an Elsevier journal, so most of Elsevier's policies apply. However, these policies (the documents describing them) are not easy to locate on the journal's website. Links are provided to Elsevier's standard documents, though, but it is not alwa"&amp;"ys clear which general provisions apply in this specific case.")</f>
        <v>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v>
      </c>
      <c r="AQ72" t="str">
        <f>IFERROR(__xludf.DUMMYFUNCTION("""COMPUTED_VALUE"""),"20 mins")</f>
        <v>20 mins</v>
      </c>
      <c r="AR72" t="str">
        <f>IFERROR(__xludf.DUMMYFUNCTION("""COMPUTED_VALUE"""),"")</f>
        <v/>
      </c>
    </row>
    <row r="73">
      <c r="A73" t="str">
        <f>IFERROR(__xludf.DUMMYFUNCTION("""COMPUTED_VALUE"""),"SR")</f>
        <v>SR</v>
      </c>
      <c r="B73" s="34">
        <f>IFERROR(__xludf.DUMMYFUNCTION("""COMPUTED_VALUE"""),43438.0)</f>
        <v>43438</v>
      </c>
      <c r="C73" t="str">
        <f>IFERROR(__xludf.DUMMYFUNCTION("""COMPUTED_VALUE"""),"SH")</f>
        <v>SH</v>
      </c>
      <c r="D73" s="45">
        <f>IFERROR(__xludf.DUMMYFUNCTION("""COMPUTED_VALUE"""),43571.0)</f>
        <v>43571</v>
      </c>
      <c r="E73" t="str">
        <f>IFERROR(__xludf.DUMMYFUNCTION("""COMPUTED_VALUE"""),"TRH")</f>
        <v>TRH</v>
      </c>
      <c r="F73" s="36">
        <f>IFERROR(__xludf.DUMMYFUNCTION("""COMPUTED_VALUE"""),43581.0)</f>
        <v>43581</v>
      </c>
      <c r="G73" t="str">
        <f>IFERROR(__xludf.DUMMYFUNCTION("""COMPUTED_VALUE"""),"")</f>
        <v/>
      </c>
      <c r="H73" t="str">
        <f>IFERROR(__xludf.DUMMYFUNCTION("""COMPUTED_VALUE"""),"0959-6526")</f>
        <v>0959-6526</v>
      </c>
      <c r="I73" t="str">
        <f>IFERROR(__xludf.DUMMYFUNCTION("""COMPUTED_VALUE"""),"Journal of Cleaner Production")</f>
        <v>Journal of Cleaner Production</v>
      </c>
      <c r="J73" t="str">
        <f>IFERROR(__xludf.DUMMYFUNCTION("""COMPUTED_VALUE"""),"")</f>
        <v/>
      </c>
      <c r="K73" t="str">
        <f>IFERROR(__xludf.DUMMYFUNCTION("""COMPUTED_VALUE"""),"Elsevier")</f>
        <v>Elsevier</v>
      </c>
      <c r="L73" t="str">
        <f>IFERROR(__xludf.DUMMYFUNCTION("""COMPUTED_VALUE"""),"Single blind")</f>
        <v>Single blind</v>
      </c>
      <c r="M73" s="78" t="str">
        <f>IFERROR(__xludf.DUMMYFUNCTION("""COMPUTED_VALUE"""),"https://www.elsevier.com/journals/journal-of-cleaner-production/0959-6526/guide-for-authors")</f>
        <v>https://www.elsevier.com/journals/journal-of-cleaner-production/0959-6526/guide-for-authors</v>
      </c>
      <c r="N73" t="str">
        <f>IFERROR(__xludf.DUMMYFUNCTION("""COMPUTED_VALUE"""),"")</f>
        <v/>
      </c>
      <c r="O73" s="78" t="str">
        <f>IFERROR(__xludf.DUMMYFUNCTION("""COMPUTED_VALUE"""),"https://www.elsevier.com/reviewers/role#RRP")</f>
        <v>https://www.elsevier.com/reviewers/role#RRP</v>
      </c>
      <c r="P73" t="str">
        <f>IFERROR(__xludf.DUMMYFUNCTION("""COMPUTED_VALUE"""),"Yes")</f>
        <v>Yes</v>
      </c>
      <c r="Q73"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3" s="78" t="str">
        <f>IFERROR(__xludf.DUMMYFUNCTION("""COMPUTED_VALUE"""),"https://www.elsevier.com/reviewers/what-is-peer-review")</f>
        <v>https://www.elsevier.com/reviewers/what-is-peer-review</v>
      </c>
      <c r="S73" t="str">
        <f>IFERROR(__xludf.DUMMYFUNCTION("""COMPUTED_VALUE"""),"Not specified")</f>
        <v>Not specified</v>
      </c>
      <c r="T73" t="str">
        <f>IFERROR(__xludf.DUMMYFUNCTION("""COMPUTED_VALUE"""),"Not specified")</f>
        <v>Not specified</v>
      </c>
      <c r="U73" t="str">
        <f>IFERROR(__xludf.DUMMYFUNCTION("""COMPUTED_VALUE"""),"Not specified")</f>
        <v>Not specified</v>
      </c>
      <c r="V73" t="str">
        <f>IFERROR(__xludf.DUMMYFUNCTION("""COMPUTED_VALUE"""),"Not specified")</f>
        <v>Not specified</v>
      </c>
      <c r="W73" t="str">
        <f>IFERROR(__xludf.DUMMYFUNCTION("""COMPUTED_VALUE"""),"Not specified")</f>
        <v>Not specified</v>
      </c>
      <c r="X73" t="str">
        <f>IFERROR(__xludf.DUMMYFUNCTION("""COMPUTED_VALUE"""),"Not specified")</f>
        <v>Not specified</v>
      </c>
      <c r="Y73" t="str">
        <f>IFERROR(__xludf.DUMMYFUNCTION("""COMPUTED_VALUE"""),"Not specified")</f>
        <v>Not specified</v>
      </c>
      <c r="Z73" t="str">
        <f>IFERROR(__xludf.DUMMYFUNCTION("""COMPUTED_VALUE"""),"Not specified")</f>
        <v>Not specified</v>
      </c>
      <c r="AA73" t="str">
        <f>IFERROR(__xludf.DUMMYFUNCTION("""COMPUTED_VALUE"""),"")</f>
        <v/>
      </c>
      <c r="AB73"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3" s="78" t="str">
        <f>IFERROR(__xludf.DUMMYFUNCTION("""COMPUTED_VALUE"""),"https://www.elsevier.com/reviewers/how-to-review")</f>
        <v>https://www.elsevier.com/reviewers/how-to-review</v>
      </c>
      <c r="AD73" t="str">
        <f>IFERROR(__xludf.DUMMYFUNCTION("""COMPUTED_VALUE"""),"Unsure")</f>
        <v>Unsure</v>
      </c>
      <c r="AE73" t="str">
        <f>IFERROR(__xludf.DUMMYFUNCTION("""COMPUTED_VALUE"""),"Unsure")</f>
        <v>Unsure</v>
      </c>
      <c r="AF73" t="str">
        <f>IFERROR(__xludf.DUMMYFUNCTION("""COMPUTED_VALUE"""),"Unsure")</f>
        <v>Unsure</v>
      </c>
      <c r="AG73" s="78" t="str">
        <f>IFERROR(__xludf.DUMMYFUNCTION("""COMPUTED_VALUE"""),"https://www.elsevier.com/about/policies/sharing")</f>
        <v>https://www.elsevier.com/about/policies/sharing</v>
      </c>
      <c r="AH73" t="str">
        <f>IFERROR(__xludf.DUMMYFUNCTION("""COMPUTED_VALUE"""),"Authors can share their preprint anywhere at any time.")</f>
        <v>Authors can share their preprint anywhere at any time.</v>
      </c>
      <c r="AI73" t="str">
        <f>IFERROR(__xludf.DUMMYFUNCTION("""COMPUTED_VALUE"""),"")</f>
        <v/>
      </c>
      <c r="AJ73" t="str">
        <f>IFERROR(__xludf.DUMMYFUNCTION("""COMPUTED_VALUE"""),"Not specified")</f>
        <v>Not specified</v>
      </c>
      <c r="AK73" t="str">
        <f>IFERROR(__xludf.DUMMYFUNCTION("""COMPUTED_VALUE"""),"Unsure")</f>
        <v>Unsure</v>
      </c>
      <c r="AL73" t="str">
        <f>IFERROR(__xludf.DUMMYFUNCTION("""COMPUTED_VALUE"""),"")</f>
        <v/>
      </c>
      <c r="AM73" t="str">
        <f>IFERROR(__xludf.DUMMYFUNCTION("""COMPUTED_VALUE"""),"")</f>
        <v/>
      </c>
      <c r="AN73" t="str">
        <f>IFERROR(__xludf.DUMMYFUNCTION("""COMPUTED_VALUE"""),"")</f>
        <v/>
      </c>
      <c r="AO73" t="str">
        <f>IFERROR(__xludf.DUMMYFUNCTION("""COMPUTED_VALUE"""),"")</f>
        <v/>
      </c>
      <c r="AP73" t="str">
        <f>IFERROR(__xludf.DUMMYFUNCTION("""COMPUTED_VALUE"""),"The journal of cleaner production is published by Elsevier, so many of their general policies apply. As you go through many Elsevier journals, it becomes easier to locate and understand their policies which frequently overlap.")</f>
        <v>The journal of cleaner production is published by Elsevier, so many of their general policies apply. As you go through many Elsevier journals, it becomes easier to locate and understand their policies which frequently overlap.</v>
      </c>
      <c r="AQ73" t="str">
        <f>IFERROR(__xludf.DUMMYFUNCTION("""COMPUTED_VALUE"""),"10 mins")</f>
        <v>10 mins</v>
      </c>
      <c r="AR73" t="str">
        <f>IFERROR(__xludf.DUMMYFUNCTION("""COMPUTED_VALUE"""),"")</f>
        <v/>
      </c>
    </row>
    <row r="74">
      <c r="A74" t="str">
        <f>IFERROR(__xludf.DUMMYFUNCTION("""COMPUTED_VALUE"""),"SR")</f>
        <v>SR</v>
      </c>
      <c r="B74" s="34">
        <f>IFERROR(__xludf.DUMMYFUNCTION("""COMPUTED_VALUE"""),43438.0)</f>
        <v>43438</v>
      </c>
      <c r="C74" t="str">
        <f>IFERROR(__xludf.DUMMYFUNCTION("""COMPUTED_VALUE"""),"SH")</f>
        <v>SH</v>
      </c>
      <c r="D74" s="45">
        <f>IFERROR(__xludf.DUMMYFUNCTION("""COMPUTED_VALUE"""),43571.0)</f>
        <v>43571</v>
      </c>
      <c r="E74" t="str">
        <f>IFERROR(__xludf.DUMMYFUNCTION("""COMPUTED_VALUE"""),"TRH")</f>
        <v>TRH</v>
      </c>
      <c r="F74" s="36">
        <f>IFERROR(__xludf.DUMMYFUNCTION("""COMPUTED_VALUE"""),43581.0)</f>
        <v>43581</v>
      </c>
      <c r="G74" t="str">
        <f>IFERROR(__xludf.DUMMYFUNCTION("""COMPUTED_VALUE"""),"")</f>
        <v/>
      </c>
      <c r="H74" t="str">
        <f>IFERROR(__xludf.DUMMYFUNCTION("""COMPUTED_VALUE"""),"1527-7755")</f>
        <v>1527-7755</v>
      </c>
      <c r="I74" t="str">
        <f>IFERROR(__xludf.DUMMYFUNCTION("""COMPUTED_VALUE"""),"Journal of Clinical Oncology")</f>
        <v>Journal of Clinical Oncology</v>
      </c>
      <c r="J74" t="str">
        <f>IFERROR(__xludf.DUMMYFUNCTION("""COMPUTED_VALUE"""),"Health &amp; Medical Sciences")</f>
        <v>Health &amp; Medical Sciences</v>
      </c>
      <c r="K74" t="str">
        <f>IFERROR(__xludf.DUMMYFUNCTION("""COMPUTED_VALUE"""),"American Society of Clinical Oncology")</f>
        <v>American Society of Clinical Oncology</v>
      </c>
      <c r="L74" t="str">
        <f>IFERROR(__xludf.DUMMYFUNCTION("""COMPUTED_VALUE"""),"Single blind")</f>
        <v>Single blind</v>
      </c>
      <c r="M74" s="78" t="str">
        <f>IFERROR(__xludf.DUMMYFUNCTION("""COMPUTED_VALUE"""),"http://ascopubs.org/jco/site/ifc/my-article-was-submitted.xhtml")</f>
        <v>http://ascopubs.org/jco/site/ifc/my-article-was-submitted.xhtml</v>
      </c>
      <c r="N74" t="str">
        <f>IFERROR(__xludf.DUMMYFUNCTION("""COMPUTED_VALUE"""),"")</f>
        <v/>
      </c>
      <c r="O74" s="78" t="str">
        <f>IFERROR(__xludf.DUMMYFUNCTION("""COMPUTED_VALUE"""),"http://ascopubs.org/reviewers")</f>
        <v>http://ascopubs.org/reviewers</v>
      </c>
      <c r="P74" t="str">
        <f>IFERROR(__xludf.DUMMYFUNCTION("""COMPUTED_VALUE"""),"No")</f>
        <v>No</v>
      </c>
      <c r="Q74" t="str">
        <f>IFERROR(__xludf.DUMMYFUNCTION("""COMPUTED_VALUE"""),"")</f>
        <v/>
      </c>
      <c r="R74" t="str">
        <f>IFERROR(__xludf.DUMMYFUNCTION("""COMPUTED_VALUE"""),"")</f>
        <v/>
      </c>
      <c r="S74" t="str">
        <f>IFERROR(__xludf.DUMMYFUNCTION("""COMPUTED_VALUE"""),"Not specified")</f>
        <v>Not specified</v>
      </c>
      <c r="T74" t="str">
        <f>IFERROR(__xludf.DUMMYFUNCTION("""COMPUTED_VALUE"""),"Not specified")</f>
        <v>Not specified</v>
      </c>
      <c r="U74" t="str">
        <f>IFERROR(__xludf.DUMMYFUNCTION("""COMPUTED_VALUE"""),"Not specified")</f>
        <v>Not specified</v>
      </c>
      <c r="V74" t="str">
        <f>IFERROR(__xludf.DUMMYFUNCTION("""COMPUTED_VALUE"""),"Not specified")</f>
        <v>Not specified</v>
      </c>
      <c r="W74" t="str">
        <f>IFERROR(__xludf.DUMMYFUNCTION("""COMPUTED_VALUE"""),"Not specified")</f>
        <v>Not specified</v>
      </c>
      <c r="X74" t="str">
        <f>IFERROR(__xludf.DUMMYFUNCTION("""COMPUTED_VALUE"""),"Not specified")</f>
        <v>Not specified</v>
      </c>
      <c r="Y74" t="str">
        <f>IFERROR(__xludf.DUMMYFUNCTION("""COMPUTED_VALUE"""),"Not specified")</f>
        <v>Not specified</v>
      </c>
      <c r="Z74" t="str">
        <f>IFERROR(__xludf.DUMMYFUNCTION("""COMPUTED_VALUE"""),"Not specified")</f>
        <v>Not specified</v>
      </c>
      <c r="AA74" t="str">
        <f>IFERROR(__xludf.DUMMYFUNCTION("""COMPUTED_VALUE"""),"")</f>
        <v/>
      </c>
      <c r="AB74" t="str">
        <f>IFERROR(__xludf.DUMMYFUNCTION("""COMPUTED_VALUE"""),"")</f>
        <v/>
      </c>
      <c r="AC74" t="str">
        <f>IFERROR(__xludf.DUMMYFUNCTION("""COMPUTED_VALUE"""),"")</f>
        <v/>
      </c>
      <c r="AD74" t="str">
        <f>IFERROR(__xludf.DUMMYFUNCTION("""COMPUTED_VALUE"""),"Unsure")</f>
        <v>Unsure</v>
      </c>
      <c r="AE74" t="str">
        <f>IFERROR(__xludf.DUMMYFUNCTION("""COMPUTED_VALUE"""),"Unsure")</f>
        <v>Unsure</v>
      </c>
      <c r="AF74" t="str">
        <f>IFERROR(__xludf.DUMMYFUNCTION("""COMPUTED_VALUE"""),"Unsure")</f>
        <v>Unsure</v>
      </c>
      <c r="AG74" s="78" t="str">
        <f>IFERROR(__xludf.DUMMYFUNCTION("""COMPUTED_VALUE"""),"http://ascopubs.org/jco/site/ifc/journal-policies.xhtml")</f>
        <v>http://ascopubs.org/jco/site/ifc/journal-policies.xhtml</v>
      </c>
      <c r="AH74" t="str">
        <f>IFERROR(__xludf.DUMMYFUNCTION("""COMPUTED_VALUE"""),"First submission only (before peer review)")</f>
        <v>First submission only (before peer review)</v>
      </c>
      <c r="AI74" t="str">
        <f>IFERROR(__xludf.DUMMYFUNCTION("""COMPUTED_VALUE"""),"ASCO journals will consider publication of manuscripts that contain information previously posted on preprint servers. However, authors should be advised that the degree to which the submitted manuscript overlaps with what is already posted on the preprin"&amp;"t server may affect the novelty of the findings for ASCO journal readership, and this will be taken into account in the evaluation of the manuscript. If a report has been published on a preprint server prior to manuscript submission, this must be acknowle"&amp;"dged during the submission process. In addition, a link to that document must be provided so that reviewers and editors can evaluate the preprinted information and compare it with the submitted manuscript. Failure to acknowledge prior dissemination of res"&amp;"earch posted on preprint servers or similar databases will jeopardize the status of the submission. When such a manuscript has been submitted to an ASCO journal, no revisions should be posted to the preprint server during the manuscript's peer review proc"&amp;"ess. If the manuscript is eventually accepted for publication, no revisions should be posted on the preprint server until the final manuscript is published online by ASCO, and any such revisions must not deviate from the final version of the manuscript pu"&amp;"blished by ASCO. Finally, once the manuscript has been published by an ASCO journal, any future changes to the manuscript such as errata, discovered by the authors after journal publication for instance, must be first submitted, approved, and published by"&amp;" ASCO, prior to making any changes to the preprint document. Violation of this preprint policy will be considered grounds for article retraction.")</f>
        <v>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v>
      </c>
      <c r="AJ74" t="str">
        <f>IFERROR(__xludf.DUMMYFUNCTION("""COMPUTED_VALUE"""),"Not specified")</f>
        <v>Not specified</v>
      </c>
      <c r="AK74" t="str">
        <f>IFERROR(__xludf.DUMMYFUNCTION("""COMPUTED_VALUE"""),"Unsure")</f>
        <v>Unsure</v>
      </c>
      <c r="AL74" t="str">
        <f>IFERROR(__xludf.DUMMYFUNCTION("""COMPUTED_VALUE"""),"")</f>
        <v/>
      </c>
      <c r="AM74" t="str">
        <f>IFERROR(__xludf.DUMMYFUNCTION("""COMPUTED_VALUE"""),"")</f>
        <v/>
      </c>
      <c r="AN74" t="str">
        <f>IFERROR(__xludf.DUMMYFUNCTION("""COMPUTED_VALUE"""),"")</f>
        <v/>
      </c>
      <c r="AO74" t="str">
        <f>IFERROR(__xludf.DUMMYFUNCTION("""COMPUTED_VALUE"""),"")</f>
        <v/>
      </c>
      <c r="AP74" t="str">
        <f>IFERROR(__xludf.DUMMYFUNCTION("""COMPUTED_VALUE"""),"The journal details its review process, but it is very difficult to locate the information. No information on co-reviewing and/or open peer review is provided (which is taken to mean that these are not a priority for the editors). Their preprint policy st"&amp;"ates that they allow preprints but only if they are substantially different to the version submitted to the journal. They also mention in two separate places on the same page that work must be original and not made available elsewhere!! Hmmm...")</f>
        <v>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v>
      </c>
      <c r="AQ74" t="str">
        <f>IFERROR(__xludf.DUMMYFUNCTION("""COMPUTED_VALUE"""),"20 mins")</f>
        <v>20 mins</v>
      </c>
      <c r="AR74" t="str">
        <f>IFERROR(__xludf.DUMMYFUNCTION("""COMPUTED_VALUE"""),"")</f>
        <v/>
      </c>
    </row>
    <row r="75">
      <c r="A75" t="str">
        <f>IFERROR(__xludf.DUMMYFUNCTION("""COMPUTED_VALUE"""),"SR")</f>
        <v>SR</v>
      </c>
      <c r="B75" s="34">
        <f>IFERROR(__xludf.DUMMYFUNCTION("""COMPUTED_VALUE"""),43438.0)</f>
        <v>43438</v>
      </c>
      <c r="C75" t="str">
        <f>IFERROR(__xludf.DUMMYFUNCTION("""COMPUTED_VALUE"""),"TRH")</f>
        <v>TRH</v>
      </c>
      <c r="D75" s="36">
        <f>IFERROR(__xludf.DUMMYFUNCTION("""COMPUTED_VALUE"""),43575.0)</f>
        <v>43575</v>
      </c>
      <c r="E75" t="str">
        <f>IFERROR(__xludf.DUMMYFUNCTION("""COMPUTED_VALUE"""),"JP")</f>
        <v>JP</v>
      </c>
      <c r="F75" s="36">
        <f>IFERROR(__xludf.DUMMYFUNCTION("""COMPUTED_VALUE"""),43581.0)</f>
        <v>43581</v>
      </c>
      <c r="G75" t="str">
        <f>IFERROR(__xludf.DUMMYFUNCTION("""COMPUTED_VALUE"""),"Having trouble finding info about ""Nos"" in OPR - TRH, changed to not spec'd")</f>
        <v>Having trouble finding info about "Nos" in OPR - TRH, changed to not spec'd</v>
      </c>
      <c r="H75" t="str">
        <f>IFERROR(__xludf.DUMMYFUNCTION("""COMPUTED_VALUE"""),"1460-2466")</f>
        <v>1460-2466</v>
      </c>
      <c r="I75" t="str">
        <f>IFERROR(__xludf.DUMMYFUNCTION("""COMPUTED_VALUE"""),"Journal of Communication")</f>
        <v>Journal of Communication</v>
      </c>
      <c r="J75" t="str">
        <f>IFERROR(__xludf.DUMMYFUNCTION("""COMPUTED_VALUE"""),"Humanities, Literature &amp; Arts")</f>
        <v>Humanities, Literature &amp; Arts</v>
      </c>
      <c r="K75" t="str">
        <f>IFERROR(__xludf.DUMMYFUNCTION("""COMPUTED_VALUE"""),"Oxford University Press (formerly Wiley until 2018) for International Communication Association")</f>
        <v>Oxford University Press (formerly Wiley until 2018) for International Communication Association</v>
      </c>
      <c r="L75" t="str">
        <f>IFERROR(__xludf.DUMMYFUNCTION("""COMPUTED_VALUE"""),"Unsure")</f>
        <v>Unsure</v>
      </c>
      <c r="M75" s="78" t="str">
        <f>IFERROR(__xludf.DUMMYFUNCTION("""COMPUTED_VALUE"""),"https://academic.oup.com/joc/pages/General_Instructions#Peer%20review")</f>
        <v>https://academic.oup.com/joc/pages/General_Instructions#Peer%20review</v>
      </c>
      <c r="N75" t="str">
        <f>IFERROR(__xludf.DUMMYFUNCTION("""COMPUTED_VALUE"""),"")</f>
        <v/>
      </c>
      <c r="O75" t="str">
        <f>IFERROR(__xludf.DUMMYFUNCTION("""COMPUTED_VALUE"""),"")</f>
        <v/>
      </c>
      <c r="P75" t="str">
        <f>IFERROR(__xludf.DUMMYFUNCTION("""COMPUTED_VALUE"""),"Unsure")</f>
        <v>Unsure</v>
      </c>
      <c r="Q75" t="str">
        <f>IFERROR(__xludf.DUMMYFUNCTION("""COMPUTED_VALUE"""),"")</f>
        <v/>
      </c>
      <c r="R75" t="str">
        <f>IFERROR(__xludf.DUMMYFUNCTION("""COMPUTED_VALUE"""),"")</f>
        <v/>
      </c>
      <c r="S75" t="str">
        <f>IFERROR(__xludf.DUMMYFUNCTION("""COMPUTED_VALUE"""),"Not specified")</f>
        <v>Not specified</v>
      </c>
      <c r="T75" t="str">
        <f>IFERROR(__xludf.DUMMYFUNCTION("""COMPUTED_VALUE"""),"Not specified")</f>
        <v>Not specified</v>
      </c>
      <c r="U75" t="str">
        <f>IFERROR(__xludf.DUMMYFUNCTION("""COMPUTED_VALUE"""),"Not specified")</f>
        <v>Not specified</v>
      </c>
      <c r="V75" t="str">
        <f>IFERROR(__xludf.DUMMYFUNCTION("""COMPUTED_VALUE"""),"Not specified")</f>
        <v>Not specified</v>
      </c>
      <c r="W75" t="str">
        <f>IFERROR(__xludf.DUMMYFUNCTION("""COMPUTED_VALUE"""),"Not specified")</f>
        <v>Not specified</v>
      </c>
      <c r="X75" t="str">
        <f>IFERROR(__xludf.DUMMYFUNCTION("""COMPUTED_VALUE"""),"Not specified")</f>
        <v>Not specified</v>
      </c>
      <c r="Y75" t="str">
        <f>IFERROR(__xludf.DUMMYFUNCTION("""COMPUTED_VALUE"""),"Not specified")</f>
        <v>Not specified</v>
      </c>
      <c r="Z75" t="str">
        <f>IFERROR(__xludf.DUMMYFUNCTION("""COMPUTED_VALUE"""),"Not specified")</f>
        <v>Not specified</v>
      </c>
      <c r="AA75" t="str">
        <f>IFERROR(__xludf.DUMMYFUNCTION("""COMPUTED_VALUE"""),"")</f>
        <v/>
      </c>
      <c r="AB75" t="str">
        <f>IFERROR(__xludf.DUMMYFUNCTION("""COMPUTED_VALUE"""),"Not specified")</f>
        <v>Not specified</v>
      </c>
      <c r="AC75" t="str">
        <f>IFERROR(__xludf.DUMMYFUNCTION("""COMPUTED_VALUE"""),"")</f>
        <v/>
      </c>
      <c r="AD75" t="str">
        <f>IFERROR(__xludf.DUMMYFUNCTION("""COMPUTED_VALUE"""),"Unsure")</f>
        <v>Unsure</v>
      </c>
      <c r="AE75" t="str">
        <f>IFERROR(__xludf.DUMMYFUNCTION("""COMPUTED_VALUE"""),"Unsure")</f>
        <v>Unsure</v>
      </c>
      <c r="AF75" t="str">
        <f>IFERROR(__xludf.DUMMYFUNCTION("""COMPUTED_VALUE"""),"Unsure")</f>
        <v>Unsure</v>
      </c>
      <c r="AG75" s="78" t="str">
        <f>IFERROR(__xludf.DUMMYFUNCTION("""COMPUTED_VALUE"""),"https://academic.oup.com/journals/pages/access_purchase/rights_and_permissions/self_archiving_policy_f")</f>
        <v>https://academic.oup.com/journals/pages/access_purchase/rights_and_permissions/self_archiving_policy_f</v>
      </c>
      <c r="AH75" t="str">
        <f>IFERROR(__xludf.DUMMYFUNCTION("""COMPUTED_VALUE"""),"First submission only (before peer review)")</f>
        <v>First submission only (before peer review)</v>
      </c>
      <c r="AI75" t="str">
        <f>IFERROR(__xludf.DUMMYFUNCTION("""COMPUTED_VALUE"""),"")</f>
        <v/>
      </c>
      <c r="AJ75" t="str">
        <f>IFERROR(__xludf.DUMMYFUNCTION("""COMPUTED_VALUE"""),"Not specified")</f>
        <v>Not specified</v>
      </c>
      <c r="AK75" t="str">
        <f>IFERROR(__xludf.DUMMYFUNCTION("""COMPUTED_VALUE"""),"")</f>
        <v/>
      </c>
      <c r="AL75" t="str">
        <f>IFERROR(__xludf.DUMMYFUNCTION("""COMPUTED_VALUE"""),"")</f>
        <v/>
      </c>
      <c r="AM75" t="str">
        <f>IFERROR(__xludf.DUMMYFUNCTION("""COMPUTED_VALUE"""),"")</f>
        <v/>
      </c>
      <c r="AN75" t="str">
        <f>IFERROR(__xludf.DUMMYFUNCTION("""COMPUTED_VALUE"""),"")</f>
        <v/>
      </c>
      <c r="AO75" t="str">
        <f>IFERROR(__xludf.DUMMYFUNCTION("""COMPUTED_VALUE"""),"")</f>
        <v/>
      </c>
      <c r="AP75" t="str">
        <f>IFERROR(__xludf.DUMMYFUNCTION("""COMPUTED_VALUE"""),"")</f>
        <v/>
      </c>
      <c r="AQ75" t="str">
        <f>IFERROR(__xludf.DUMMYFUNCTION("""COMPUTED_VALUE"""),"")</f>
        <v/>
      </c>
      <c r="AR75" t="str">
        <f>IFERROR(__xludf.DUMMYFUNCTION("""COMPUTED_VALUE"""),"")</f>
        <v/>
      </c>
    </row>
    <row r="76">
      <c r="A76" t="str">
        <f>IFERROR(__xludf.DUMMYFUNCTION("""COMPUTED_VALUE"""),"SH")</f>
        <v>SH</v>
      </c>
      <c r="B76" s="34">
        <f>IFERROR(__xludf.DUMMYFUNCTION("""COMPUTED_VALUE"""),43475.0)</f>
        <v>43475</v>
      </c>
      <c r="C76" t="str">
        <f>IFERROR(__xludf.DUMMYFUNCTION("""COMPUTED_VALUE"""),"TRH")</f>
        <v>TRH</v>
      </c>
      <c r="D76" s="36">
        <f>IFERROR(__xludf.DUMMYFUNCTION("""COMPUTED_VALUE"""),43575.0)</f>
        <v>43575</v>
      </c>
      <c r="E76" t="str">
        <f>IFERROR(__xludf.DUMMYFUNCTION("""COMPUTED_VALUE"""),"JP")</f>
        <v>JP</v>
      </c>
      <c r="F76" s="36">
        <f>IFERROR(__xludf.DUMMYFUNCTION("""COMPUTED_VALUE"""),43581.0)</f>
        <v>43581</v>
      </c>
      <c r="G76" t="str">
        <f>IFERROR(__xludf.DUMMYFUNCTION("""COMPUTED_VALUE"""),"Added reference for statement about no OPR at IOP journals, and link for coreviewing policy, and note about preprint requirement")</f>
        <v>Added reference for statement about no OPR at IOP journals, and link for coreviewing policy, and note about preprint requirement</v>
      </c>
      <c r="H76" t="str">
        <f>IFERROR(__xludf.DUMMYFUNCTION("""COMPUTED_VALUE"""),"1475-7516")</f>
        <v>1475-7516</v>
      </c>
      <c r="I76" t="str">
        <f>IFERROR(__xludf.DUMMYFUNCTION("""COMPUTED_VALUE"""),"Journal of Cosmology and Astroparticle Physics")</f>
        <v>Journal of Cosmology and Astroparticle Physics</v>
      </c>
      <c r="J76" t="str">
        <f>IFERROR(__xludf.DUMMYFUNCTION("""COMPUTED_VALUE"""),"Physics &amp; Mathematics")</f>
        <v>Physics &amp; Mathematics</v>
      </c>
      <c r="K76" t="str">
        <f>IFERROR(__xludf.DUMMYFUNCTION("""COMPUTED_VALUE"""),"IOP Publishing &amp; SISSA (International School for Advanced Studies)")</f>
        <v>IOP Publishing &amp; SISSA (International School for Advanced Studies)</v>
      </c>
      <c r="L76" t="str">
        <f>IFERROR(__xludf.DUMMYFUNCTION("""COMPUTED_VALUE"""),"Single blind")</f>
        <v>Single blind</v>
      </c>
      <c r="M76" s="78" t="str">
        <f>IFERROR(__xludf.DUMMYFUNCTION("""COMPUTED_VALUE"""),"https://publishingsupport.iopscience.iop.org/becoming-a-journal-reviewer/")</f>
        <v>https://publishingsupport.iopscience.iop.org/becoming-a-journal-reviewer/</v>
      </c>
      <c r="N76" t="str">
        <f>IFERROR(__xludf.DUMMYFUNCTION("""COMPUTED_VALUE"""),"")</f>
        <v/>
      </c>
      <c r="O76" s="78" t="str">
        <f>IFERROR(__xludf.DUMMYFUNCTION("""COMPUTED_VALUE"""),"https://publishingsupport.iopscience.iop.org/becoming-a-journal-reviewer/")</f>
        <v>https://publishingsupport.iopscience.iop.org/becoming-a-journal-reviewer/</v>
      </c>
      <c r="P76" t="str">
        <f>IFERROR(__xludf.DUMMYFUNCTION("""COMPUTED_VALUE"""),"Yes")</f>
        <v>Yes</v>
      </c>
      <c r="Q76" t="str">
        <f>IFERROR(__xludf.DUMMYFUNCTION("""COMPUTED_VALUE"""),"""As part of our service to authors, IOP Publishing offers a free article transfer service with each of our journals. If your submission to your initial journal of choice is unsuccessful, we may suggest another one of our titles for you to consider, which"&amp;" we believe is a more suitable home for your research. If you accept this suggestion, we will transfer all information relating to your article to the new journal (including referee reports if available), so your submission can be considered for publicati"&amp;"on by the new journal without delay.""")</f>
        <v>"As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v>
      </c>
      <c r="R76" s="78" t="str">
        <f>IFERROR(__xludf.DUMMYFUNCTION("""COMPUTED_VALUE"""),"https://publishingsupport.iopscience.iop.org/questions/article-transfer-service/")</f>
        <v>https://publishingsupport.iopscience.iop.org/questions/article-transfer-service/</v>
      </c>
      <c r="S76" t="str">
        <f>IFERROR(__xludf.DUMMYFUNCTION("""COMPUTED_VALUE"""),"No")</f>
        <v>No</v>
      </c>
      <c r="T76" t="str">
        <f>IFERROR(__xludf.DUMMYFUNCTION("""COMPUTED_VALUE"""),"No")</f>
        <v>No</v>
      </c>
      <c r="U76" t="str">
        <f>IFERROR(__xludf.DUMMYFUNCTION("""COMPUTED_VALUE"""),"No")</f>
        <v>No</v>
      </c>
      <c r="V76" t="str">
        <f>IFERROR(__xludf.DUMMYFUNCTION("""COMPUTED_VALUE"""),"No")</f>
        <v>No</v>
      </c>
      <c r="W76" t="str">
        <f>IFERROR(__xludf.DUMMYFUNCTION("""COMPUTED_VALUE"""),"No")</f>
        <v>No</v>
      </c>
      <c r="X76" t="str">
        <f>IFERROR(__xludf.DUMMYFUNCTION("""COMPUTED_VALUE"""),"Optional")</f>
        <v>Optional</v>
      </c>
      <c r="Y76" t="str">
        <f>IFERROR(__xludf.DUMMYFUNCTION("""COMPUTED_VALUE"""),"Not specified")</f>
        <v>Not specified</v>
      </c>
      <c r="Z76" t="str">
        <f>IFERROR(__xludf.DUMMYFUNCTION("""COMPUTED_VALUE"""),"Not specified")</f>
        <v>Not specified</v>
      </c>
      <c r="AA76" t="str">
        <f>IFERROR(__xludf.DUMMYFUNCTION("""COMPUTED_VALUE"""),"None of our journals conduct any form of open peer review (in which the identity of the reviewer is revealed, the peer review contents are made publicly available or anyone interested in reviewing the article can do so post-publication). - https://publish"&amp;"ingsupport.iopscience.iop.org/questions/peer-review-models-on-iop-journals/")</f>
        <v>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v>
      </c>
      <c r="AB76" t="str">
        <f>IFERROR(__xludf.DUMMYFUNCTION("""COMPUTED_VALUE"""),"We also ask that you do not discuss the papers you have reviewed with colleagues unless they have been published.")</f>
        <v>We also ask that you do not discuss the papers you have reviewed with colleagues unless they have been published.</v>
      </c>
      <c r="AC76" s="78" t="str">
        <f>IFERROR(__xludf.DUMMYFUNCTION("""COMPUTED_VALUE"""),"https://publishingsupport.iopscience.iop.org/questions/ethics-for-reviewers/")</f>
        <v>https://publishingsupport.iopscience.iop.org/questions/ethics-for-reviewers/</v>
      </c>
      <c r="AD76" t="str">
        <f>IFERROR(__xludf.DUMMYFUNCTION("""COMPUTED_VALUE"""),"No")</f>
        <v>No</v>
      </c>
      <c r="AE76" t="str">
        <f>IFERROR(__xludf.DUMMYFUNCTION("""COMPUTED_VALUE"""),"Unsure")</f>
        <v>Unsure</v>
      </c>
      <c r="AF76" t="str">
        <f>IFERROR(__xludf.DUMMYFUNCTION("""COMPUTED_VALUE"""),"Unsure")</f>
        <v>Unsure</v>
      </c>
      <c r="AG76" s="78" t="str">
        <f>IFERROR(__xludf.DUMMYFUNCTION("""COMPUTED_VALUE"""),"https://jcap.sissa.it/jcap/help/helpLoader.jsp?pgType=flow")</f>
        <v>https://jcap.sissa.it/jcap/help/helpLoader.jsp?pgType=flow</v>
      </c>
      <c r="AH76" t="str">
        <f>IFERROR(__xludf.DUMMYFUNCTION("""COMPUTED_VALUE"""),"Any")</f>
        <v>Any</v>
      </c>
      <c r="AI76" t="str">
        <f>IFERROR(__xludf.DUMMYFUNCTION("""COMPUTED_VALUE"""),"Only arXiv is explicitly stated (journal runs innovative submission where, in addition to traditional, authors can submit directly via arXiv).")</f>
        <v>Only arXiv is explicitly stated (journal runs innovative submission where, in addition to traditional, authors can submit directly via arXiv).</v>
      </c>
      <c r="AJ76" t="str">
        <f>IFERROR(__xludf.DUMMYFUNCTION("""COMPUTED_VALUE"""),"Unsure")</f>
        <v>Unsure</v>
      </c>
      <c r="AK76" t="str">
        <f>IFERROR(__xludf.DUMMYFUNCTION("""COMPUTED_VALUE"""),"Unsure")</f>
        <v>Unsure</v>
      </c>
      <c r="AL76" t="str">
        <f>IFERROR(__xludf.DUMMYFUNCTION("""COMPUTED_VALUE"""),"")</f>
        <v/>
      </c>
      <c r="AM76" t="str">
        <f>IFERROR(__xludf.DUMMYFUNCTION("""COMPUTED_VALUE"""),"")</f>
        <v/>
      </c>
      <c r="AN76" t="str">
        <f>IFERROR(__xludf.DUMMYFUNCTION("""COMPUTED_VALUE"""),"")</f>
        <v/>
      </c>
      <c r="AO76" t="str">
        <f>IFERROR(__xludf.DUMMYFUNCTION("""COMPUTED_VALUE"""),"")</f>
        <v/>
      </c>
      <c r="AP76" t="str">
        <f>IFERROR(__xludf.DUMMYFUNCTION("""COMPUTED_VALUE"""),"""It is required to provide an ArXiv id to submit an article to the journal."" - https://jcap.sissa.it/jcap/help/helpLoader.jsp?pgType=flow#general")</f>
        <v>"It is required to provide an ArXiv id to submit an article to the journal." - https://jcap.sissa.it/jcap/help/helpLoader.jsp?pgType=flow#general</v>
      </c>
      <c r="AQ76" t="str">
        <f>IFERROR(__xludf.DUMMYFUNCTION("""COMPUTED_VALUE"""),"")</f>
        <v/>
      </c>
      <c r="AR76" t="str">
        <f>IFERROR(__xludf.DUMMYFUNCTION("""COMPUTED_VALUE"""),"")</f>
        <v/>
      </c>
    </row>
    <row r="77">
      <c r="A77" t="str">
        <f>IFERROR(__xludf.DUMMYFUNCTION("""COMPUTED_VALUE"""),"SH")</f>
        <v>SH</v>
      </c>
      <c r="B77" s="34">
        <f>IFERROR(__xludf.DUMMYFUNCTION("""COMPUTED_VALUE"""),43475.0)</f>
        <v>43475</v>
      </c>
      <c r="C77" t="str">
        <f>IFERROR(__xludf.DUMMYFUNCTION("""COMPUTED_VALUE"""),"TRH")</f>
        <v>TRH</v>
      </c>
      <c r="D77" s="36">
        <f>IFERROR(__xludf.DUMMYFUNCTION("""COMPUTED_VALUE"""),43575.0)</f>
        <v>43575</v>
      </c>
      <c r="E77" t="str">
        <f>IFERROR(__xludf.DUMMYFUNCTION("""COMPUTED_VALUE"""),"JP")</f>
        <v>JP</v>
      </c>
      <c r="F77" s="36">
        <f>IFERROR(__xludf.DUMMYFUNCTION("""COMPUTED_VALUE"""),43581.0)</f>
        <v>43581</v>
      </c>
      <c r="G77" t="str">
        <f>IFERROR(__xludf.DUMMYFUNCTION("""COMPUTED_VALUE"""),"Where is info about not allowing coreviewers? [Changed to unsure] Also changed preprint data to reflect no preprint policy (unsure whether they can be cited) [ok]")</f>
        <v>Where is info about not allowing coreviewers? [Changed to unsure] Also changed preprint data to reflect no preprint policy (unsure whether they can be cited) [ok]</v>
      </c>
      <c r="H77" t="str">
        <f>IFERROR(__xludf.DUMMYFUNCTION("""COMPUTED_VALUE"""),"1944-7965")</f>
        <v>1944-7965</v>
      </c>
      <c r="I77" t="str">
        <f>IFERROR(__xludf.DUMMYFUNCTION("""COMPUTED_VALUE"""),"Journal of Economic Perspectives")</f>
        <v>Journal of Economic Perspectives</v>
      </c>
      <c r="J77" t="str">
        <f>IFERROR(__xludf.DUMMYFUNCTION("""COMPUTED_VALUE"""),"Business, Economics &amp; Management")</f>
        <v>Business, Economics &amp; Management</v>
      </c>
      <c r="K77" t="str">
        <f>IFERROR(__xludf.DUMMYFUNCTION("""COMPUTED_VALUE"""),"American Economic Association")</f>
        <v>American Economic Association</v>
      </c>
      <c r="L77" t="str">
        <f>IFERROR(__xludf.DUMMYFUNCTION("""COMPUTED_VALUE"""),"Unsure")</f>
        <v>Unsure</v>
      </c>
      <c r="M77" s="78" t="str">
        <f>IFERROR(__xludf.DUMMYFUNCTION("""COMPUTED_VALUE"""),"https://www.aeaweb.org/journals/jep/submissions")</f>
        <v>https://www.aeaweb.org/journals/jep/submissions</v>
      </c>
      <c r="N77" t="str">
        <f>IFERROR(__xludf.DUMMYFUNCTION("""COMPUTED_VALUE"""),"")</f>
        <v/>
      </c>
      <c r="O77" t="str">
        <f>IFERROR(__xludf.DUMMYFUNCTION("""COMPUTED_VALUE"""),"")</f>
        <v/>
      </c>
      <c r="P77" t="str">
        <f>IFERROR(__xludf.DUMMYFUNCTION("""COMPUTED_VALUE"""),"Unsure")</f>
        <v>Unsure</v>
      </c>
      <c r="Q77" t="str">
        <f>IFERROR(__xludf.DUMMYFUNCTION("""COMPUTED_VALUE"""),"")</f>
        <v/>
      </c>
      <c r="R77" t="str">
        <f>IFERROR(__xludf.DUMMYFUNCTION("""COMPUTED_VALUE"""),"")</f>
        <v/>
      </c>
      <c r="S77" t="str">
        <f>IFERROR(__xludf.DUMMYFUNCTION("""COMPUTED_VALUE"""),"Not specified")</f>
        <v>Not specified</v>
      </c>
      <c r="T77" t="str">
        <f>IFERROR(__xludf.DUMMYFUNCTION("""COMPUTED_VALUE"""),"Not specified")</f>
        <v>Not specified</v>
      </c>
      <c r="U77" t="str">
        <f>IFERROR(__xludf.DUMMYFUNCTION("""COMPUTED_VALUE"""),"Not specified")</f>
        <v>Not specified</v>
      </c>
      <c r="V77" t="str">
        <f>IFERROR(__xludf.DUMMYFUNCTION("""COMPUTED_VALUE"""),"Not specified")</f>
        <v>Not specified</v>
      </c>
      <c r="W77" t="str">
        <f>IFERROR(__xludf.DUMMYFUNCTION("""COMPUTED_VALUE"""),"Not specified")</f>
        <v>Not specified</v>
      </c>
      <c r="X77" t="str">
        <f>IFERROR(__xludf.DUMMYFUNCTION("""COMPUTED_VALUE"""),"Not specified")</f>
        <v>Not specified</v>
      </c>
      <c r="Y77" t="str">
        <f>IFERROR(__xludf.DUMMYFUNCTION("""COMPUTED_VALUE"""),"Not specified")</f>
        <v>Not specified</v>
      </c>
      <c r="Z77" t="str">
        <f>IFERROR(__xludf.DUMMYFUNCTION("""COMPUTED_VALUE"""),"Not specified")</f>
        <v>Not specified</v>
      </c>
      <c r="AA77" t="str">
        <f>IFERROR(__xludf.DUMMYFUNCTION("""COMPUTED_VALUE"""),"")</f>
        <v/>
      </c>
      <c r="AB77" t="str">
        <f>IFERROR(__xludf.DUMMYFUNCTION("""COMPUTED_VALUE"""),"")</f>
        <v/>
      </c>
      <c r="AC77" t="str">
        <f>IFERROR(__xludf.DUMMYFUNCTION("""COMPUTED_VALUE"""),"")</f>
        <v/>
      </c>
      <c r="AD77" t="str">
        <f>IFERROR(__xludf.DUMMYFUNCTION("""COMPUTED_VALUE"""),"Unsure")</f>
        <v>Unsure</v>
      </c>
      <c r="AE77" t="str">
        <f>IFERROR(__xludf.DUMMYFUNCTION("""COMPUTED_VALUE"""),"Unsure")</f>
        <v>Unsure</v>
      </c>
      <c r="AF77" t="str">
        <f>IFERROR(__xludf.DUMMYFUNCTION("""COMPUTED_VALUE"""),"Unsure")</f>
        <v>Unsure</v>
      </c>
      <c r="AG77" t="str">
        <f>IFERROR(__xludf.DUMMYFUNCTION("""COMPUTED_VALUE"""),"")</f>
        <v/>
      </c>
      <c r="AH77" t="str">
        <f>IFERROR(__xludf.DUMMYFUNCTION("""COMPUTED_VALUE"""),"No preprint policy")</f>
        <v>No preprint policy</v>
      </c>
      <c r="AI77" t="str">
        <f>IFERROR(__xludf.DUMMYFUNCTION("""COMPUTED_VALUE"""),"")</f>
        <v/>
      </c>
      <c r="AJ77" t="str">
        <f>IFERROR(__xludf.DUMMYFUNCTION("""COMPUTED_VALUE"""),"Not specified")</f>
        <v>Not specified</v>
      </c>
      <c r="AK77" t="str">
        <f>IFERROR(__xludf.DUMMYFUNCTION("""COMPUTED_VALUE"""),"Unsure")</f>
        <v>Unsure</v>
      </c>
      <c r="AL77" t="str">
        <f>IFERROR(__xludf.DUMMYFUNCTION("""COMPUTED_VALUE"""),"")</f>
        <v/>
      </c>
      <c r="AM77" t="str">
        <f>IFERROR(__xludf.DUMMYFUNCTION("""COMPUTED_VALUE"""),"")</f>
        <v/>
      </c>
      <c r="AN77" t="str">
        <f>IFERROR(__xludf.DUMMYFUNCTION("""COMPUTED_VALUE"""),"")</f>
        <v/>
      </c>
      <c r="AO77" t="str">
        <f>IFERROR(__xludf.DUMMYFUNCTION("""COMPUTED_VALUE"""),"")</f>
        <v/>
      </c>
      <c r="AP77" t="str">
        <f>IFERROR(__xludf.DUMMYFUNCTION("""COMPUTED_VALUE"""),"")</f>
        <v/>
      </c>
      <c r="AQ77" t="str">
        <f>IFERROR(__xludf.DUMMYFUNCTION("""COMPUTED_VALUE"""),"")</f>
        <v/>
      </c>
      <c r="AR77" t="str">
        <f>IFERROR(__xludf.DUMMYFUNCTION("""COMPUTED_VALUE"""),"")</f>
        <v/>
      </c>
    </row>
    <row r="78">
      <c r="A78" t="str">
        <f>IFERROR(__xludf.DUMMYFUNCTION("""COMPUTED_VALUE"""),"SH")</f>
        <v>SH</v>
      </c>
      <c r="B78" s="34">
        <f>IFERROR(__xludf.DUMMYFUNCTION("""COMPUTED_VALUE"""),43475.0)</f>
        <v>43475</v>
      </c>
      <c r="C78" t="str">
        <f>IFERROR(__xludf.DUMMYFUNCTION("""COMPUTED_VALUE"""),"TRH")</f>
        <v>TRH</v>
      </c>
      <c r="D78" s="36">
        <f>IFERROR(__xludf.DUMMYFUNCTION("""COMPUTED_VALUE"""),43575.0)</f>
        <v>43575</v>
      </c>
      <c r="E78" t="str">
        <f>IFERROR(__xludf.DUMMYFUNCTION("""COMPUTED_VALUE"""),"JP")</f>
        <v>JP</v>
      </c>
      <c r="F78" s="36">
        <f>IFERROR(__xludf.DUMMYFUNCTION("""COMPUTED_VALUE"""),43581.0)</f>
        <v>43581</v>
      </c>
      <c r="G78" t="str">
        <f>IFERROR(__xludf.DUMMYFUNCTION("""COMPUTED_VALUE"""),"")</f>
        <v/>
      </c>
      <c r="H78" t="str">
        <f>IFERROR(__xludf.DUMMYFUNCTION("""COMPUTED_VALUE"""),"1939-2176")</f>
        <v>1939-2176</v>
      </c>
      <c r="I78" t="str">
        <f>IFERROR(__xludf.DUMMYFUNCTION("""COMPUTED_VALUE"""),"Journal of Educational Psychology")</f>
        <v>Journal of Educational Psychology</v>
      </c>
      <c r="J78" t="str">
        <f>IFERROR(__xludf.DUMMYFUNCTION("""COMPUTED_VALUE"""),"Social Sciences")</f>
        <v>Social Sciences</v>
      </c>
      <c r="K78" t="str">
        <f>IFERROR(__xludf.DUMMYFUNCTION("""COMPUTED_VALUE"""),"American Psychological Association")</f>
        <v>American Psychological Association</v>
      </c>
      <c r="L78" t="str">
        <f>IFERROR(__xludf.DUMMYFUNCTION("""COMPUTED_VALUE"""),"Double blind")</f>
        <v>Double blind</v>
      </c>
      <c r="M78" t="str">
        <f>IFERROR(__xludf.DUMMYFUNCTION("""COMPUTED_VALUE"""),"https://www.apa.org/pubs/journals/edu/?tab=4, https://www.apa.org/pubs/journals/reviewer-instructions.pdf        ")</f>
        <v>https://www.apa.org/pubs/journals/edu/?tab=4, https://www.apa.org/pubs/journals/reviewer-instructions.pdf        </v>
      </c>
      <c r="N78" t="str">
        <f>IFERROR(__xludf.DUMMYFUNCTION("""COMPUTED_VALUE"""),"")</f>
        <v/>
      </c>
      <c r="O78" t="str">
        <f>IFERROR(__xludf.DUMMYFUNCTION("""COMPUTED_VALUE"""),"")</f>
        <v/>
      </c>
      <c r="P78" t="str">
        <f>IFERROR(__xludf.DUMMYFUNCTION("""COMPUTED_VALUE"""),"Unsure")</f>
        <v>Unsure</v>
      </c>
      <c r="Q78" t="str">
        <f>IFERROR(__xludf.DUMMYFUNCTION("""COMPUTED_VALUE"""),"Unsure")</f>
        <v>Unsure</v>
      </c>
      <c r="R78" t="str">
        <f>IFERROR(__xludf.DUMMYFUNCTION("""COMPUTED_VALUE"""),"")</f>
        <v/>
      </c>
      <c r="S78" t="str">
        <f>IFERROR(__xludf.DUMMYFUNCTION("""COMPUTED_VALUE"""),"Not specified")</f>
        <v>Not specified</v>
      </c>
      <c r="T78" t="str">
        <f>IFERROR(__xludf.DUMMYFUNCTION("""COMPUTED_VALUE"""),"Not specified")</f>
        <v>Not specified</v>
      </c>
      <c r="U78" t="str">
        <f>IFERROR(__xludf.DUMMYFUNCTION("""COMPUTED_VALUE"""),"Not specified")</f>
        <v>Not specified</v>
      </c>
      <c r="V78" t="str">
        <f>IFERROR(__xludf.DUMMYFUNCTION("""COMPUTED_VALUE"""),"Not specified")</f>
        <v>Not specified</v>
      </c>
      <c r="W78" t="str">
        <f>IFERROR(__xludf.DUMMYFUNCTION("""COMPUTED_VALUE"""),"Not specified")</f>
        <v>Not specified</v>
      </c>
      <c r="X78" t="str">
        <f>IFERROR(__xludf.DUMMYFUNCTION("""COMPUTED_VALUE"""),"Not specified")</f>
        <v>Not specified</v>
      </c>
      <c r="Y78" t="str">
        <f>IFERROR(__xludf.DUMMYFUNCTION("""COMPUTED_VALUE"""),"Not specified")</f>
        <v>Not specified</v>
      </c>
      <c r="Z78" t="str">
        <f>IFERROR(__xludf.DUMMYFUNCTION("""COMPUTED_VALUE"""),"Not specified")</f>
        <v>Not specified</v>
      </c>
      <c r="AA78" t="str">
        <f>IFERROR(__xludf.DUMMYFUNCTION("""COMPUTED_VALUE"""),"")</f>
        <v/>
      </c>
      <c r="AB78" t="str">
        <f>IFERROR(__xludf.DUMMYFUNCTION("""COMPUTED_VALUE"""),"""Can I have a student co-review with me? Yes, if you are a professor who is mentoring a graduate student, you may co-review the paper with them. Please be sure to contact the handling editor and indicate upon submitting your review that it was completed "&amp;"with a co-reviewer.""")</f>
        <v>"Can I have a student co-review with me? Yes, if you are a professor who is mentoring a graduate student, you may co-review the paper with them. Please be sure to contact the handling editor and indicate upon submitting your review that it was completed with a co-reviewer."</v>
      </c>
      <c r="AC78" s="78" t="str">
        <f>IFERROR(__xludf.DUMMYFUNCTION("""COMPUTED_VALUE"""),"https://www.apa.org/pubs/journals/reviewer-instructions.pdf")</f>
        <v>https://www.apa.org/pubs/journals/reviewer-instructions.pdf</v>
      </c>
      <c r="AD78" t="str">
        <f>IFERROR(__xludf.DUMMYFUNCTION("""COMPUTED_VALUE"""),"Yes")</f>
        <v>Yes</v>
      </c>
      <c r="AE78" t="str">
        <f>IFERROR(__xludf.DUMMYFUNCTION("""COMPUTED_VALUE"""),"Unsure")</f>
        <v>Unsure</v>
      </c>
      <c r="AF78" t="str">
        <f>IFERROR(__xludf.DUMMYFUNCTION("""COMPUTED_VALUE"""),"Unsue")</f>
        <v>Unsue</v>
      </c>
      <c r="AG78" s="78" t="str">
        <f>IFERROR(__xludf.DUMMYFUNCTION("""COMPUTED_VALUE"""),"https://www.apa.org/pubs/journals/resources/open-science.aspx")</f>
        <v>https://www.apa.org/pubs/journals/resources/open-science.aspx</v>
      </c>
      <c r="AH78" t="str">
        <f>IFERROR(__xludf.DUMMYFUNCTION("""COMPUTED_VALUE"""),"Unsure")</f>
        <v>Unsure</v>
      </c>
      <c r="AI78" t="str">
        <f>IFERROR(__xludf.DUMMYFUNCTION("""COMPUTED_VALUE"""),"""Knowing that many researchers must make results publicly available quickly, APA Journals has designated PsyArXiv as the preferred preprint server for APA journals.""")</f>
        <v>"Knowing that many researchers must make results publicly available quickly, APA Journals has designated PsyArXiv as the preferred preprint server for APA journals."</v>
      </c>
      <c r="AJ78" t="str">
        <f>IFERROR(__xludf.DUMMYFUNCTION("""COMPUTED_VALUE"""),"Not specified")</f>
        <v>Not specified</v>
      </c>
      <c r="AK78" t="str">
        <f>IFERROR(__xludf.DUMMYFUNCTION("""COMPUTED_VALUE"""),"Unsure")</f>
        <v>Unsure</v>
      </c>
      <c r="AL78" t="str">
        <f>IFERROR(__xludf.DUMMYFUNCTION("""COMPUTED_VALUE"""),"")</f>
        <v/>
      </c>
      <c r="AM78" t="str">
        <f>IFERROR(__xludf.DUMMYFUNCTION("""COMPUTED_VALUE"""),"CC0 and CC-BY are supported by PsyArXiv, so presumably these licenses are ok")</f>
        <v>CC0 and CC-BY are supported by PsyArXiv, so presumably these licenses are ok</v>
      </c>
      <c r="AN78" t="str">
        <f>IFERROR(__xludf.DUMMYFUNCTION("""COMPUTED_VALUE"""),"")</f>
        <v/>
      </c>
      <c r="AO78" t="str">
        <f>IFERROR(__xludf.DUMMYFUNCTION("""COMPUTED_VALUE"""),"")</f>
        <v/>
      </c>
      <c r="AP78" t="str">
        <f>IFERROR(__xludf.DUMMYFUNCTION("""COMPUTED_VALUE"""),"")</f>
        <v/>
      </c>
      <c r="AQ78" t="str">
        <f>IFERROR(__xludf.DUMMYFUNCTION("""COMPUTED_VALUE"""),"")</f>
        <v/>
      </c>
      <c r="AR78" t="str">
        <f>IFERROR(__xludf.DUMMYFUNCTION("""COMPUTED_VALUE"""),"")</f>
        <v/>
      </c>
    </row>
    <row r="79">
      <c r="A79" t="str">
        <f>IFERROR(__xludf.DUMMYFUNCTION("""COMPUTED_VALUE"""),"SH")</f>
        <v>SH</v>
      </c>
      <c r="B79" s="34">
        <f>IFERROR(__xludf.DUMMYFUNCTION("""COMPUTED_VALUE"""),43477.0)</f>
        <v>43477</v>
      </c>
      <c r="C79" t="str">
        <f>IFERROR(__xludf.DUMMYFUNCTION("""COMPUTED_VALUE"""),"GMD")</f>
        <v>GMD</v>
      </c>
      <c r="D79" s="36">
        <f>IFERROR(__xludf.DUMMYFUNCTION("""COMPUTED_VALUE"""),43579.0)</f>
        <v>43579</v>
      </c>
      <c r="E79" t="str">
        <f>IFERROR(__xludf.DUMMYFUNCTION("""COMPUTED_VALUE"""),"JP")</f>
        <v>JP</v>
      </c>
      <c r="F79" s="36">
        <f>IFERROR(__xludf.DUMMYFUNCTION("""COMPUTED_VALUE"""),43583.0)</f>
        <v>43583</v>
      </c>
      <c r="G79" t="str">
        <f>IFERROR(__xludf.DUMMYFUNCTION("""COMPUTED_VALUE"""),"")</f>
        <v/>
      </c>
      <c r="H79" t="str">
        <f>IFERROR(__xludf.DUMMYFUNCTION("""COMPUTED_VALUE"""),"0304-405X")</f>
        <v>0304-405X</v>
      </c>
      <c r="I79" t="str">
        <f>IFERROR(__xludf.DUMMYFUNCTION("""COMPUTED_VALUE"""),"Journal of Financial Economics")</f>
        <v>Journal of Financial Economics</v>
      </c>
      <c r="J79" t="str">
        <f>IFERROR(__xludf.DUMMYFUNCTION("""COMPUTED_VALUE"""),"Business, Economics &amp; Management")</f>
        <v>Business, Economics &amp; Management</v>
      </c>
      <c r="K79" t="str">
        <f>IFERROR(__xludf.DUMMYFUNCTION("""COMPUTED_VALUE"""),"Elsevier")</f>
        <v>Elsevier</v>
      </c>
      <c r="L79" t="str">
        <f>IFERROR(__xludf.DUMMYFUNCTION("""COMPUTED_VALUE"""),"Unsure")</f>
        <v>Unsure</v>
      </c>
      <c r="M79" s="78" t="str">
        <f>IFERROR(__xludf.DUMMYFUNCTION("""COMPUTED_VALUE"""),"https://www.elsevier.com/reviewers/how-to-review")</f>
        <v>https://www.elsevier.com/reviewers/how-to-review</v>
      </c>
      <c r="N79" t="str">
        <f>IFERROR(__xludf.DUMMYFUNCTION("""COMPUTED_VALUE"""),"")</f>
        <v/>
      </c>
      <c r="O79" s="78" t="str">
        <f>IFERROR(__xludf.DUMMYFUNCTION("""COMPUTED_VALUE"""),"https://www.elsevier.com/reviewers/role#recognizing")</f>
        <v>https://www.elsevier.com/reviewers/role#recognizing</v>
      </c>
      <c r="P79" t="str">
        <f>IFERROR(__xludf.DUMMYFUNCTION("""COMPUTED_VALUE"""),"Unsure: Peer Reviewer activity IS deposited into a database by Elsevier, but it is NOT open. This applies across the Elsevier platform. See https://www.elsevier.com/reviewers/role#recognizing")</f>
        <v>Unsure: Peer Reviewer activity IS deposited into a database by Elsevier, but it is NOT open. This applies across the Elsevier platform. See https://www.elsevier.com/reviewers/role#recognizing</v>
      </c>
      <c r="Q79" t="str">
        <f>IFERROR(__xludf.DUMMYFUNCTION("""COMPUTED_VALUE"""),"via Elsevier’s Article Transfer Service (ATS)")</f>
        <v>via Elsevier’s Article Transfer Service (ATS)</v>
      </c>
      <c r="R79" s="78" t="str">
        <f>IFERROR(__xludf.DUMMYFUNCTION("""COMPUTED_VALUE"""),"https://www.elsevier.com/authors/journal-authors/submit-your-paper/submit-and-revise/article-transfer-service")</f>
        <v>https://www.elsevier.com/authors/journal-authors/submit-your-paper/submit-and-revise/article-transfer-service</v>
      </c>
      <c r="S79" t="str">
        <f>IFERROR(__xludf.DUMMYFUNCTION("""COMPUTED_VALUE"""),"Not specified")</f>
        <v>Not specified</v>
      </c>
      <c r="T79" t="str">
        <f>IFERROR(__xludf.DUMMYFUNCTION("""COMPUTED_VALUE"""),"Not specified")</f>
        <v>Not specified</v>
      </c>
      <c r="U79" t="str">
        <f>IFERROR(__xludf.DUMMYFUNCTION("""COMPUTED_VALUE"""),"Not specified")</f>
        <v>Not specified</v>
      </c>
      <c r="V79" t="str">
        <f>IFERROR(__xludf.DUMMYFUNCTION("""COMPUTED_VALUE"""),"Not specified")</f>
        <v>Not specified</v>
      </c>
      <c r="W79" t="str">
        <f>IFERROR(__xludf.DUMMYFUNCTION("""COMPUTED_VALUE"""),"Not specified")</f>
        <v>Not specified</v>
      </c>
      <c r="X79" t="str">
        <f>IFERROR(__xludf.DUMMYFUNCTION("""COMPUTED_VALUE"""),"Not specified")</f>
        <v>Not specified</v>
      </c>
      <c r="Y79" t="str">
        <f>IFERROR(__xludf.DUMMYFUNCTION("""COMPUTED_VALUE"""),"Not specified")</f>
        <v>Not specified</v>
      </c>
      <c r="Z79" t="str">
        <f>IFERROR(__xludf.DUMMYFUNCTION("""COMPUTED_VALUE"""),"Not specified")</f>
        <v>Not specified</v>
      </c>
      <c r="AA79" t="str">
        <f>IFERROR(__xludf.DUMMYFUNCTION("""COMPUTED_VALUE"""),"")</f>
        <v/>
      </c>
      <c r="AB79" t="str">
        <f>IFERROR(__xludf.DUMMYFUNCTION("""COMPUTED_VALUE"""),"""Since peer review is confidential, you also must not share information about the review with anyone without permission from the editors and authors.""")</f>
        <v>"Since peer review is confidential, you also must not share information about the review with anyone without permission from the editors and authors."</v>
      </c>
      <c r="AC79" s="78" t="str">
        <f>IFERROR(__xludf.DUMMYFUNCTION("""COMPUTED_VALUE"""),"https://www.elsevier.com/reviewers/how-to-review")</f>
        <v>https://www.elsevier.com/reviewers/how-to-review</v>
      </c>
      <c r="AD79" t="str">
        <f>IFERROR(__xludf.DUMMYFUNCTION("""COMPUTED_VALUE"""),"Unsure")</f>
        <v>Unsure</v>
      </c>
      <c r="AE79" t="str">
        <f>IFERROR(__xludf.DUMMYFUNCTION("""COMPUTED_VALUE"""),"Unsure")</f>
        <v>Unsure</v>
      </c>
      <c r="AF79" t="str">
        <f>IFERROR(__xludf.DUMMYFUNCTION("""COMPUTED_VALUE"""),"Unsure")</f>
        <v>Unsure</v>
      </c>
      <c r="AG79" t="str">
        <f>IFERROR(__xludf.DUMMYFUNCTION("""COMPUTED_VALUE"""),"https://www.elsevier.com/journals/journal-of-financial-economics/0304-405x/guide-for-authors, https://www.elsevier.com/about/policies/sharing")</f>
        <v>https://www.elsevier.com/journals/journal-of-financial-economics/0304-405x/guide-for-authors, https://www.elsevier.com/about/policies/sharing</v>
      </c>
      <c r="AH79" t="str">
        <f>IFERROR(__xludf.DUMMYFUNCTION("""COMPUTED_VALUE"""),"After peer review (but not final, copyedited version)")</f>
        <v>After peer review (but not final, copyedited version)</v>
      </c>
      <c r="AI79" t="str">
        <f>IFERROR(__xludf.DUMMYFUNCTION("""COMPUTED_VALUE"""),"Elsevier policy: ""Authors can share their preprint anywhere at any time.""")</f>
        <v>Elsevier policy: "Authors can share their preprint anywhere at any time."</v>
      </c>
      <c r="AJ79" t="str">
        <f>IFERROR(__xludf.DUMMYFUNCTION("""COMPUTED_VALUE"""),"Not specified")</f>
        <v>Not specified</v>
      </c>
      <c r="AK79" t="str">
        <f>IFERROR(__xludf.DUMMYFUNCTION("""COMPUTED_VALUE"""),"Unsure")</f>
        <v>Unsure</v>
      </c>
      <c r="AL79" t="str">
        <f>IFERROR(__xludf.DUMMYFUNCTION("""COMPUTED_VALUE"""),"Unclear, but states ""This journal has an embargo period of 24 months.
 An adapted embargo period of 12 months will apply for UK researchers who are grant recipient from the Research Council UK, Wellcome Trust, Higher Education Funding Council for Engla"&amp;"nd, and who wish to self-archive their accepted author manuscript."" - no mention of media coverage of preprints specifically.")</f>
        <v>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v>
      </c>
      <c r="AM79" t="str">
        <f>IFERROR(__xludf.DUMMYFUNCTION("""COMPUTED_VALUE"""),"")</f>
        <v/>
      </c>
      <c r="AN79" t="str">
        <f>IFERROR(__xludf.DUMMYFUNCTION("""COMPUTED_VALUE"""),"")</f>
        <v/>
      </c>
      <c r="AO79" t="str">
        <f>IFERROR(__xludf.DUMMYFUNCTION("""COMPUTED_VALUE"""),"")</f>
        <v/>
      </c>
      <c r="AP79" t="str">
        <f>IFERROR(__xludf.DUMMYFUNCTION("""COMPUTED_VALUE"""),"")</f>
        <v/>
      </c>
      <c r="AQ79" t="str">
        <f>IFERROR(__xludf.DUMMYFUNCTION("""COMPUTED_VALUE"""),"")</f>
        <v/>
      </c>
      <c r="AR79" t="str">
        <f>IFERROR(__xludf.DUMMYFUNCTION("""COMPUTED_VALUE"""),"")</f>
        <v/>
      </c>
    </row>
    <row r="80">
      <c r="A80" t="str">
        <f>IFERROR(__xludf.DUMMYFUNCTION("""COMPUTED_VALUE"""),"SH")</f>
        <v>SH</v>
      </c>
      <c r="B80" s="34">
        <f>IFERROR(__xludf.DUMMYFUNCTION("""COMPUTED_VALUE"""),43477.0)</f>
        <v>43477</v>
      </c>
      <c r="C80" t="str">
        <f>IFERROR(__xludf.DUMMYFUNCTION("""COMPUTED_VALUE"""),"GMD")</f>
        <v>GMD</v>
      </c>
      <c r="D80" s="36">
        <f>IFERROR(__xludf.DUMMYFUNCTION("""COMPUTED_VALUE"""),43579.0)</f>
        <v>43579</v>
      </c>
      <c r="E80" t="str">
        <f>IFERROR(__xludf.DUMMYFUNCTION("""COMPUTED_VALUE"""),"JP")</f>
        <v>JP</v>
      </c>
      <c r="F80" s="36">
        <f>IFERROR(__xludf.DUMMYFUNCTION("""COMPUTED_VALUE"""),43583.0)</f>
        <v>43583</v>
      </c>
      <c r="G80" t="str">
        <f>IFERROR(__xludf.DUMMYFUNCTION("""COMPUTED_VALUE"""),"")</f>
        <v/>
      </c>
      <c r="H80" t="str">
        <f>IFERROR(__xludf.DUMMYFUNCTION("""COMPUTED_VALUE"""),"2156-2202")</f>
        <v>2156-2202</v>
      </c>
      <c r="I80" t="str">
        <f>IFERROR(__xludf.DUMMYFUNCTION("""COMPUTED_VALUE"""),"Journal of Geophysical Research")</f>
        <v>Journal of Geophysical Research</v>
      </c>
      <c r="J80" t="str">
        <f>IFERROR(__xludf.DUMMYFUNCTION("""COMPUTED_VALUE"""),"Physics &amp; Mathematics")</f>
        <v>Physics &amp; Mathematics</v>
      </c>
      <c r="K80" t="str">
        <f>IFERROR(__xludf.DUMMYFUNCTION("""COMPUTED_VALUE"""),"American Geophysical Union")</f>
        <v>American Geophysical Union</v>
      </c>
      <c r="L80" t="str">
        <f>IFERROR(__xludf.DUMMYFUNCTION("""COMPUTED_VALUE"""),"Unsure")</f>
        <v>Unsure</v>
      </c>
      <c r="M80" s="78" t="str">
        <f>IFERROR(__xludf.DUMMYFUNCTION("""COMPUTED_VALUE"""),"https://publications.agu.org/reviewer-resources/")</f>
        <v>https://publications.agu.org/reviewer-resources/</v>
      </c>
      <c r="N80" s="78" t="str">
        <f>IFERROR(__xludf.DUMMYFUNCTION("""COMPUTED_VALUE"""),"https://publications.agu.org/reviewer-resources/review-criteria")</f>
        <v>https://publications.agu.org/reviewer-resources/review-criteria</v>
      </c>
      <c r="O80" s="78" t="str">
        <f>IFERROR(__xludf.DUMMYFUNCTION("""COMPUTED_VALUE"""),"https://publications.agu.org/reviewer-resources/")</f>
        <v>https://publications.agu.org/reviewer-resources/</v>
      </c>
      <c r="P80" t="str">
        <f>IFERROR(__xludf.DUMMYFUNCTION("""COMPUTED_VALUE"""),"Yes")</f>
        <v>Yes</v>
      </c>
      <c r="Q80" t="str">
        <f>IFERROR(__xludf.DUMMYFUNCTION("""COMPUTED_VALUE"""),"")</f>
        <v/>
      </c>
      <c r="R80" t="str">
        <f>IFERROR(__xludf.DUMMYFUNCTION("""COMPUTED_VALUE"""),"")</f>
        <v/>
      </c>
      <c r="S80" t="str">
        <f>IFERROR(__xludf.DUMMYFUNCTION("""COMPUTED_VALUE"""),"Not specified")</f>
        <v>Not specified</v>
      </c>
      <c r="T80" t="str">
        <f>IFERROR(__xludf.DUMMYFUNCTION("""COMPUTED_VALUE"""),"Not specified")</f>
        <v>Not specified</v>
      </c>
      <c r="U80" t="str">
        <f>IFERROR(__xludf.DUMMYFUNCTION("""COMPUTED_VALUE"""),"Not specified")</f>
        <v>Not specified</v>
      </c>
      <c r="V80" t="str">
        <f>IFERROR(__xludf.DUMMYFUNCTION("""COMPUTED_VALUE"""),"Not specified")</f>
        <v>Not specified</v>
      </c>
      <c r="W80" t="str">
        <f>IFERROR(__xludf.DUMMYFUNCTION("""COMPUTED_VALUE"""),"Not specified")</f>
        <v>Not specified</v>
      </c>
      <c r="X80" t="str">
        <f>IFERROR(__xludf.DUMMYFUNCTION("""COMPUTED_VALUE"""),"Not specified")</f>
        <v>Not specified</v>
      </c>
      <c r="Y80" t="str">
        <f>IFERROR(__xludf.DUMMYFUNCTION("""COMPUTED_VALUE"""),"Not specified")</f>
        <v>Not specified</v>
      </c>
      <c r="Z80" t="str">
        <f>IFERROR(__xludf.DUMMYFUNCTION("""COMPUTED_VALUE"""),"Not specified")</f>
        <v>Not specified</v>
      </c>
      <c r="AA80" t="str">
        <f>IFERROR(__xludf.DUMMYFUNCTION("""COMPUTED_VALUE"""),"")</f>
        <v/>
      </c>
      <c r="AB80" t="str">
        <f>IFERROR(__xludf.DUMMYFUNCTION("""COMPUTED_VALUE"""),"")</f>
        <v/>
      </c>
      <c r="AC80" t="str">
        <f>IFERROR(__xludf.DUMMYFUNCTION("""COMPUTED_VALUE"""),"")</f>
        <v/>
      </c>
      <c r="AD80" t="str">
        <f>IFERROR(__xludf.DUMMYFUNCTION("""COMPUTED_VALUE"""),"Unsure")</f>
        <v>Unsure</v>
      </c>
      <c r="AE80" t="str">
        <f>IFERROR(__xludf.DUMMYFUNCTION("""COMPUTED_VALUE"""),"Unsure")</f>
        <v>Unsure</v>
      </c>
      <c r="AF80" t="str">
        <f>IFERROR(__xludf.DUMMYFUNCTION("""COMPUTED_VALUE"""),"Unsure")</f>
        <v>Unsure</v>
      </c>
      <c r="AG80" t="str">
        <f>IFERROR(__xludf.DUMMYFUNCTION("""COMPUTED_VALUE"""),"https://publications.agu.org/author-resource-center/usage-permissions/, https://publications.agu.org/author-resource-center/publication-policies/dual-publication-policy/prior-publication-and-posting-primer/, https://publications.agu.org/author-resource-ce"&amp;"nter/publication-policies/dual-publication-policy/")</f>
        <v>https://publications.agu.org/author-resource-center/usage-permissions/, https://publications.agu.org/author-resource-center/publication-policies/dual-publication-policy/prior-publication-and-posting-primer/, https://publications.agu.org/author-resource-center/publication-policies/dual-publication-policy/</v>
      </c>
      <c r="AH80" t="str">
        <f>IFERROR(__xludf.DUMMYFUNCTION("""COMPUTED_VALUE"""),"After peer review (but not final, copyedited version)")</f>
        <v>After peer review (but not final, copyedited version)</v>
      </c>
      <c r="AI80" t="str">
        <f>IFERROR(__xludf.DUMMYFUNCTION("""COMPUTED_VALUE"""),"""Recently AGU Publications, the Publications Committee, and the AGU Council amended the policy to allow posting of preprints and content by authors on “not-for-profit community preprint servers.” This specifically includes arxiv.org and related groups su"&amp;"ch as astro-ph.org and cond-mat.org. """)</f>
        <v>"Recently AGU Publications, the Publications Committee, and the AGU Council amended the policy to allow posting of preprints and content by authors on “not-for-profit community preprint servers.” This specifically includes arxiv.org and related groups such as astro-ph.org and cond-mat.org. "</v>
      </c>
      <c r="AJ80" t="str">
        <f>IFERROR(__xludf.DUMMYFUNCTION("""COMPUTED_VALUE"""),"Other (""Citations to papers on the arxiv.org are allowed when other sources are not available."" This is the only reference I found to citation of preprints, but it might not be restricted to arxiv)")</f>
        <v>Other ("Citations to papers on the arxiv.org are allowed when other sources are not available." This is the only reference I found to citation of preprints, but it might not be restricted to arxiv)</v>
      </c>
      <c r="AK80" t="str">
        <f>IFERROR(__xludf.DUMMYFUNCTION("""COMPUTED_VALUE"""),"Unsure")</f>
        <v>Unsure</v>
      </c>
      <c r="AL80" t="str">
        <f>IFERROR(__xludf.DUMMYFUNCTION("""COMPUTED_VALUE"""),"Not specific to preprints, but: ""AGU does not consider prior press attention of a result as publication unless the release is so extensive that it would count as prior publication of a paper. AGU encourages authors to release results to the press at the "&amp;"time of publication when a full assessment is possible. AGU does not embargo press notifications and strives to distribute these as soon as AGU content is available online.""")</f>
        <v>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v>
      </c>
      <c r="AM80" t="str">
        <f>IFERROR(__xludf.DUMMYFUNCTION("""COMPUTED_VALUE"""),"")</f>
        <v/>
      </c>
      <c r="AN80" t="str">
        <f>IFERROR(__xludf.DUMMYFUNCTION("""COMPUTED_VALUE"""),"")</f>
        <v/>
      </c>
      <c r="AO80" t="str">
        <f>IFERROR(__xludf.DUMMYFUNCTION("""COMPUTED_VALUE"""),"")</f>
        <v/>
      </c>
      <c r="AP80" t="str">
        <f>IFERROR(__xludf.DUMMYFUNCTION("""COMPUTED_VALUE"""),"")</f>
        <v/>
      </c>
      <c r="AQ80" t="str">
        <f>IFERROR(__xludf.DUMMYFUNCTION("""COMPUTED_VALUE"""),"")</f>
        <v/>
      </c>
      <c r="AR80" t="str">
        <f>IFERROR(__xludf.DUMMYFUNCTION("""COMPUTED_VALUE"""),"")</f>
        <v/>
      </c>
    </row>
    <row r="81">
      <c r="A81" t="str">
        <f>IFERROR(__xludf.DUMMYFUNCTION("""COMPUTED_VALUE"""),"SH")</f>
        <v>SH</v>
      </c>
      <c r="B81" s="34">
        <f>IFERROR(__xludf.DUMMYFUNCTION("""COMPUTED_VALUE"""),43477.0)</f>
        <v>43477</v>
      </c>
      <c r="C81" t="str">
        <f>IFERROR(__xludf.DUMMYFUNCTION("""COMPUTED_VALUE"""),"GMD")</f>
        <v>GMD</v>
      </c>
      <c r="D81" s="36">
        <f>IFERROR(__xludf.DUMMYFUNCTION("""COMPUTED_VALUE"""),43579.0)</f>
        <v>43579</v>
      </c>
      <c r="E81" t="str">
        <f>IFERROR(__xludf.DUMMYFUNCTION("""COMPUTED_VALUE"""),"JP")</f>
        <v>JP</v>
      </c>
      <c r="F81" s="36">
        <f>IFERROR(__xludf.DUMMYFUNCTION("""COMPUTED_VALUE"""),43583.0)</f>
        <v>43583</v>
      </c>
      <c r="G81" t="str">
        <f>IFERROR(__xludf.DUMMYFUNCTION("""COMPUTED_VALUE"""),"")</f>
        <v/>
      </c>
      <c r="H81" t="str">
        <f>IFERROR(__xludf.DUMMYFUNCTION("""COMPUTED_VALUE"""),"0168-8278")</f>
        <v>0168-8278</v>
      </c>
      <c r="I81" t="str">
        <f>IFERROR(__xludf.DUMMYFUNCTION("""COMPUTED_VALUE"""),"Journal of Hepatology")</f>
        <v>Journal of Hepatology</v>
      </c>
      <c r="J81" t="str">
        <f>IFERROR(__xludf.DUMMYFUNCTION("""COMPUTED_VALUE"""),"")</f>
        <v/>
      </c>
      <c r="K81" t="str">
        <f>IFERROR(__xludf.DUMMYFUNCTION("""COMPUTED_VALUE"""),"")</f>
        <v/>
      </c>
      <c r="L81" t="str">
        <f>IFERROR(__xludf.DUMMYFUNCTION("""COMPUTED_VALUE"""),"Unsure")</f>
        <v>Unsure</v>
      </c>
      <c r="M81" t="str">
        <f>IFERROR(__xludf.DUMMYFUNCTION("""COMPUTED_VALUE"""),"")</f>
        <v/>
      </c>
      <c r="N81" t="str">
        <f>IFERROR(__xludf.DUMMYFUNCTION("""COMPUTED_VALUE"""),"")</f>
        <v/>
      </c>
      <c r="O81" s="78" t="str">
        <f>IFERROR(__xludf.DUMMYFUNCTION("""COMPUTED_VALUE"""),"https://www.elsevier.com/reviewers/role#recognizing")</f>
        <v>https://www.elsevier.com/reviewers/role#recognizing</v>
      </c>
      <c r="P81" t="str">
        <f>IFERROR(__xludf.DUMMYFUNCTION("""COMPUTED_VALUE"""),"Unsure")</f>
        <v>Unsure</v>
      </c>
      <c r="Q81" t="str">
        <f>IFERROR(__xludf.DUMMYFUNCTION("""COMPUTED_VALUE"""),"")</f>
        <v/>
      </c>
      <c r="R81" t="str">
        <f>IFERROR(__xludf.DUMMYFUNCTION("""COMPUTED_VALUE"""),"")</f>
        <v/>
      </c>
      <c r="S81" t="str">
        <f>IFERROR(__xludf.DUMMYFUNCTION("""COMPUTED_VALUE"""),"Not specified")</f>
        <v>Not specified</v>
      </c>
      <c r="T81" t="str">
        <f>IFERROR(__xludf.DUMMYFUNCTION("""COMPUTED_VALUE"""),"Not specified")</f>
        <v>Not specified</v>
      </c>
      <c r="U81" t="str">
        <f>IFERROR(__xludf.DUMMYFUNCTION("""COMPUTED_VALUE"""),"Not specified")</f>
        <v>Not specified</v>
      </c>
      <c r="V81" t="str">
        <f>IFERROR(__xludf.DUMMYFUNCTION("""COMPUTED_VALUE"""),"Not specified")</f>
        <v>Not specified</v>
      </c>
      <c r="W81" t="str">
        <f>IFERROR(__xludf.DUMMYFUNCTION("""COMPUTED_VALUE"""),"Not specified")</f>
        <v>Not specified</v>
      </c>
      <c r="X81" t="str">
        <f>IFERROR(__xludf.DUMMYFUNCTION("""COMPUTED_VALUE"""),"Not specified")</f>
        <v>Not specified</v>
      </c>
      <c r="Y81" t="str">
        <f>IFERROR(__xludf.DUMMYFUNCTION("""COMPUTED_VALUE"""),"Not specified")</f>
        <v>Not specified</v>
      </c>
      <c r="Z81" t="str">
        <f>IFERROR(__xludf.DUMMYFUNCTION("""COMPUTED_VALUE"""),"Not specified")</f>
        <v>Not specified</v>
      </c>
      <c r="AA81" t="str">
        <f>IFERROR(__xludf.DUMMYFUNCTION("""COMPUTED_VALUE"""),"")</f>
        <v/>
      </c>
      <c r="AB81" t="str">
        <f>IFERROR(__xludf.DUMMYFUNCTION("""COMPUTED_VALUE"""),"")</f>
        <v/>
      </c>
      <c r="AC81" t="str">
        <f>IFERROR(__xludf.DUMMYFUNCTION("""COMPUTED_VALUE"""),"")</f>
        <v/>
      </c>
      <c r="AD81" t="str">
        <f>IFERROR(__xludf.DUMMYFUNCTION("""COMPUTED_VALUE"""),"Unsure")</f>
        <v>Unsure</v>
      </c>
      <c r="AE81" t="str">
        <f>IFERROR(__xludf.DUMMYFUNCTION("""COMPUTED_VALUE"""),"Unsure")</f>
        <v>Unsure</v>
      </c>
      <c r="AF81" t="str">
        <f>IFERROR(__xludf.DUMMYFUNCTION("""COMPUTED_VALUE"""),"Unsure")</f>
        <v>Unsure</v>
      </c>
      <c r="AG81" s="78" t="str">
        <f>IFERROR(__xludf.DUMMYFUNCTION("""COMPUTED_VALUE"""),"https://www.elsevier.com/about/policies/sharing")</f>
        <v>https://www.elsevier.com/about/policies/sharing</v>
      </c>
      <c r="AH81" t="str">
        <f>IFERROR(__xludf.DUMMYFUNCTION("""COMPUTED_VALUE"""),"After peer review (but not final, copyedited version)")</f>
        <v>After peer review (but not final, copyedited version)</v>
      </c>
      <c r="AI81" t="str">
        <f>IFERROR(__xludf.DUMMYFUNCTION("""COMPUTED_VALUE"""),"Elsevier policy: ""Authors can share their preprint anywhere at any time.""")</f>
        <v>Elsevier policy: "Authors can share their preprint anywhere at any time."</v>
      </c>
      <c r="AJ81" t="str">
        <f>IFERROR(__xludf.DUMMYFUNCTION("""COMPUTED_VALUE"""),"Not specified")</f>
        <v>Not specified</v>
      </c>
      <c r="AK81" t="str">
        <f>IFERROR(__xludf.DUMMYFUNCTION("""COMPUTED_VALUE"""),"Unsure")</f>
        <v>Unsure</v>
      </c>
      <c r="AL81" t="str">
        <f>IFERROR(__xludf.DUMMYFUNCTION("""COMPUTED_VALUE"""),"")</f>
        <v/>
      </c>
      <c r="AM81" t="str">
        <f>IFERROR(__xludf.DUMMYFUNCTION("""COMPUTED_VALUE"""),"")</f>
        <v/>
      </c>
      <c r="AN81" t="str">
        <f>IFERROR(__xludf.DUMMYFUNCTION("""COMPUTED_VALUE"""),"")</f>
        <v/>
      </c>
      <c r="AO81" t="str">
        <f>IFERROR(__xludf.DUMMYFUNCTION("""COMPUTED_VALUE"""),"")</f>
        <v/>
      </c>
      <c r="AP81" t="str">
        <f>IFERROR(__xludf.DUMMYFUNCTION("""COMPUTED_VALUE"""),"")</f>
        <v/>
      </c>
      <c r="AQ81" t="str">
        <f>IFERROR(__xludf.DUMMYFUNCTION("""COMPUTED_VALUE"""),"")</f>
        <v/>
      </c>
      <c r="AR81" t="str">
        <f>IFERROR(__xludf.DUMMYFUNCTION("""COMPUTED_VALUE"""),"")</f>
        <v/>
      </c>
    </row>
    <row r="82">
      <c r="A82" t="str">
        <f>IFERROR(__xludf.DUMMYFUNCTION("""COMPUTED_VALUE"""),"SH")</f>
        <v>SH</v>
      </c>
      <c r="B82" s="34">
        <f>IFERROR(__xludf.DUMMYFUNCTION("""COMPUTED_VALUE"""),43478.0)</f>
        <v>43478</v>
      </c>
      <c r="C82" t="str">
        <f>IFERROR(__xludf.DUMMYFUNCTION("""COMPUTED_VALUE"""),"GMD")</f>
        <v>GMD</v>
      </c>
      <c r="D82" s="36">
        <f>IFERROR(__xludf.DUMMYFUNCTION("""COMPUTED_VALUE"""),43579.0)</f>
        <v>43579</v>
      </c>
      <c r="E82" t="str">
        <f>IFERROR(__xludf.DUMMYFUNCTION("""COMPUTED_VALUE"""),"JP")</f>
        <v>JP</v>
      </c>
      <c r="F82" s="36">
        <f>IFERROR(__xludf.DUMMYFUNCTION("""COMPUTED_VALUE"""),43583.0)</f>
        <v>43583</v>
      </c>
      <c r="G82" t="str">
        <f>IFERROR(__xludf.DUMMYFUNCTION("""COMPUTED_VALUE"""),"Review process is single-blind on orignal peer review URL, added preprint link and changed preprint policies accordingly")</f>
        <v>Review process is single-blind on orignal peer review URL, added preprint link and changed preprint policies accordingly</v>
      </c>
      <c r="H82" t="str">
        <f>IFERROR(__xludf.DUMMYFUNCTION("""COMPUTED_VALUE"""),"1029-8479")</f>
        <v>1029-8479</v>
      </c>
      <c r="I82" t="str">
        <f>IFERROR(__xludf.DUMMYFUNCTION("""COMPUTED_VALUE"""),"Journal of High Energy Physics")</f>
        <v>Journal of High Energy Physics</v>
      </c>
      <c r="J82" t="str">
        <f>IFERROR(__xludf.DUMMYFUNCTION("""COMPUTED_VALUE"""),"Physics &amp; Mathematics")</f>
        <v>Physics &amp; Mathematics</v>
      </c>
      <c r="K82" t="str">
        <f>IFERROR(__xludf.DUMMYFUNCTION("""COMPUTED_VALUE"""),"Springer")</f>
        <v>Springer</v>
      </c>
      <c r="L82" t="str">
        <f>IFERROR(__xludf.DUMMYFUNCTION("""COMPUTED_VALUE"""),"Single-blind")</f>
        <v>Single-blind</v>
      </c>
      <c r="M82" s="78" t="str">
        <f>IFERROR(__xludf.DUMMYFUNCTION("""COMPUTED_VALUE"""),"https://www.springer.com/physics/particle+and+nuclear+physics/journal/13130")</f>
        <v>https://www.springer.com/physics/particle+and+nuclear+physics/journal/13130</v>
      </c>
      <c r="N82" t="str">
        <f>IFERROR(__xludf.DUMMYFUNCTION("""COMPUTED_VALUE"""),"")</f>
        <v/>
      </c>
      <c r="O82" t="str">
        <f>IFERROR(__xludf.DUMMYFUNCTION("""COMPUTED_VALUE"""),"")</f>
        <v/>
      </c>
      <c r="P82" t="str">
        <f>IFERROR(__xludf.DUMMYFUNCTION("""COMPUTED_VALUE"""),"Unsure")</f>
        <v>Unsure</v>
      </c>
      <c r="Q82" t="str">
        <f>IFERROR(__xludf.DUMMYFUNCTION("""COMPUTED_VALUE"""),"""The Transfer Desk is our manuscript transfer service, which provides you with a convenient way of resubmitting your manuscript to a more suitable journal….""")</f>
        <v>"The Transfer Desk is our manuscript transfer service, which provides you with a convenient way of resubmitting your manuscript to a more suitable journal…."</v>
      </c>
      <c r="R82" s="78" t="str">
        <f>IFERROR(__xludf.DUMMYFUNCTION("""COMPUTED_VALUE"""),"https://www.springer.com/us/authors-editors/journal-author/the-springer-transfer-desk")</f>
        <v>https://www.springer.com/us/authors-editors/journal-author/the-springer-transfer-desk</v>
      </c>
      <c r="S82" t="str">
        <f>IFERROR(__xludf.DUMMYFUNCTION("""COMPUTED_VALUE"""),"Not specified")</f>
        <v>Not specified</v>
      </c>
      <c r="T82" t="str">
        <f>IFERROR(__xludf.DUMMYFUNCTION("""COMPUTED_VALUE"""),"Not specified")</f>
        <v>Not specified</v>
      </c>
      <c r="U82" t="str">
        <f>IFERROR(__xludf.DUMMYFUNCTION("""COMPUTED_VALUE"""),"Not specified")</f>
        <v>Not specified</v>
      </c>
      <c r="V82" t="str">
        <f>IFERROR(__xludf.DUMMYFUNCTION("""COMPUTED_VALUE"""),"Not specified")</f>
        <v>Not specified</v>
      </c>
      <c r="W82" t="str">
        <f>IFERROR(__xludf.DUMMYFUNCTION("""COMPUTED_VALUE"""),"Not specified")</f>
        <v>Not specified</v>
      </c>
      <c r="X82" t="str">
        <f>IFERROR(__xludf.DUMMYFUNCTION("""COMPUTED_VALUE"""),"Not specified")</f>
        <v>Not specified</v>
      </c>
      <c r="Y82" t="str">
        <f>IFERROR(__xludf.DUMMYFUNCTION("""COMPUTED_VALUE"""),"Not specified")</f>
        <v>Not specified</v>
      </c>
      <c r="Z82" t="str">
        <f>IFERROR(__xludf.DUMMYFUNCTION("""COMPUTED_VALUE"""),"Not specified")</f>
        <v>Not specified</v>
      </c>
      <c r="AA82" t="str">
        <f>IFERROR(__xludf.DUMMYFUNCTION("""COMPUTED_VALUE"""),"")</f>
        <v/>
      </c>
      <c r="AB82" t="str">
        <f>IFERROR(__xludf.DUMMYFUNCTION("""COMPUTED_VALUE"""),"")</f>
        <v/>
      </c>
      <c r="AC82" t="str">
        <f>IFERROR(__xludf.DUMMYFUNCTION("""COMPUTED_VALUE"""),"")</f>
        <v/>
      </c>
      <c r="AD82" t="str">
        <f>IFERROR(__xludf.DUMMYFUNCTION("""COMPUTED_VALUE"""),"Unsure")</f>
        <v>Unsure</v>
      </c>
      <c r="AE82" t="str">
        <f>IFERROR(__xludf.DUMMYFUNCTION("""COMPUTED_VALUE"""),"Unsure")</f>
        <v>Unsure</v>
      </c>
      <c r="AF82" t="str">
        <f>IFERROR(__xludf.DUMMYFUNCTION("""COMPUTED_VALUE"""),"Unsure")</f>
        <v>Unsure</v>
      </c>
      <c r="AG82" s="78" t="str">
        <f>IFERROR(__xludf.DUMMYFUNCTION("""COMPUTED_VALUE"""),"https://jhep.sissa.it/jhep/help/helpLoader.jsp?pgType=author#arXiv")</f>
        <v>https://jhep.sissa.it/jhep/help/helpLoader.jsp?pgType=author#arXiv</v>
      </c>
      <c r="AH82" t="str">
        <f>IFERROR(__xludf.DUMMYFUNCTION("""COMPUTED_VALUE"""),"Any")</f>
        <v>Any</v>
      </c>
      <c r="AI82" t="str">
        <f>IFERROR(__xludf.DUMMYFUNCTION("""COMPUTED_VALUE"""),"ArXiv: ""You will need to provide an arXiv article id. This is necessary as JHEP articles are funded by the SCOAP3 consortium and thus need to be categorised and published accordingly if accepted.""")</f>
        <v>ArXiv: "You will need to provide an arXiv article id. This is necessary as JHEP articles are funded by the SCOAP3 consortium and thus need to be categorised and published accordingly if accepted."</v>
      </c>
      <c r="AJ82" t="str">
        <f>IFERROR(__xludf.DUMMYFUNCTION("""COMPUTED_VALUE"""),"Yes, in the reference list")</f>
        <v>Yes, in the reference list</v>
      </c>
      <c r="AK82" t="str">
        <f>IFERROR(__xludf.DUMMYFUNCTION("""COMPUTED_VALUE"""),"Unsure")</f>
        <v>Unsure</v>
      </c>
      <c r="AL82" t="str">
        <f>IFERROR(__xludf.DUMMYFUNCTION("""COMPUTED_VALUE"""),"")</f>
        <v/>
      </c>
      <c r="AM82" t="str">
        <f>IFERROR(__xludf.DUMMYFUNCTION("""COMPUTED_VALUE"""),"")</f>
        <v/>
      </c>
      <c r="AN82" t="str">
        <f>IFERROR(__xludf.DUMMYFUNCTION("""COMPUTED_VALUE"""),"")</f>
        <v/>
      </c>
      <c r="AO82" t="str">
        <f>IFERROR(__xludf.DUMMYFUNCTION("""COMPUTED_VALUE"""),"")</f>
        <v/>
      </c>
      <c r="AP82" t="str">
        <f>IFERROR(__xludf.DUMMYFUNCTION("""COMPUTED_VALUE"""),"")</f>
        <v/>
      </c>
      <c r="AQ82" t="str">
        <f>IFERROR(__xludf.DUMMYFUNCTION("""COMPUTED_VALUE"""),"")</f>
        <v/>
      </c>
      <c r="AR82" t="str">
        <f>IFERROR(__xludf.DUMMYFUNCTION("""COMPUTED_VALUE"""),"")</f>
        <v/>
      </c>
    </row>
    <row r="83">
      <c r="A83" t="str">
        <f>IFERROR(__xludf.DUMMYFUNCTION("""COMPUTED_VALUE"""),"SH")</f>
        <v>SH</v>
      </c>
      <c r="B83" s="34">
        <f>IFERROR(__xludf.DUMMYFUNCTION("""COMPUTED_VALUE"""),43478.0)</f>
        <v>43478</v>
      </c>
      <c r="C83" t="str">
        <f>IFERROR(__xludf.DUMMYFUNCTION("""COMPUTED_VALUE"""),"JP")</f>
        <v>JP</v>
      </c>
      <c r="D83" s="36">
        <f>IFERROR(__xludf.DUMMYFUNCTION("""COMPUTED_VALUE"""),43572.0)</f>
        <v>43572</v>
      </c>
      <c r="E83" t="str">
        <f>IFERROR(__xludf.DUMMYFUNCTION("""COMPUTED_VALUE"""),"TRH")</f>
        <v>TRH</v>
      </c>
      <c r="F83" s="36">
        <f>IFERROR(__xludf.DUMMYFUNCTION("""COMPUTED_VALUE"""),43581.0)</f>
        <v>43581</v>
      </c>
      <c r="G83" t="str">
        <f>IFERROR(__xludf.DUMMYFUNCTION("""COMPUTED_VALUE"""),"")</f>
        <v/>
      </c>
      <c r="H83" t="str">
        <f>IFERROR(__xludf.DUMMYFUNCTION("""COMPUTED_VALUE"""),"1557-1211")</f>
        <v>1557-1211</v>
      </c>
      <c r="I83" t="str">
        <f>IFERROR(__xludf.DUMMYFUNCTION("""COMPUTED_VALUE"""),"Journal of Management")</f>
        <v>Journal of Management</v>
      </c>
      <c r="J83" t="str">
        <f>IFERROR(__xludf.DUMMYFUNCTION("""COMPUTED_VALUE"""),"Business, Economics &amp; Management")</f>
        <v>Business, Economics &amp; Management</v>
      </c>
      <c r="K83" t="str">
        <f>IFERROR(__xludf.DUMMYFUNCTION("""COMPUTED_VALUE"""),"SAGE in association with the Southern Management Association")</f>
        <v>SAGE in association with the Southern Management Association</v>
      </c>
      <c r="L83" t="str">
        <f>IFERROR(__xludf.DUMMYFUNCTION("""COMPUTED_VALUE"""),"Double blind")</f>
        <v>Double blind</v>
      </c>
      <c r="M83" s="78" t="str">
        <f>IFERROR(__xludf.DUMMYFUNCTION("""COMPUTED_VALUE"""),"https://journals.sagepub.com/pb-assets/cmscontent/JOM/JOM_Style_Guide_revised_2017.pdf")</f>
        <v>https://journals.sagepub.com/pb-assets/cmscontent/JOM/JOM_Style_Guide_revised_2017.pdf</v>
      </c>
      <c r="N83" t="str">
        <f>IFERROR(__xludf.DUMMYFUNCTION("""COMPUTED_VALUE"""),"")</f>
        <v/>
      </c>
      <c r="O83" s="78" t="str">
        <f>IFERROR(__xludf.DUMMYFUNCTION("""COMPUTED_VALUE"""),"https://us.sagepub.com/en-us/nam/reviewer-rewards")</f>
        <v>https://us.sagepub.com/en-us/nam/reviewer-rewards</v>
      </c>
      <c r="P83" t="str">
        <f>IFERROR(__xludf.DUMMYFUNCTION("""COMPUTED_VALUE"""),"Yes")</f>
        <v>Yes</v>
      </c>
      <c r="Q83" t="str">
        <f>IFERROR(__xludf.DUMMYFUNCTION("""COMPUTED_VALUE"""),"Unsure")</f>
        <v>Unsure</v>
      </c>
      <c r="R83" t="str">
        <f>IFERROR(__xludf.DUMMYFUNCTION("""COMPUTED_VALUE"""),"")</f>
        <v/>
      </c>
      <c r="S83" t="str">
        <f>IFERROR(__xludf.DUMMYFUNCTION("""COMPUTED_VALUE"""),"Not specified")</f>
        <v>Not specified</v>
      </c>
      <c r="T83" t="str">
        <f>IFERROR(__xludf.DUMMYFUNCTION("""COMPUTED_VALUE"""),"Not specified")</f>
        <v>Not specified</v>
      </c>
      <c r="U83" t="str">
        <f>IFERROR(__xludf.DUMMYFUNCTION("""COMPUTED_VALUE"""),"Not specified")</f>
        <v>Not specified</v>
      </c>
      <c r="V83" t="str">
        <f>IFERROR(__xludf.DUMMYFUNCTION("""COMPUTED_VALUE"""),"Not specified")</f>
        <v>Not specified</v>
      </c>
      <c r="W83" t="str">
        <f>IFERROR(__xludf.DUMMYFUNCTION("""COMPUTED_VALUE"""),"Not specified")</f>
        <v>Not specified</v>
      </c>
      <c r="X83" t="str">
        <f>IFERROR(__xludf.DUMMYFUNCTION("""COMPUTED_VALUE"""),"No")</f>
        <v>No</v>
      </c>
      <c r="Y83" t="str">
        <f>IFERROR(__xludf.DUMMYFUNCTION("""COMPUTED_VALUE"""),"Not specified")</f>
        <v>Not specified</v>
      </c>
      <c r="Z83" t="str">
        <f>IFERROR(__xludf.DUMMYFUNCTION("""COMPUTED_VALUE"""),"Not specified")</f>
        <v>Not specified</v>
      </c>
      <c r="AA83" t="str">
        <f>IFERROR(__xludf.DUMMYFUNCTION("""COMPUTED_VALUE"""),"")</f>
        <v/>
      </c>
      <c r="AB83" t="str">
        <f>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3" s="78" t="str">
        <f>IFERROR(__xludf.DUMMYFUNCTION("""COMPUTED_VALUE"""),"https://us.sagepub.com/en-us/nam/how-to-review-articles")</f>
        <v>https://us.sagepub.com/en-us/nam/how-to-review-articles</v>
      </c>
      <c r="AD83" t="str">
        <f>IFERROR(__xludf.DUMMYFUNCTION("""COMPUTED_VALUE"""),"Yes")</f>
        <v>Yes</v>
      </c>
      <c r="AE83" t="str">
        <f>IFERROR(__xludf.DUMMYFUNCTION("""COMPUTED_VALUE"""),"Unsure")</f>
        <v>Unsure</v>
      </c>
      <c r="AF83" t="str">
        <f>IFERROR(__xludf.DUMMYFUNCTION("""COMPUTED_VALUE"""),"Unsure")</f>
        <v>Unsure</v>
      </c>
      <c r="AG83" s="78" t="str">
        <f>IFERROR(__xludf.DUMMYFUNCTION("""COMPUTED_VALUE"""),"https://us.sagepub.com/en-us/nam/prior-publication")</f>
        <v>https://us.sagepub.com/en-us/nam/prior-publication</v>
      </c>
      <c r="AH83" t="str">
        <f>IFERROR(__xludf.DUMMYFUNCTION("""COMPUTED_VALUE"""),"First submission only (before peer review)")</f>
        <v>First submission only (before peer review)</v>
      </c>
      <c r="AI83" t="str">
        <f>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3" t="str">
        <f>IFERROR(__xludf.DUMMYFUNCTION("""COMPUTED_VALUE"""),"Unsure")</f>
        <v>Unsure</v>
      </c>
      <c r="AK83" t="str">
        <f>IFERROR(__xludf.DUMMYFUNCTION("""COMPUTED_VALUE"""),"Unsure")</f>
        <v>Unsure</v>
      </c>
      <c r="AL83" t="str">
        <f>IFERROR(__xludf.DUMMYFUNCTION("""COMPUTED_VALUE"""),"")</f>
        <v/>
      </c>
      <c r="AM83" t="str">
        <f>IFERROR(__xludf.DUMMYFUNCTION("""COMPUTED_VALUE"""),"")</f>
        <v/>
      </c>
      <c r="AN83" t="str">
        <f>IFERROR(__xludf.DUMMYFUNCTION("""COMPUTED_VALUE"""),"")</f>
        <v/>
      </c>
      <c r="AO83" t="str">
        <f>IFERROR(__xludf.DUMMYFUNCTION("""COMPUTED_VALUE"""),"")</f>
        <v/>
      </c>
      <c r="AP83" t="str">
        <f>IFERROR(__xludf.DUMMYFUNCTION("""COMPUTED_VALUE"""),"Note: most of the info here is from the parent (SAGE) website as this is where the journal homepage linked to. Also, re preprint citation - Journal's author guidelines suggests citation format for ""working papers"" so maybe this applies to preprints, tho"&amp;"ugh they are not specifically referred to.")</f>
        <v>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v>
      </c>
      <c r="AQ83" t="str">
        <f>IFERROR(__xludf.DUMMYFUNCTION("""COMPUTED_VALUE"""),"35 mins")</f>
        <v>35 mins</v>
      </c>
      <c r="AR83" t="str">
        <f>IFERROR(__xludf.DUMMYFUNCTION("""COMPUTED_VALUE"""),"")</f>
        <v/>
      </c>
    </row>
    <row r="84">
      <c r="A84" t="str">
        <f>IFERROR(__xludf.DUMMYFUNCTION("""COMPUTED_VALUE"""),"SH")</f>
        <v>SH</v>
      </c>
      <c r="B84" s="34">
        <f>IFERROR(__xludf.DUMMYFUNCTION("""COMPUTED_VALUE"""),43478.0)</f>
        <v>43478</v>
      </c>
      <c r="C84" t="str">
        <f>IFERROR(__xludf.DUMMYFUNCTION("""COMPUTED_VALUE"""),"JP")</f>
        <v>JP</v>
      </c>
      <c r="D84" s="36">
        <f>IFERROR(__xludf.DUMMYFUNCTION("""COMPUTED_VALUE"""),43572.0)</f>
        <v>43572</v>
      </c>
      <c r="E84" t="str">
        <f>IFERROR(__xludf.DUMMYFUNCTION("""COMPUTED_VALUE"""),"TRH")</f>
        <v>TRH</v>
      </c>
      <c r="F84" s="36">
        <f>IFERROR(__xludf.DUMMYFUNCTION("""COMPUTED_VALUE"""),43581.0)</f>
        <v>43581</v>
      </c>
      <c r="G84" t="str">
        <f>IFERROR(__xludf.DUMMYFUNCTION("""COMPUTED_VALUE"""),"")</f>
        <v/>
      </c>
      <c r="H84" t="str">
        <f>IFERROR(__xludf.DUMMYFUNCTION("""COMPUTED_VALUE"""),"2050-7488")</f>
        <v>2050-7488</v>
      </c>
      <c r="I84" t="str">
        <f>IFERROR(__xludf.DUMMYFUNCTION("""COMPUTED_VALUE"""),"Journal of Materials Chemistry. A")</f>
        <v>Journal of Materials Chemistry. A</v>
      </c>
      <c r="J84" t="str">
        <f>IFERROR(__xludf.DUMMYFUNCTION("""COMPUTED_VALUE"""),"Chemical &amp; Materials Sciences, Engineering &amp; Computer Science")</f>
        <v>Chemical &amp; Materials Sciences, Engineering &amp; Computer Science</v>
      </c>
      <c r="K84" t="str">
        <f>IFERROR(__xludf.DUMMYFUNCTION("""COMPUTED_VALUE"""),"Royal Society of Chemistry")</f>
        <v>Royal Society of Chemistry</v>
      </c>
      <c r="L84" t="str">
        <f>IFERROR(__xludf.DUMMYFUNCTION("""COMPUTED_VALUE"""),"Single blind")</f>
        <v>Single blind</v>
      </c>
      <c r="M84" s="78" t="str">
        <f>IFERROR(__xludf.DUMMYFUNCTION("""COMPUTED_VALUE"""),"http://www.rsc.org/journals-books-databases/journal-authors-reviewers/reviewer-responsibilities/#review-procedure")</f>
        <v>http://www.rsc.org/journals-books-databases/journal-authors-reviewers/reviewer-responsibilities/#review-procedure</v>
      </c>
      <c r="N84" t="str">
        <f>IFERROR(__xludf.DUMMYFUNCTION("""COMPUTED_VALUE"""),"")</f>
        <v/>
      </c>
      <c r="O84" s="78" t="str">
        <f>IFERROR(__xludf.DUMMYFUNCTION("""COMPUTED_VALUE"""),"http://www.rsc.org/journals-books-databases/journal-authors-reviewers/reviewer-responsibilities/#review-procedure")</f>
        <v>http://www.rsc.org/journals-books-databases/journal-authors-reviewers/reviewer-responsibilities/#review-procedure</v>
      </c>
      <c r="P84" t="str">
        <f>IFERROR(__xludf.DUMMYFUNCTION("""COMPUTED_VALUE"""),"Yes")</f>
        <v>Yes</v>
      </c>
      <c r="Q84" t="str">
        <f>IFERROR(__xludf.DUMMYFUNCTION("""COMPUTED_VALUE"""),"""...Authors should be aware that the reviewers’ comments are transferred to the editor of the receiving journal together with the manuscript files. On submission to the new journal, the manuscript will then be assessed by an editor as to whether further "&amp;"peer review will be necessary.""")</f>
        <v>"...Authors should be aware that the reviewers’ comments are transferred to the editor of the receiving journal together with the manuscript files. On submission to the new journal, the manuscript will then be assessed by an editor as to whether further peer review will be necessary."</v>
      </c>
      <c r="R84" s="78" t="str">
        <f>IFERROR(__xludf.DUMMYFUNCTION("""COMPUTED_VALUE"""),"http://www.rsc.org/journals-books-databases/journal-authors-reviewers/processes-policies/#transfers")</f>
        <v>http://www.rsc.org/journals-books-databases/journal-authors-reviewers/processes-policies/#transfers</v>
      </c>
      <c r="S84" t="str">
        <f>IFERROR(__xludf.DUMMYFUNCTION("""COMPUTED_VALUE"""),"Not specified")</f>
        <v>Not specified</v>
      </c>
      <c r="T84" t="str">
        <f>IFERROR(__xludf.DUMMYFUNCTION("""COMPUTED_VALUE"""),"Not specified")</f>
        <v>Not specified</v>
      </c>
      <c r="U84" t="str">
        <f>IFERROR(__xludf.DUMMYFUNCTION("""COMPUTED_VALUE"""),"Not specified")</f>
        <v>Not specified</v>
      </c>
      <c r="V84" t="str">
        <f>IFERROR(__xludf.DUMMYFUNCTION("""COMPUTED_VALUE"""),"Not specified")</f>
        <v>Not specified</v>
      </c>
      <c r="W84" t="str">
        <f>IFERROR(__xludf.DUMMYFUNCTION("""COMPUTED_VALUE"""),"Not specified")</f>
        <v>Not specified</v>
      </c>
      <c r="X84" t="str">
        <f>IFERROR(__xludf.DUMMYFUNCTION("""COMPUTED_VALUE"""),"Not specified")</f>
        <v>Not specified</v>
      </c>
      <c r="Y84" t="str">
        <f>IFERROR(__xludf.DUMMYFUNCTION("""COMPUTED_VALUE"""),"Not specified")</f>
        <v>Not specified</v>
      </c>
      <c r="Z84" t="str">
        <f>IFERROR(__xludf.DUMMYFUNCTION("""COMPUTED_VALUE"""),"Not specified")</f>
        <v>Not specified</v>
      </c>
      <c r="AA84" t="str">
        <f>IFERROR(__xludf.DUMMYFUNCTION("""COMPUTED_VALUE"""),"")</f>
        <v/>
      </c>
      <c r="AB84" t="str">
        <f>IFERROR(__xludf.DUMMYFUNCTION("""COMPUTED_VALUE"""),"Inferred that this is not allowed from the following: ""Treat the manuscript as confidential: The manuscript (or its existence) should not be shown to, disclosed to, or discussed with others, except in special cases, where specific scientific advice may b"&amp;"e sought; in that event the editor must be informed and the identities of those consulted disclosed.""")</f>
        <v>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v>
      </c>
      <c r="AC84" s="78" t="str">
        <f>IFERROR(__xludf.DUMMYFUNCTION("""COMPUTED_VALUE"""),"http://www.rsc.org/journals-books-databases/journal-authors-reviewers/reviewer-responsibilities/#review-procedure")</f>
        <v>http://www.rsc.org/journals-books-databases/journal-authors-reviewers/reviewer-responsibilities/#review-procedure</v>
      </c>
      <c r="AD84" t="str">
        <f>IFERROR(__xludf.DUMMYFUNCTION("""COMPUTED_VALUE"""),"Unsure")</f>
        <v>Unsure</v>
      </c>
      <c r="AE84" t="str">
        <f>IFERROR(__xludf.DUMMYFUNCTION("""COMPUTED_VALUE"""),"Unsure")</f>
        <v>Unsure</v>
      </c>
      <c r="AF84" t="str">
        <f>IFERROR(__xludf.DUMMYFUNCTION("""COMPUTED_VALUE"""),"Unsure")</f>
        <v>Unsure</v>
      </c>
      <c r="AG84" s="78" t="str">
        <f>IFERROR(__xludf.DUMMYFUNCTION("""COMPUTED_VALUE"""),"http://www.rsc.org/journals-books-databases/journal-authors-reviewers/processes-policies/#prior-publication")</f>
        <v>http://www.rsc.org/journals-books-databases/journal-authors-reviewers/processes-policies/#prior-publication</v>
      </c>
      <c r="AH84" t="str">
        <f>IFERROR(__xludf.DUMMYFUNCTION("""COMPUTED_VALUE"""),"First submission only (before peer review)")</f>
        <v>First submission only (before peer review)</v>
      </c>
      <c r="AI84" t="str">
        <f>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84" t="str">
        <f>IFERROR(__xludf.DUMMYFUNCTION("""COMPUTED_VALUE"""),"Yes, in the reference list")</f>
        <v>Yes, in the reference list</v>
      </c>
      <c r="AK84" t="str">
        <f>IFERROR(__xludf.DUMMYFUNCTION("""COMPUTED_VALUE"""),"Unsure")</f>
        <v>Unsure</v>
      </c>
      <c r="AL84" t="str">
        <f>IFERROR(__xludf.DUMMYFUNCTION("""COMPUTED_VALUE"""),"")</f>
        <v/>
      </c>
      <c r="AM84" t="str">
        <f>IFERROR(__xludf.DUMMYFUNCTION("""COMPUTED_VALUE"""),"")</f>
        <v/>
      </c>
      <c r="AN84" t="str">
        <f>IFERROR(__xludf.DUMMYFUNCTION("""COMPUTED_VALUE"""),"")</f>
        <v/>
      </c>
      <c r="AO84" t="str">
        <f>IFERROR(__xludf.DUMMYFUNCTION("""COMPUTED_VALUE"""),"")</f>
        <v/>
      </c>
      <c r="AP84" t="str">
        <f>IFERROR(__xludf.DUMMYFUNCTION("""COMPUTED_VALUE"""),"Most sources of info are from the RSC website")</f>
        <v>Most sources of info are from the RSC website</v>
      </c>
      <c r="AQ84" t="str">
        <f>IFERROR(__xludf.DUMMYFUNCTION("""COMPUTED_VALUE"""),"30 mins")</f>
        <v>30 mins</v>
      </c>
      <c r="AR84" t="str">
        <f>IFERROR(__xludf.DUMMYFUNCTION("""COMPUTED_VALUE"""),"")</f>
        <v/>
      </c>
    </row>
    <row r="85">
      <c r="A85" t="str">
        <f>IFERROR(__xludf.DUMMYFUNCTION("""COMPUTED_VALUE"""),"SH")</f>
        <v>SH</v>
      </c>
      <c r="B85" s="34">
        <f>IFERROR(__xludf.DUMMYFUNCTION("""COMPUTED_VALUE"""),43478.0)</f>
        <v>43478</v>
      </c>
      <c r="C85" t="str">
        <f>IFERROR(__xludf.DUMMYFUNCTION("""COMPUTED_VALUE"""),"JP")</f>
        <v>JP</v>
      </c>
      <c r="D85" s="36">
        <f>IFERROR(__xludf.DUMMYFUNCTION("""COMPUTED_VALUE"""),43572.0)</f>
        <v>43572</v>
      </c>
      <c r="E85" t="str">
        <f>IFERROR(__xludf.DUMMYFUNCTION("""COMPUTED_VALUE"""),"TRH")</f>
        <v>TRH</v>
      </c>
      <c r="F85" s="36">
        <f>IFERROR(__xludf.DUMMYFUNCTION("""COMPUTED_VALUE"""),43581.0)</f>
        <v>43581</v>
      </c>
      <c r="G85" t="str">
        <f>IFERROR(__xludf.DUMMYFUNCTION("""COMPUTED_VALUE"""),"")</f>
        <v/>
      </c>
      <c r="H85" t="str">
        <f>IFERROR(__xludf.DUMMYFUNCTION("""COMPUTED_VALUE"""),"0378-2166")</f>
        <v>0378-2166</v>
      </c>
      <c r="I85" t="str">
        <f>IFERROR(__xludf.DUMMYFUNCTION("""COMPUTED_VALUE"""),"Journal of Pragmatics")</f>
        <v>Journal of Pragmatics</v>
      </c>
      <c r="J85" t="str">
        <f>IFERROR(__xludf.DUMMYFUNCTION("""COMPUTED_VALUE"""),"Humanities, Literature &amp; Arts")</f>
        <v>Humanities, Literature &amp; Arts</v>
      </c>
      <c r="K85" t="str">
        <f>IFERROR(__xludf.DUMMYFUNCTION("""COMPUTED_VALUE"""),"Elsevier")</f>
        <v>Elsevier</v>
      </c>
      <c r="L85" t="str">
        <f>IFERROR(__xludf.DUMMYFUNCTION("""COMPUTED_VALUE"""),"Double blind")</f>
        <v>Double blind</v>
      </c>
      <c r="M85" s="78" t="str">
        <f>IFERROR(__xludf.DUMMYFUNCTION("""COMPUTED_VALUE"""),"https://www.journals.elsevier.com/journal-of-pragmatics/policies/peer-review-policy-for-the-journal-of-pragmatics")</f>
        <v>https://www.journals.elsevier.com/journal-of-pragmatics/policies/peer-review-policy-for-the-journal-of-pragmatics</v>
      </c>
      <c r="N85" t="str">
        <f>IFERROR(__xludf.DUMMYFUNCTION("""COMPUTED_VALUE"""),"")</f>
        <v/>
      </c>
      <c r="O85" t="str">
        <f>IFERROR(__xludf.DUMMYFUNCTION("""COMPUTED_VALUE"""),"")</f>
        <v/>
      </c>
      <c r="P85" t="str">
        <f>IFERROR(__xludf.DUMMYFUNCTION("""COMPUTED_VALUE"""),"Unsure")</f>
        <v>Unsure</v>
      </c>
      <c r="Q85" t="str">
        <f>IFERROR(__xludf.DUMMYFUNCTION("""COMPUTED_VALUE"""),"via Elsevier’s Article Transfer Service (ATS)")</f>
        <v>via Elsevier’s Article Transfer Service (ATS)</v>
      </c>
      <c r="R85" s="78" t="str">
        <f>IFERROR(__xludf.DUMMYFUNCTION("""COMPUTED_VALUE"""),"https://www.elsevier.com/authors/journal-authors/submit-your-paper/submit-and-revise/article-transfer-service")</f>
        <v>https://www.elsevier.com/authors/journal-authors/submit-your-paper/submit-and-revise/article-transfer-service</v>
      </c>
      <c r="S85" t="str">
        <f>IFERROR(__xludf.DUMMYFUNCTION("""COMPUTED_VALUE"""),"Not specified")</f>
        <v>Not specified</v>
      </c>
      <c r="T85" t="str">
        <f>IFERROR(__xludf.DUMMYFUNCTION("""COMPUTED_VALUE"""),"Not specified")</f>
        <v>Not specified</v>
      </c>
      <c r="U85" t="str">
        <f>IFERROR(__xludf.DUMMYFUNCTION("""COMPUTED_VALUE"""),"Not specified")</f>
        <v>Not specified</v>
      </c>
      <c r="V85" t="str">
        <f>IFERROR(__xludf.DUMMYFUNCTION("""COMPUTED_VALUE"""),"Not specified")</f>
        <v>Not specified</v>
      </c>
      <c r="W85" t="str">
        <f>IFERROR(__xludf.DUMMYFUNCTION("""COMPUTED_VALUE"""),"Not specified")</f>
        <v>Not specified</v>
      </c>
      <c r="X85" t="str">
        <f>IFERROR(__xludf.DUMMYFUNCTION("""COMPUTED_VALUE"""),"Not specified")</f>
        <v>Not specified</v>
      </c>
      <c r="Y85" t="str">
        <f>IFERROR(__xludf.DUMMYFUNCTION("""COMPUTED_VALUE"""),"Not specified")</f>
        <v>Not specified</v>
      </c>
      <c r="Z85" t="str">
        <f>IFERROR(__xludf.DUMMYFUNCTION("""COMPUTED_VALUE"""),"Not specified")</f>
        <v>Not specified</v>
      </c>
      <c r="AA85" t="str">
        <f>IFERROR(__xludf.DUMMYFUNCTION("""COMPUTED_VALUE"""),"")</f>
        <v/>
      </c>
      <c r="AB85" t="str">
        <f>IFERROR(__xludf.DUMMYFUNCTION("""COMPUTED_VALUE"""),"")</f>
        <v/>
      </c>
      <c r="AC85" t="str">
        <f>IFERROR(__xludf.DUMMYFUNCTION("""COMPUTED_VALUE"""),"")</f>
        <v/>
      </c>
      <c r="AD85" t="str">
        <f>IFERROR(__xludf.DUMMYFUNCTION("""COMPUTED_VALUE"""),"Unsure")</f>
        <v>Unsure</v>
      </c>
      <c r="AE85" t="str">
        <f>IFERROR(__xludf.DUMMYFUNCTION("""COMPUTED_VALUE"""),"Unsure")</f>
        <v>Unsure</v>
      </c>
      <c r="AF85" t="str">
        <f>IFERROR(__xludf.DUMMYFUNCTION("""COMPUTED_VALUE"""),"Unsure")</f>
        <v>Unsure</v>
      </c>
      <c r="AG85" t="str">
        <f>IFERROR(__xludf.DUMMYFUNCTION("""COMPUTED_VALUE"""),"https://www.elsevier.com/about/policies/copyright/permissions, https://www.elsevier.com/about/policies/sharing")</f>
        <v>https://www.elsevier.com/about/policies/copyright/permissions, https://www.elsevier.com/about/policies/sharing</v>
      </c>
      <c r="AH85" t="str">
        <f>IFERROR(__xludf.DUMMYFUNCTION("""COMPUTED_VALUE"""),"After peer review (but not final, copyedited version)")</f>
        <v>After peer review (but not final, copyedited version)</v>
      </c>
      <c r="AI85" t="str">
        <f>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85" t="str">
        <f>IFERROR(__xludf.DUMMYFUNCTION("""COMPUTED_VALUE"""),"Unsure")</f>
        <v>Unsure</v>
      </c>
      <c r="AK85" t="str">
        <f>IFERROR(__xludf.DUMMYFUNCTION("""COMPUTED_VALUE"""),"Unsure")</f>
        <v>Unsure</v>
      </c>
      <c r="AL85" t="str">
        <f>IFERROR(__xludf.DUMMYFUNCTION("""COMPUTED_VALUE"""),"")</f>
        <v/>
      </c>
      <c r="AM85" t="str">
        <f>IFERROR(__xludf.DUMMYFUNCTION("""COMPUTED_VALUE"""),"")</f>
        <v/>
      </c>
      <c r="AN85" t="str">
        <f>IFERROR(__xludf.DUMMYFUNCTION("""COMPUTED_VALUE"""),"")</f>
        <v/>
      </c>
      <c r="AO85" t="str">
        <f>IFERROR(__xludf.DUMMYFUNCTION("""COMPUTED_VALUE"""),"")</f>
        <v/>
      </c>
      <c r="AP85" t="str">
        <f>IFERROR(__xludf.DUMMYFUNCTION("""COMPUTED_VALUE"""),"O30: ""You are always able to share the preprint version or a link to your article. For authors who have published their article open access under a commercial license (CC BY) you can also post your final article.""")</f>
        <v>O30: "You are always able to share the preprint version or a link to your article. For authors who have published their article open access under a commercial license (CC BY) you can also post your final article."</v>
      </c>
      <c r="AQ85" t="str">
        <f>IFERROR(__xludf.DUMMYFUNCTION("""COMPUTED_VALUE"""),"30 mins")</f>
        <v>30 mins</v>
      </c>
      <c r="AR85" t="str">
        <f>IFERROR(__xludf.DUMMYFUNCTION("""COMPUTED_VALUE"""),"No specific journal policy - should we trust the Elsevier parent policy, which does say that society &amp; double blind journals may have different policies?")</f>
        <v>No specific journal policy - should we trust the Elsevier parent policy, which does say that society &amp; double blind journals may have different policies?</v>
      </c>
    </row>
    <row r="86">
      <c r="A86" t="str">
        <f>IFERROR(__xludf.DUMMYFUNCTION("""COMPUTED_VALUE"""),"SH")</f>
        <v>SH</v>
      </c>
      <c r="B86" s="34">
        <f>IFERROR(__xludf.DUMMYFUNCTION("""COMPUTED_VALUE"""),43479.0)</f>
        <v>43479</v>
      </c>
      <c r="C86" t="str">
        <f>IFERROR(__xludf.DUMMYFUNCTION("""COMPUTED_VALUE"""),"JP")</f>
        <v>JP</v>
      </c>
      <c r="D86" s="36">
        <f>IFERROR(__xludf.DUMMYFUNCTION("""COMPUTED_VALUE"""),43572.0)</f>
        <v>43572</v>
      </c>
      <c r="E86" t="str">
        <f>IFERROR(__xludf.DUMMYFUNCTION("""COMPUTED_VALUE"""),"TRH")</f>
        <v>TRH</v>
      </c>
      <c r="F86" s="36">
        <f>IFERROR(__xludf.DUMMYFUNCTION("""COMPUTED_VALUE"""),43581.0)</f>
        <v>43581</v>
      </c>
      <c r="G86" t="str">
        <f>IFERROR(__xludf.DUMMYFUNCTION("""COMPUTED_VALUE"""),"")</f>
        <v/>
      </c>
      <c r="H86" t="str">
        <f>IFERROR(__xludf.DUMMYFUNCTION("""COMPUTED_VALUE"""),"1520-5126")</f>
        <v>1520-5126</v>
      </c>
      <c r="I86" t="str">
        <f>IFERROR(__xludf.DUMMYFUNCTION("""COMPUTED_VALUE"""),"Journal of the American Chemical Society")</f>
        <v>Journal of the American Chemical Society</v>
      </c>
      <c r="J86" t="str">
        <f>IFERROR(__xludf.DUMMYFUNCTION("""COMPUTED_VALUE"""),"Chemical &amp; Materials Sciences")</f>
        <v>Chemical &amp; Materials Sciences</v>
      </c>
      <c r="K86" t="str">
        <f>IFERROR(__xludf.DUMMYFUNCTION("""COMPUTED_VALUE"""),"ACS Publications")</f>
        <v>ACS Publications</v>
      </c>
      <c r="L86" t="str">
        <f>IFERROR(__xludf.DUMMYFUNCTION("""COMPUTED_VALUE"""),"Single blind")</f>
        <v>Single blind</v>
      </c>
      <c r="M86" s="78" t="str">
        <f>IFERROR(__xludf.DUMMYFUNCTION("""COMPUTED_VALUE"""),"http://pubs.acs.org/paragonplus/submission/jacsat/jacsat_authguide.pdf")</f>
        <v>http://pubs.acs.org/paragonplus/submission/jacsat/jacsat_authguide.pdf</v>
      </c>
      <c r="N86" t="str">
        <f>IFERROR(__xludf.DUMMYFUNCTION("""COMPUTED_VALUE"""),"")</f>
        <v/>
      </c>
      <c r="O86" t="str">
        <f>IFERROR(__xludf.DUMMYFUNCTION("""COMPUTED_VALUE"""),"")</f>
        <v/>
      </c>
      <c r="P86" t="str">
        <f>IFERROR(__xludf.DUMMYFUNCTION("""COMPUTED_VALUE"""),"Unsure")</f>
        <v>Unsure</v>
      </c>
      <c r="Q86" t="str">
        <f>IFERROR(__xludf.DUMMYFUNCTION("""COMPUTED_VALUE"""),"""...For manuscripts that have been peer reviewed, the reviews, reviewer identities, and ACS editor’s decision letter will also be provided to the next journal.""")</f>
        <v>"...For manuscripts that have been peer reviewed, the reviews, reviewer identities, and ACS editor’s decision letter will also be provided to the next journal."</v>
      </c>
      <c r="R86" s="78" t="str">
        <f>IFERROR(__xludf.DUMMYFUNCTION("""COMPUTED_VALUE"""),"https://pubs.acs.org/page/policy/manuscript_transfer/index.html")</f>
        <v>https://pubs.acs.org/page/policy/manuscript_transfer/index.html</v>
      </c>
      <c r="S86" t="str">
        <f>IFERROR(__xludf.DUMMYFUNCTION("""COMPUTED_VALUE"""),"Not specified")</f>
        <v>Not specified</v>
      </c>
      <c r="T86" t="str">
        <f>IFERROR(__xludf.DUMMYFUNCTION("""COMPUTED_VALUE"""),"Not specified")</f>
        <v>Not specified</v>
      </c>
      <c r="U86" t="str">
        <f>IFERROR(__xludf.DUMMYFUNCTION("""COMPUTED_VALUE"""),"not specified")</f>
        <v>not specified</v>
      </c>
      <c r="V86" t="str">
        <f>IFERROR(__xludf.DUMMYFUNCTION("""COMPUTED_VALUE"""),"Not specified")</f>
        <v>Not specified</v>
      </c>
      <c r="W86" t="str">
        <f>IFERROR(__xludf.DUMMYFUNCTION("""COMPUTED_VALUE"""),"Not specified")</f>
        <v>Not specified</v>
      </c>
      <c r="X86" t="str">
        <f>IFERROR(__xludf.DUMMYFUNCTION("""COMPUTED_VALUE"""),"No")</f>
        <v>No</v>
      </c>
      <c r="Y86" t="str">
        <f>IFERROR(__xludf.DUMMYFUNCTION("""COMPUTED_VALUE"""),"Not specified")</f>
        <v>Not specified</v>
      </c>
      <c r="Z86" t="str">
        <f>IFERROR(__xludf.DUMMYFUNCTION("""COMPUTED_VALUE"""),"Not specified")</f>
        <v>Not specified</v>
      </c>
      <c r="AA86" t="str">
        <f>IFERROR(__xludf.DUMMYFUNCTION("""COMPUTED_VALUE"""),"")</f>
        <v/>
      </c>
      <c r="AB86" t="str">
        <f>IFERROR(__xludf.DUMMYFUNCTION("""COMPUTED_VALUE"""),"")</f>
        <v/>
      </c>
      <c r="AC86" t="str">
        <f>IFERROR(__xludf.DUMMYFUNCTION("""COMPUTED_VALUE"""),"")</f>
        <v/>
      </c>
      <c r="AD86" t="str">
        <f>IFERROR(__xludf.DUMMYFUNCTION("""COMPUTED_VALUE"""),"Unsure")</f>
        <v>Unsure</v>
      </c>
      <c r="AE86" t="str">
        <f>IFERROR(__xludf.DUMMYFUNCTION("""COMPUTED_VALUE"""),"Unsure")</f>
        <v>Unsure</v>
      </c>
      <c r="AF86" t="str">
        <f>IFERROR(__xludf.DUMMYFUNCTION("""COMPUTED_VALUE"""),"Unsure")</f>
        <v>Unsure</v>
      </c>
      <c r="AG86" s="78" t="str">
        <f>IFERROR(__xludf.DUMMYFUNCTION("""COMPUTED_VALUE"""),"http://pubs.acs.org/paragonplus/submission/jacsat/jacsat_authguide.pdf")</f>
        <v>http://pubs.acs.org/paragonplus/submission/jacsat/jacsat_authguide.pdf</v>
      </c>
      <c r="AH86" t="str">
        <f>IFERROR(__xludf.DUMMYFUNCTION("""COMPUTED_VALUE"""),"After peer review (but not final, copyedited version)")</f>
        <v>After peer review (but not final, copyedited version)</v>
      </c>
      <c r="AI86" t="str">
        <f>IFERROR(__xludf.DUMMYFUNCTION("""COMPUTED_VALUE"""),"""Journal of the American Chemical Society authors may deposit an initial draft of their manuscript in a preprint service such as ChemRxiv, bioRxiv, arXiv, or the applicable repository for their discipline before the manuscript is accepted for publication"&amp;" in the Journal of the American Chemical Society. Authors may revise the preprint version of their manuscript up until a final acceptance decision has been issued. """)</f>
        <v>"Journal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v>
      </c>
      <c r="AJ86" t="str">
        <f>IFERROR(__xludf.DUMMYFUNCTION("""COMPUTED_VALUE"""),"Unsure")</f>
        <v>Unsure</v>
      </c>
      <c r="AK86" t="str">
        <f>IFERROR(__xludf.DUMMYFUNCTION("""COMPUTED_VALUE"""),"Unsure")</f>
        <v>Unsure</v>
      </c>
      <c r="AL86" t="str">
        <f>IFERROR(__xludf.DUMMYFUNCTION("""COMPUTED_VALUE"""),"")</f>
        <v/>
      </c>
      <c r="AM86" t="str">
        <f>IFERROR(__xludf.DUMMYFUNCTION("""COMPUTED_VALUE"""),"")</f>
        <v/>
      </c>
      <c r="AN86" t="str">
        <f>IFERROR(__xludf.DUMMYFUNCTION("""COMPUTED_VALUE"""),"")</f>
        <v/>
      </c>
      <c r="AO86" t="str">
        <f>IFERROR(__xludf.DUMMYFUNCTION("""COMPUTED_VALUE"""),"")</f>
        <v/>
      </c>
      <c r="AP86" t="str">
        <f>IFERROR(__xludf.DUMMYFUNCTION("""COMPUTED_VALUE"""),"P8: is based on ""Reviewer identities are confidential, and the names of reviewers will not be
 revealed to an author."" P30: May be ok to post accepted version too (Typeset version?): ""There are many ways in which your Journal Publishing Agreement with "&amp;"the American Chemical Society enables you to share your published research with colleagues. Here are just a few:
 Deposit a copy of your accepted peer-reviewed manuscript to online repositories for non-commercial purposes;""")</f>
        <v>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v>
      </c>
      <c r="AQ86" t="str">
        <f>IFERROR(__xludf.DUMMYFUNCTION("""COMPUTED_VALUE"""),"30 mins")</f>
        <v>30 mins</v>
      </c>
      <c r="AR86" t="str">
        <f>IFERROR(__xludf.DUMMYFUNCTION("""COMPUTED_VALUE"""),"")</f>
        <v/>
      </c>
    </row>
    <row r="87">
      <c r="A87" t="str">
        <f>IFERROR(__xludf.DUMMYFUNCTION("""COMPUTED_VALUE"""),"SH")</f>
        <v>SH</v>
      </c>
      <c r="B87" s="34">
        <f>IFERROR(__xludf.DUMMYFUNCTION("""COMPUTED_VALUE"""),43479.0)</f>
        <v>43479</v>
      </c>
      <c r="C87" t="str">
        <f>IFERROR(__xludf.DUMMYFUNCTION("""COMPUTED_VALUE"""),"JP")</f>
        <v>JP</v>
      </c>
      <c r="D87" s="36">
        <f>IFERROR(__xludf.DUMMYFUNCTION("""COMPUTED_VALUE"""),43566.0)</f>
        <v>43566</v>
      </c>
      <c r="E87" t="str">
        <f>IFERROR(__xludf.DUMMYFUNCTION("""COMPUTED_VALUE"""),"TRH")</f>
        <v>TRH</v>
      </c>
      <c r="F87" s="36">
        <f>IFERROR(__xludf.DUMMYFUNCTION("""COMPUTED_VALUE"""),43581.0)</f>
        <v>43581</v>
      </c>
      <c r="G87" s="36" t="str">
        <f>IFERROR(__xludf.DUMMYFUNCTION("""COMPUTED_VALUE"""),"")</f>
        <v/>
      </c>
      <c r="H87" t="str">
        <f>IFERROR(__xludf.DUMMYFUNCTION("""COMPUTED_VALUE"""),"0735-1097")</f>
        <v>0735-1097</v>
      </c>
      <c r="I87" t="str">
        <f>IFERROR(__xludf.DUMMYFUNCTION("""COMPUTED_VALUE"""),"Journal of the American College of Cardiology")</f>
        <v>Journal of the American College of Cardiology</v>
      </c>
      <c r="J87" t="str">
        <f>IFERROR(__xludf.DUMMYFUNCTION("""COMPUTED_VALUE"""),"Health &amp; Medical Sciences")</f>
        <v>Health &amp; Medical Sciences</v>
      </c>
      <c r="K87" t="str">
        <f>IFERROR(__xludf.DUMMYFUNCTION("""COMPUTED_VALUE"""),"American College of Cardiology, Elsevier")</f>
        <v>American College of Cardiology, Elsevier</v>
      </c>
      <c r="L87" t="str">
        <f>IFERROR(__xludf.DUMMYFUNCTION("""COMPUTED_VALUE"""),"Single blind")</f>
        <v>Single blind</v>
      </c>
      <c r="M87" s="78" t="str">
        <f>IFERROR(__xludf.DUMMYFUNCTION("""COMPUTED_VALUE"""),"http://www.onlinejacc.org/content/73/2/A28")</f>
        <v>http://www.onlinejacc.org/content/73/2/A28</v>
      </c>
      <c r="N87" t="str">
        <f>IFERROR(__xludf.DUMMYFUNCTION("""COMPUTED_VALUE"""),"")</f>
        <v/>
      </c>
      <c r="O87" t="str">
        <f>IFERROR(__xludf.DUMMYFUNCTION("""COMPUTED_VALUE"""),"")</f>
        <v/>
      </c>
      <c r="P87" t="str">
        <f>IFERROR(__xludf.DUMMYFUNCTION("""COMPUTED_VALUE"""),"Unsure")</f>
        <v>Unsure</v>
      </c>
      <c r="Q87" t="str">
        <f>IFERROR(__xludf.DUMMYFUNCTION("""COMPUTED_VALUE"""),"")</f>
        <v/>
      </c>
      <c r="R87" t="str">
        <f>IFERROR(__xludf.DUMMYFUNCTION("""COMPUTED_VALUE"""),"")</f>
        <v/>
      </c>
      <c r="S87" t="str">
        <f>IFERROR(__xludf.DUMMYFUNCTION("""COMPUTED_VALUE"""),"Not specified")</f>
        <v>Not specified</v>
      </c>
      <c r="T87" t="str">
        <f>IFERROR(__xludf.DUMMYFUNCTION("""COMPUTED_VALUE"""),"Not specified")</f>
        <v>Not specified</v>
      </c>
      <c r="U87" t="str">
        <f>IFERROR(__xludf.DUMMYFUNCTION("""COMPUTED_VALUE"""),"Not specified")</f>
        <v>Not specified</v>
      </c>
      <c r="V87" t="str">
        <f>IFERROR(__xludf.DUMMYFUNCTION("""COMPUTED_VALUE"""),"Not specified")</f>
        <v>Not specified</v>
      </c>
      <c r="W87" t="str">
        <f>IFERROR(__xludf.DUMMYFUNCTION("""COMPUTED_VALUE"""),"Not specified")</f>
        <v>Not specified</v>
      </c>
      <c r="X87" t="str">
        <f>IFERROR(__xludf.DUMMYFUNCTION("""COMPUTED_VALUE"""),"Not specified")</f>
        <v>Not specified</v>
      </c>
      <c r="Y87" t="str">
        <f>IFERROR(__xludf.DUMMYFUNCTION("""COMPUTED_VALUE"""),"Not specified")</f>
        <v>Not specified</v>
      </c>
      <c r="Z87" t="str">
        <f>IFERROR(__xludf.DUMMYFUNCTION("""COMPUTED_VALUE"""),"No")</f>
        <v>No</v>
      </c>
      <c r="AA87" t="str">
        <f>IFERROR(__xludf.DUMMYFUNCTION("""COMPUTED_VALUE"""),"Not open interaction for reviewers, but for editors: ""Once 2 reviews have been completed, the submission is reviewed by all JACC associate editors in a weekly meeting. The group then comes to [a decision]"" http://www.onlinejacc.org/content/73/14/A18")</f>
        <v>Not open interaction for reviewers, but for editors: "Once 2 reviews have been completed, the submission is reviewed by all JACC associate editors in a weekly meeting. The group then comes to [a decision]" http://www.onlinejacc.org/content/73/14/A18</v>
      </c>
      <c r="AB87" t="str">
        <f>IFERROR(__xludf.DUMMYFUNCTION("""COMPUTED_VALUE"""),"")</f>
        <v/>
      </c>
      <c r="AC87" t="str">
        <f>IFERROR(__xludf.DUMMYFUNCTION("""COMPUTED_VALUE"""),"")</f>
        <v/>
      </c>
      <c r="AD87" t="str">
        <f>IFERROR(__xludf.DUMMYFUNCTION("""COMPUTED_VALUE"""),"Unsure")</f>
        <v>Unsure</v>
      </c>
      <c r="AE87" t="str">
        <f>IFERROR(__xludf.DUMMYFUNCTION("""COMPUTED_VALUE"""),"Unsure")</f>
        <v>Unsure</v>
      </c>
      <c r="AF87" t="str">
        <f>IFERROR(__xludf.DUMMYFUNCTION("""COMPUTED_VALUE"""),"Unsure")</f>
        <v>Unsure</v>
      </c>
      <c r="AG87" s="78" t="str">
        <f>IFERROR(__xludf.DUMMYFUNCTION("""COMPUTED_VALUE"""),"http://www.onlinejacc.org/content/73/2/A28")</f>
        <v>http://www.onlinejacc.org/content/73/2/A28</v>
      </c>
      <c r="AH87" t="str">
        <f>IFERROR(__xludf.DUMMYFUNCTION("""COMPUTED_VALUE"""),"None (preprints are not allowed)")</f>
        <v>None (preprints are not allowed)</v>
      </c>
      <c r="AI87" t="str">
        <f>IFERROR(__xludf.DUMMYFUNCTION("""COMPUTED_VALUE"""),"")</f>
        <v/>
      </c>
      <c r="AJ87" t="str">
        <f>IFERROR(__xludf.DUMMYFUNCTION("""COMPUTED_VALUE"""),"Not specified")</f>
        <v>Not specified</v>
      </c>
      <c r="AK87" t="str">
        <f>IFERROR(__xludf.DUMMYFUNCTION("""COMPUTED_VALUE"""),"No")</f>
        <v>No</v>
      </c>
      <c r="AL87" t="str">
        <f>IFERROR(__xludf.DUMMYFUNCTION("""COMPUTED_VALUE"""),"")</f>
        <v/>
      </c>
      <c r="AM87" t="str">
        <f>IFERROR(__xludf.DUMMYFUNCTION("""COMPUTED_VALUE"""),"")</f>
        <v/>
      </c>
      <c r="AN87" t="str">
        <f>IFERROR(__xludf.DUMMYFUNCTION("""COMPUTED_VALUE"""),"")</f>
        <v/>
      </c>
      <c r="AO87" t="str">
        <f>IFERROR(__xludf.DUMMYFUNCTION("""COMPUTED_VALUE"""),"")</f>
        <v/>
      </c>
      <c r="AP87" t="str">
        <f>IFERROR(__xludf.DUMMYFUNCTION("""COMPUTED_VALUE"""),"Sadly, this is a fatastic example of a very restrictive preprint policy ""Public dissemination of manuscripts prior to, simultaneous with, or following submission to this journal, such as posting the manuscript on preprint servers or other repositories, i"&amp;"s discouraged. We ask that authors disclose this information during the submission process, as the JACC Journals will not accept submissions that have previously posted on a preprint server. The Published Journal Article cannot be shared publicly, for exa"&amp;"mple on ResearchGate or Academia.edu, to ensure the sustainability of peer-reviewed research in journal publications."" Q22: ""...although there are exceptions, the reviewers are blinded to each other."". Interesting interactive model for PR on editorial "&amp;"side (editors make group decisions on manuscripts).")</f>
        <v>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v>
      </c>
      <c r="AQ87" t="str">
        <f>IFERROR(__xludf.DUMMYFUNCTION("""COMPUTED_VALUE"""),"30 mins")</f>
        <v>30 mins</v>
      </c>
      <c r="AR87" t="str">
        <f>IFERROR(__xludf.DUMMYFUNCTION("""COMPUTED_VALUE"""),"")</f>
        <v/>
      </c>
    </row>
    <row r="88">
      <c r="A88" t="str">
        <f>IFERROR(__xludf.DUMMYFUNCTION("""COMPUTED_VALUE"""),"SH")</f>
        <v>SH</v>
      </c>
      <c r="B88" s="34">
        <f>IFERROR(__xludf.DUMMYFUNCTION("""COMPUTED_VALUE"""),43479.0)</f>
        <v>43479</v>
      </c>
      <c r="C88" t="str">
        <f>IFERROR(__xludf.DUMMYFUNCTION("""COMPUTED_VALUE"""),"JP")</f>
        <v>JP</v>
      </c>
      <c r="D88" s="36">
        <f>IFERROR(__xludf.DUMMYFUNCTION("""COMPUTED_VALUE"""),43566.0)</f>
        <v>43566</v>
      </c>
      <c r="E88" t="str">
        <f>IFERROR(__xludf.DUMMYFUNCTION("""COMPUTED_VALUE"""),"TRH")</f>
        <v>TRH</v>
      </c>
      <c r="F88" s="36">
        <f>IFERROR(__xludf.DUMMYFUNCTION("""COMPUTED_VALUE"""),43581.0)</f>
        <v>43581</v>
      </c>
      <c r="G88" s="36" t="str">
        <f>IFERROR(__xludf.DUMMYFUNCTION("""COMPUTED_VALUE"""),"")</f>
        <v/>
      </c>
      <c r="H88" t="str">
        <f>IFERROR(__xludf.DUMMYFUNCTION("""COMPUTED_VALUE"""),"1573-6601")</f>
        <v>1573-6601</v>
      </c>
      <c r="I88" t="str">
        <f>IFERROR(__xludf.DUMMYFUNCTION("""COMPUTED_VALUE"""),"Journal of Youth and Adolescence")</f>
        <v>Journal of Youth and Adolescence</v>
      </c>
      <c r="J88" t="str">
        <f>IFERROR(__xludf.DUMMYFUNCTION("""COMPUTED_VALUE"""),"Social Sciences")</f>
        <v>Social Sciences</v>
      </c>
      <c r="K88" t="str">
        <f>IFERROR(__xludf.DUMMYFUNCTION("""COMPUTED_VALUE"""),"Springer")</f>
        <v>Springer</v>
      </c>
      <c r="L88" t="str">
        <f>IFERROR(__xludf.DUMMYFUNCTION("""COMPUTED_VALUE"""),"Double blind")</f>
        <v>Double blind</v>
      </c>
      <c r="M88" s="78" t="str">
        <f>IFERROR(__xludf.DUMMYFUNCTION("""COMPUTED_VALUE"""),"https://www.springer.com/psychology/child+%26+school+psychology/journal/10964?detailsPage=pltci_1692324")</f>
        <v>https://www.springer.com/psychology/child+%26+school+psychology/journal/10964?detailsPage=pltci_1692324</v>
      </c>
      <c r="N88" t="str">
        <f>IFERROR(__xludf.DUMMYFUNCTION("""COMPUTED_VALUE"""),"")</f>
        <v/>
      </c>
      <c r="O88" t="str">
        <f>IFERROR(__xludf.DUMMYFUNCTION("""COMPUTED_VALUE"""),"")</f>
        <v/>
      </c>
      <c r="P88" t="str">
        <f>IFERROR(__xludf.DUMMYFUNCTION("""COMPUTED_VALUE"""),"Unsure")</f>
        <v>Unsure</v>
      </c>
      <c r="Q88" t="str">
        <f>IFERROR(__xludf.DUMMYFUNCTION("""COMPUTED_VALUE"""),"")</f>
        <v/>
      </c>
      <c r="R88" t="str">
        <f>IFERROR(__xludf.DUMMYFUNCTION("""COMPUTED_VALUE"""),"")</f>
        <v/>
      </c>
      <c r="S88" t="str">
        <f>IFERROR(__xludf.DUMMYFUNCTION("""COMPUTED_VALUE"""),"Not specified")</f>
        <v>Not specified</v>
      </c>
      <c r="T88" t="str">
        <f>IFERROR(__xludf.DUMMYFUNCTION("""COMPUTED_VALUE"""),"Not specified")</f>
        <v>Not specified</v>
      </c>
      <c r="U88" t="str">
        <f>IFERROR(__xludf.DUMMYFUNCTION("""COMPUTED_VALUE"""),"Not specified")</f>
        <v>Not specified</v>
      </c>
      <c r="V88" t="str">
        <f>IFERROR(__xludf.DUMMYFUNCTION("""COMPUTED_VALUE"""),"Not specified")</f>
        <v>Not specified</v>
      </c>
      <c r="W88" t="str">
        <f>IFERROR(__xludf.DUMMYFUNCTION("""COMPUTED_VALUE"""),"Not specified")</f>
        <v>Not specified</v>
      </c>
      <c r="X88" t="str">
        <f>IFERROR(__xludf.DUMMYFUNCTION("""COMPUTED_VALUE"""),"Not specified")</f>
        <v>Not specified</v>
      </c>
      <c r="Y88" t="str">
        <f>IFERROR(__xludf.DUMMYFUNCTION("""COMPUTED_VALUE"""),"Not specified")</f>
        <v>Not specified</v>
      </c>
      <c r="Z88" t="str">
        <f>IFERROR(__xludf.DUMMYFUNCTION("""COMPUTED_VALUE"""),"Not specified")</f>
        <v>Not specified</v>
      </c>
      <c r="AA88" t="str">
        <f>IFERROR(__xludf.DUMMYFUNCTION("""COMPUTED_VALUE"""),"")</f>
        <v/>
      </c>
      <c r="AB88" t="str">
        <f>IFERROR(__xludf.DUMMYFUNCTION("""COMPUTED_VALUE"""),"")</f>
        <v/>
      </c>
      <c r="AC88" t="str">
        <f>IFERROR(__xludf.DUMMYFUNCTION("""COMPUTED_VALUE"""),"")</f>
        <v/>
      </c>
      <c r="AD88" t="str">
        <f>IFERROR(__xludf.DUMMYFUNCTION("""COMPUTED_VALUE"""),"Unsure")</f>
        <v>Unsure</v>
      </c>
      <c r="AE88" t="str">
        <f>IFERROR(__xludf.DUMMYFUNCTION("""COMPUTED_VALUE"""),"Unsure")</f>
        <v>Unsure</v>
      </c>
      <c r="AF88" t="str">
        <f>IFERROR(__xludf.DUMMYFUNCTION("""COMPUTED_VALUE"""),"Unsure")</f>
        <v>Unsure</v>
      </c>
      <c r="AG88" t="str">
        <f>IFERROR(__xludf.DUMMYFUNCTION("""COMPUTED_VALUE"""),"")</f>
        <v/>
      </c>
      <c r="AH88" t="str">
        <f>IFERROR(__xludf.DUMMYFUNCTION("""COMPUTED_VALUE"""),"No preprint policy")</f>
        <v>No preprint policy</v>
      </c>
      <c r="AI88" t="str">
        <f>IFERROR(__xludf.DUMMYFUNCTION("""COMPUTED_VALUE"""),"")</f>
        <v/>
      </c>
      <c r="AJ88" t="str">
        <f>IFERROR(__xludf.DUMMYFUNCTION("""COMPUTED_VALUE"""),"Unsure")</f>
        <v>Unsure</v>
      </c>
      <c r="AK88" t="str">
        <f>IFERROR(__xludf.DUMMYFUNCTION("""COMPUTED_VALUE"""),"Unsure")</f>
        <v>Unsure</v>
      </c>
      <c r="AL88" t="str">
        <f>IFERROR(__xludf.DUMMYFUNCTION("""COMPUTED_VALUE"""),"")</f>
        <v/>
      </c>
      <c r="AM88" t="str">
        <f>IFERROR(__xludf.DUMMYFUNCTION("""COMPUTED_VALUE"""),"")</f>
        <v/>
      </c>
      <c r="AN88" t="str">
        <f>IFERROR(__xludf.DUMMYFUNCTION("""COMPUTED_VALUE"""),"")</f>
        <v/>
      </c>
      <c r="AO88" t="str">
        <f>IFERROR(__xludf.DUMMYFUNCTION("""COMPUTED_VALUE"""),"")</f>
        <v/>
      </c>
      <c r="AP88" t="str">
        <f>IFERROR(__xludf.DUMMYFUNCTION("""COMPUTED_VALUE"""),"Couldn't find any info about preprints")</f>
        <v>Couldn't find any info about preprints</v>
      </c>
      <c r="AQ88" t="str">
        <f>IFERROR(__xludf.DUMMYFUNCTION("""COMPUTED_VALUE"""),"40 mins")</f>
        <v>40 mins</v>
      </c>
      <c r="AR88" t="str">
        <f>IFERROR(__xludf.DUMMYFUNCTION("""COMPUTED_VALUE"""),"")</f>
        <v/>
      </c>
    </row>
    <row r="89">
      <c r="A89" t="str">
        <f>IFERROR(__xludf.DUMMYFUNCTION("""COMPUTED_VALUE"""),"SH")</f>
        <v>SH</v>
      </c>
      <c r="B89" s="34">
        <f>IFERROR(__xludf.DUMMYFUNCTION("""COMPUTED_VALUE"""),43480.0)</f>
        <v>43480</v>
      </c>
      <c r="C89" t="str">
        <f>IFERROR(__xludf.DUMMYFUNCTION("""COMPUTED_VALUE"""),"JP")</f>
        <v>JP</v>
      </c>
      <c r="D89" s="36">
        <f>IFERROR(__xludf.DUMMYFUNCTION("""COMPUTED_VALUE"""),43566.0)</f>
        <v>43566</v>
      </c>
      <c r="E89" t="str">
        <f>IFERROR(__xludf.DUMMYFUNCTION("""COMPUTED_VALUE"""),"TRH")</f>
        <v>TRH</v>
      </c>
      <c r="F89" s="36">
        <f>IFERROR(__xludf.DUMMYFUNCTION("""COMPUTED_VALUE"""),43581.0)</f>
        <v>43581</v>
      </c>
      <c r="G89" s="36" t="str">
        <f>IFERROR(__xludf.DUMMYFUNCTION("""COMPUTED_VALUE"""),"")</f>
        <v/>
      </c>
      <c r="H89" t="str">
        <f>IFERROR(__xludf.DUMMYFUNCTION("""COMPUTED_VALUE"""),"1741-3001")</f>
        <v>1741-3001</v>
      </c>
      <c r="I89" t="str">
        <f>IFERROR(__xludf.DUMMYFUNCTION("""COMPUTED_VALUE"""),"Journalism")</f>
        <v>Journalism</v>
      </c>
      <c r="J89" t="str">
        <f>IFERROR(__xludf.DUMMYFUNCTION("""COMPUTED_VALUE"""),"Humanities, Literature &amp; Arts")</f>
        <v>Humanities, Literature &amp; Arts</v>
      </c>
      <c r="K89" t="str">
        <f>IFERROR(__xludf.DUMMYFUNCTION("""COMPUTED_VALUE"""),"SAGE")</f>
        <v>SAGE</v>
      </c>
      <c r="L89" t="str">
        <f>IFERROR(__xludf.DUMMYFUNCTION("""COMPUTED_VALUE"""),"Double blind")</f>
        <v>Double blind</v>
      </c>
      <c r="M89" s="78" t="str">
        <f>IFERROR(__xludf.DUMMYFUNCTION("""COMPUTED_VALUE"""),"https://us.sagepub.com/en-us/nam/journal/journalism#PeerReviewPolicy")</f>
        <v>https://us.sagepub.com/en-us/nam/journal/journalism#PeerReviewPolicy</v>
      </c>
      <c r="N89" t="str">
        <f>IFERROR(__xludf.DUMMYFUNCTION("""COMPUTED_VALUE"""),"")</f>
        <v/>
      </c>
      <c r="O89" s="78" t="str">
        <f>IFERROR(__xludf.DUMMYFUNCTION("""COMPUTED_VALUE"""),"https://us.sagepub.com/en-us/nam/reviewer-rewards")</f>
        <v>https://us.sagepub.com/en-us/nam/reviewer-rewards</v>
      </c>
      <c r="P89" t="str">
        <f>IFERROR(__xludf.DUMMYFUNCTION("""COMPUTED_VALUE"""),"Yes")</f>
        <v>Yes</v>
      </c>
      <c r="Q89" t="str">
        <f>IFERROR(__xludf.DUMMYFUNCTION("""COMPUTED_VALUE"""),"")</f>
        <v/>
      </c>
      <c r="R89" t="str">
        <f>IFERROR(__xludf.DUMMYFUNCTION("""COMPUTED_VALUE"""),"")</f>
        <v/>
      </c>
      <c r="S89" t="str">
        <f>IFERROR(__xludf.DUMMYFUNCTION("""COMPUTED_VALUE"""),"Not specified")</f>
        <v>Not specified</v>
      </c>
      <c r="T89" t="str">
        <f>IFERROR(__xludf.DUMMYFUNCTION("""COMPUTED_VALUE"""),"Not specified")</f>
        <v>Not specified</v>
      </c>
      <c r="U89" t="str">
        <f>IFERROR(__xludf.DUMMYFUNCTION("""COMPUTED_VALUE"""),"Not specified")</f>
        <v>Not specified</v>
      </c>
      <c r="V89" t="str">
        <f>IFERROR(__xludf.DUMMYFUNCTION("""COMPUTED_VALUE"""),"Not specified")</f>
        <v>Not specified</v>
      </c>
      <c r="W89" t="str">
        <f>IFERROR(__xludf.DUMMYFUNCTION("""COMPUTED_VALUE"""),"Not specified")</f>
        <v>Not specified</v>
      </c>
      <c r="X89" t="str">
        <f>IFERROR(__xludf.DUMMYFUNCTION("""COMPUTED_VALUE"""),"Not specified")</f>
        <v>Not specified</v>
      </c>
      <c r="Y89" t="str">
        <f>IFERROR(__xludf.DUMMYFUNCTION("""COMPUTED_VALUE"""),"Not specified")</f>
        <v>Not specified</v>
      </c>
      <c r="Z89" t="str">
        <f>IFERROR(__xludf.DUMMYFUNCTION("""COMPUTED_VALUE"""),"Not specified")</f>
        <v>Not specified</v>
      </c>
      <c r="AA89" t="str">
        <f>IFERROR(__xludf.DUMMYFUNCTION("""COMPUTED_VALUE"""),"")</f>
        <v/>
      </c>
      <c r="AB89" t="str">
        <f>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9" s="78" t="str">
        <f>IFERROR(__xludf.DUMMYFUNCTION("""COMPUTED_VALUE"""),"https://us.sagepub.com/en-us/nam/how-to-review-articles")</f>
        <v>https://us.sagepub.com/en-us/nam/how-to-review-articles</v>
      </c>
      <c r="AD89" t="str">
        <f>IFERROR(__xludf.DUMMYFUNCTION("""COMPUTED_VALUE"""),"Unsure")</f>
        <v>Unsure</v>
      </c>
      <c r="AE89" t="str">
        <f>IFERROR(__xludf.DUMMYFUNCTION("""COMPUTED_VALUE"""),"Unsure")</f>
        <v>Unsure</v>
      </c>
      <c r="AF89" t="str">
        <f>IFERROR(__xludf.DUMMYFUNCTION("""COMPUTED_VALUE"""),"Unsure")</f>
        <v>Unsure</v>
      </c>
      <c r="AG89" s="78" t="str">
        <f>IFERROR(__xludf.DUMMYFUNCTION("""COMPUTED_VALUE"""),"https://us.sagepub.com/en-us/nam/prior-publication")</f>
        <v>https://us.sagepub.com/en-us/nam/prior-publication</v>
      </c>
      <c r="AH89" t="str">
        <f>IFERROR(__xludf.DUMMYFUNCTION("""COMPUTED_VALUE"""),"First submission only (before peer review)")</f>
        <v>First submission only (before peer review)</v>
      </c>
      <c r="AI89" t="str">
        <f>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9" t="str">
        <f>IFERROR(__xludf.DUMMYFUNCTION("""COMPUTED_VALUE"""),"Unsure")</f>
        <v>Unsure</v>
      </c>
      <c r="AK89" t="str">
        <f>IFERROR(__xludf.DUMMYFUNCTION("""COMPUTED_VALUE"""),"Unsure")</f>
        <v>Unsure</v>
      </c>
      <c r="AL89" t="str">
        <f>IFERROR(__xludf.DUMMYFUNCTION("""COMPUTED_VALUE"""),"")</f>
        <v/>
      </c>
      <c r="AM89" t="str">
        <f>IFERROR(__xludf.DUMMYFUNCTION("""COMPUTED_VALUE"""),"")</f>
        <v/>
      </c>
      <c r="AN89" t="str">
        <f>IFERROR(__xludf.DUMMYFUNCTION("""COMPUTED_VALUE"""),"")</f>
        <v/>
      </c>
      <c r="AO89" t="str">
        <f>IFERROR(__xludf.DUMMYFUNCTION("""COMPUTED_VALUE"""),"")</f>
        <v/>
      </c>
      <c r="AP89" t="str">
        <f>IFERROR(__xludf.DUMMYFUNCTION("""COMPUTED_VALUE"""),"S8: very easy to find the peer review type. S30: SAGE policy")</f>
        <v>S8: very easy to find the peer review type. S30: SAGE policy</v>
      </c>
      <c r="AQ89" t="str">
        <f>IFERROR(__xludf.DUMMYFUNCTION("""COMPUTED_VALUE"""),"30 mins")</f>
        <v>30 mins</v>
      </c>
      <c r="AR89" t="str">
        <f>IFERROR(__xludf.DUMMYFUNCTION("""COMPUTED_VALUE"""),"")</f>
        <v/>
      </c>
    </row>
    <row r="90">
      <c r="A90" t="str">
        <f>IFERROR(__xludf.DUMMYFUNCTION("""COMPUTED_VALUE"""),"SH")</f>
        <v>SH</v>
      </c>
      <c r="B90" s="34">
        <f>IFERROR(__xludf.DUMMYFUNCTION("""COMPUTED_VALUE"""),43480.0)</f>
        <v>43480</v>
      </c>
      <c r="C90" t="str">
        <f>IFERROR(__xludf.DUMMYFUNCTION("""COMPUTED_VALUE"""),"JP")</f>
        <v>JP</v>
      </c>
      <c r="D90" s="36">
        <f>IFERROR(__xludf.DUMMYFUNCTION("""COMPUTED_VALUE"""),43566.0)</f>
        <v>43566</v>
      </c>
      <c r="E90" t="str">
        <f>IFERROR(__xludf.DUMMYFUNCTION("""COMPUTED_VALUE"""),"TRH")</f>
        <v>TRH</v>
      </c>
      <c r="F90" s="36">
        <f>IFERROR(__xludf.DUMMYFUNCTION("""COMPUTED_VALUE"""),43581.0)</f>
        <v>43581</v>
      </c>
      <c r="G90" s="36" t="str">
        <f>IFERROR(__xludf.DUMMYFUNCTION("""COMPUTED_VALUE"""),"")</f>
        <v/>
      </c>
      <c r="H90" t="str">
        <f>IFERROR(__xludf.DUMMYFUNCTION("""COMPUTED_VALUE"""),"1751-2786")</f>
        <v>1751-2786</v>
      </c>
      <c r="I90" t="str">
        <f>IFERROR(__xludf.DUMMYFUNCTION("""COMPUTED_VALUE"""),"Journalism Practice")</f>
        <v>Journalism Practice</v>
      </c>
      <c r="J90" t="str">
        <f>IFERROR(__xludf.DUMMYFUNCTION("""COMPUTED_VALUE"""),"Humanities, Literature &amp; Arts")</f>
        <v>Humanities, Literature &amp; Arts</v>
      </c>
      <c r="K90" t="str">
        <f>IFERROR(__xludf.DUMMYFUNCTION("""COMPUTED_VALUE"""),"Taylor &amp; Francis")</f>
        <v>Taylor &amp; Francis</v>
      </c>
      <c r="L90" t="str">
        <f>IFERROR(__xludf.DUMMYFUNCTION("""COMPUTED_VALUE"""),"Double blind")</f>
        <v>Double blind</v>
      </c>
      <c r="M90" s="78" t="str">
        <f>IFERROR(__xludf.DUMMYFUNCTION("""COMPUTED_VALUE"""),"https://www.tandfonline.com/action/authorSubmission?journalCode=rjop20&amp;page=instructions#Peer_review")</f>
        <v>https://www.tandfonline.com/action/authorSubmission?journalCode=rjop20&amp;page=instructions#Peer_review</v>
      </c>
      <c r="N90" t="str">
        <f>IFERROR(__xludf.DUMMYFUNCTION("""COMPUTED_VALUE"""),"")</f>
        <v/>
      </c>
      <c r="O90" t="str">
        <f>IFERROR(__xludf.DUMMYFUNCTION("""COMPUTED_VALUE"""),"")</f>
        <v/>
      </c>
      <c r="P90" t="str">
        <f>IFERROR(__xludf.DUMMYFUNCTION("""COMPUTED_VALUE"""),"Unsure")</f>
        <v>Unsure</v>
      </c>
      <c r="Q90" t="str">
        <f>IFERROR(__xludf.DUMMYFUNCTION("""COMPUTED_VALUE"""),"")</f>
        <v/>
      </c>
      <c r="R90" t="str">
        <f>IFERROR(__xludf.DUMMYFUNCTION("""COMPUTED_VALUE"""),"")</f>
        <v/>
      </c>
      <c r="S90" t="str">
        <f>IFERROR(__xludf.DUMMYFUNCTION("""COMPUTED_VALUE"""),"Not specified")</f>
        <v>Not specified</v>
      </c>
      <c r="T90" t="str">
        <f>IFERROR(__xludf.DUMMYFUNCTION("""COMPUTED_VALUE"""),"Not specified")</f>
        <v>Not specified</v>
      </c>
      <c r="U90" t="str">
        <f>IFERROR(__xludf.DUMMYFUNCTION("""COMPUTED_VALUE"""),"Not specified")</f>
        <v>Not specified</v>
      </c>
      <c r="V90" t="str">
        <f>IFERROR(__xludf.DUMMYFUNCTION("""COMPUTED_VALUE"""),"Not specified")</f>
        <v>Not specified</v>
      </c>
      <c r="W90" t="str">
        <f>IFERROR(__xludf.DUMMYFUNCTION("""COMPUTED_VALUE"""),"Not specified")</f>
        <v>Not specified</v>
      </c>
      <c r="X90" t="str">
        <f>IFERROR(__xludf.DUMMYFUNCTION("""COMPUTED_VALUE"""),"Not specified")</f>
        <v>Not specified</v>
      </c>
      <c r="Y90" t="str">
        <f>IFERROR(__xludf.DUMMYFUNCTION("""COMPUTED_VALUE"""),"Not specified")</f>
        <v>Not specified</v>
      </c>
      <c r="Z90" t="str">
        <f>IFERROR(__xludf.DUMMYFUNCTION("""COMPUTED_VALUE"""),"Not specified")</f>
        <v>Not specified</v>
      </c>
      <c r="AA90" t="str">
        <f>IFERROR(__xludf.DUMMYFUNCTION("""COMPUTED_VALUE"""),"")</f>
        <v/>
      </c>
      <c r="AB90" t="str">
        <f>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0" t="str">
        <f>IFERROR(__xludf.DUMMYFUNCTION("""COMPUTED_VALUE"""),"")</f>
        <v/>
      </c>
      <c r="AD90" t="str">
        <f>IFERROR(__xludf.DUMMYFUNCTION("""COMPUTED_VALUE"""),"Unsure")</f>
        <v>Unsure</v>
      </c>
      <c r="AE90" t="str">
        <f>IFERROR(__xludf.DUMMYFUNCTION("""COMPUTED_VALUE"""),"Unsure")</f>
        <v>Unsure</v>
      </c>
      <c r="AF90" t="str">
        <f>IFERROR(__xludf.DUMMYFUNCTION("""COMPUTED_VALUE"""),"Unsure")</f>
        <v>Unsure</v>
      </c>
      <c r="AG90" t="str">
        <f>IFERROR(__xludf.DUMMYFUNCTION("""COMPUTED_VALUE"""),"")</f>
        <v/>
      </c>
      <c r="AH90" t="str">
        <f>IFERROR(__xludf.DUMMYFUNCTION("""COMPUTED_VALUE"""),"No preprint policy")</f>
        <v>No preprint policy</v>
      </c>
      <c r="AI90" t="str">
        <f>IFERROR(__xludf.DUMMYFUNCTION("""COMPUTED_VALUE"""),"")</f>
        <v/>
      </c>
      <c r="AJ90" t="str">
        <f>IFERROR(__xludf.DUMMYFUNCTION("""COMPUTED_VALUE"""),"Not specified")</f>
        <v>Not specified</v>
      </c>
      <c r="AK90" t="str">
        <f>IFERROR(__xludf.DUMMYFUNCTION("""COMPUTED_VALUE"""),"")</f>
        <v/>
      </c>
      <c r="AL90" t="str">
        <f>IFERROR(__xludf.DUMMYFUNCTION("""COMPUTED_VALUE"""),"")</f>
        <v/>
      </c>
      <c r="AM90" t="str">
        <f>IFERROR(__xludf.DUMMYFUNCTION("""COMPUTED_VALUE"""),"")</f>
        <v/>
      </c>
      <c r="AN90" t="str">
        <f>IFERROR(__xludf.DUMMYFUNCTION("""COMPUTED_VALUE"""),"")</f>
        <v/>
      </c>
      <c r="AO90" t="str">
        <f>IFERROR(__xludf.DUMMYFUNCTION("""COMPUTED_VALUE"""),"")</f>
        <v/>
      </c>
      <c r="AP90" t="str">
        <f>IFERROR(__xludf.DUMMYFUNCTION("""COMPUTED_VALUE"""),"T8: general T&amp;F peer review policy. T24: here is the link for the text - not really a co-reviewer policy but might suggest it's ok with them at T&amp;F generally: ""https://editorresources.taylorandfrancis.com/reviewer-guidelines/""")</f>
        <v>T8: general T&amp;F peer review policy. T24: here is the link for the text - not really a co-reviewer policy but might suggest it's ok with them at T&amp;F generally: "https://editorresources.taylorandfrancis.com/reviewer-guidelines/"</v>
      </c>
      <c r="AQ90" t="str">
        <f>IFERROR(__xludf.DUMMYFUNCTION("""COMPUTED_VALUE"""),"20 mins")</f>
        <v>20 mins</v>
      </c>
      <c r="AR90" t="str">
        <f>IFERROR(__xludf.DUMMYFUNCTION("""COMPUTED_VALUE"""),"")</f>
        <v/>
      </c>
    </row>
    <row r="91">
      <c r="A91" t="str">
        <f>IFERROR(__xludf.DUMMYFUNCTION("""COMPUTED_VALUE"""),"SH")</f>
        <v>SH</v>
      </c>
      <c r="B91" s="34">
        <f>IFERROR(__xludf.DUMMYFUNCTION("""COMPUTED_VALUE"""),43480.0)</f>
        <v>43480</v>
      </c>
      <c r="C91" t="str">
        <f>IFERROR(__xludf.DUMMYFUNCTION("""COMPUTED_VALUE"""),"NP")</f>
        <v>NP</v>
      </c>
      <c r="D91" s="36">
        <f>IFERROR(__xludf.DUMMYFUNCTION("""COMPUTED_VALUE"""),43575.0)</f>
        <v>43575</v>
      </c>
      <c r="E91" t="str">
        <f>IFERROR(__xludf.DUMMYFUNCTION("""COMPUTED_VALUE"""),"TRH")</f>
        <v>TRH</v>
      </c>
      <c r="F91" s="36">
        <f>IFERROR(__xludf.DUMMYFUNCTION("""COMPUTED_VALUE"""),43581.0)</f>
        <v>43581</v>
      </c>
      <c r="G91" t="str">
        <f>IFERROR(__xludf.DUMMYFUNCTION("""COMPUTED_VALUE"""),"")</f>
        <v/>
      </c>
      <c r="H91" t="str">
        <f>IFERROR(__xludf.DUMMYFUNCTION("""COMPUTED_VALUE"""),"1461-670X")</f>
        <v>1461-670X</v>
      </c>
      <c r="I91" t="str">
        <f>IFERROR(__xludf.DUMMYFUNCTION("""COMPUTED_VALUE"""),"Journalism Studies")</f>
        <v>Journalism Studies</v>
      </c>
      <c r="J91" t="str">
        <f>IFERROR(__xludf.DUMMYFUNCTION("""COMPUTED_VALUE"""),"Humanities, Literature &amp; Arts")</f>
        <v>Humanities, Literature &amp; Arts</v>
      </c>
      <c r="K91" t="str">
        <f>IFERROR(__xludf.DUMMYFUNCTION("""COMPUTED_VALUE"""),"Taylor &amp; Francis")</f>
        <v>Taylor &amp; Francis</v>
      </c>
      <c r="L91" t="str">
        <f>IFERROR(__xludf.DUMMYFUNCTION("""COMPUTED_VALUE"""),"Double blind")</f>
        <v>Double blind</v>
      </c>
      <c r="M91" s="78" t="str">
        <f>IFERROR(__xludf.DUMMYFUNCTION("""COMPUTED_VALUE"""),"https://www.tandfonline.com/action/authorSubmission?journalCode=rjos20&amp;page=instructions#Peer_review")</f>
        <v>https://www.tandfonline.com/action/authorSubmission?journalCode=rjos20&amp;page=instructions#Peer_review</v>
      </c>
      <c r="N91" t="str">
        <f>IFERROR(__xludf.DUMMYFUNCTION("""COMPUTED_VALUE"""),"")</f>
        <v/>
      </c>
      <c r="O91" t="str">
        <f>IFERROR(__xludf.DUMMYFUNCTION("""COMPUTED_VALUE"""),"")</f>
        <v/>
      </c>
      <c r="P91" t="str">
        <f>IFERROR(__xludf.DUMMYFUNCTION("""COMPUTED_VALUE"""),"Unsure")</f>
        <v>Unsure</v>
      </c>
      <c r="Q91" t="str">
        <f>IFERROR(__xludf.DUMMYFUNCTION("""COMPUTED_VALUE"""),"")</f>
        <v/>
      </c>
      <c r="R91" t="str">
        <f>IFERROR(__xludf.DUMMYFUNCTION("""COMPUTED_VALUE"""),"")</f>
        <v/>
      </c>
      <c r="S91" t="str">
        <f>IFERROR(__xludf.DUMMYFUNCTION("""COMPUTED_VALUE"""),"Not specified")</f>
        <v>Not specified</v>
      </c>
      <c r="T91" t="str">
        <f>IFERROR(__xludf.DUMMYFUNCTION("""COMPUTED_VALUE"""),"Not specified")</f>
        <v>Not specified</v>
      </c>
      <c r="U91" t="str">
        <f>IFERROR(__xludf.DUMMYFUNCTION("""COMPUTED_VALUE"""),"Not specified")</f>
        <v>Not specified</v>
      </c>
      <c r="V91" t="str">
        <f>IFERROR(__xludf.DUMMYFUNCTION("""COMPUTED_VALUE"""),"Not specified")</f>
        <v>Not specified</v>
      </c>
      <c r="W91" t="str">
        <f>IFERROR(__xludf.DUMMYFUNCTION("""COMPUTED_VALUE"""),"Not specified")</f>
        <v>Not specified</v>
      </c>
      <c r="X91" t="str">
        <f>IFERROR(__xludf.DUMMYFUNCTION("""COMPUTED_VALUE"""),"Not specified")</f>
        <v>Not specified</v>
      </c>
      <c r="Y91" t="str">
        <f>IFERROR(__xludf.DUMMYFUNCTION("""COMPUTED_VALUE"""),"Not specified")</f>
        <v>Not specified</v>
      </c>
      <c r="Z91" t="str">
        <f>IFERROR(__xludf.DUMMYFUNCTION("""COMPUTED_VALUE"""),"Not specified")</f>
        <v>Not specified</v>
      </c>
      <c r="AA91" t="str">
        <f>IFERROR(__xludf.DUMMYFUNCTION("""COMPUTED_VALUE"""),"")</f>
        <v/>
      </c>
      <c r="AB91" t="str">
        <f>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1" t="str">
        <f>IFERROR(__xludf.DUMMYFUNCTION("""COMPUTED_VALUE"""),"")</f>
        <v/>
      </c>
      <c r="AD91" t="str">
        <f>IFERROR(__xludf.DUMMYFUNCTION("""COMPUTED_VALUE"""),"Unsure")</f>
        <v>Unsure</v>
      </c>
      <c r="AE91" t="str">
        <f>IFERROR(__xludf.DUMMYFUNCTION("""COMPUTED_VALUE"""),"Unsure")</f>
        <v>Unsure</v>
      </c>
      <c r="AF91" t="str">
        <f>IFERROR(__xludf.DUMMYFUNCTION("""COMPUTED_VALUE"""),"Unsure")</f>
        <v>Unsure</v>
      </c>
      <c r="AG91" t="str">
        <f>IFERROR(__xludf.DUMMYFUNCTION("""COMPUTED_VALUE"""),"")</f>
        <v/>
      </c>
      <c r="AH91" t="str">
        <f>IFERROR(__xludf.DUMMYFUNCTION("""COMPUTED_VALUE"""),"No preprint policy")</f>
        <v>No preprint policy</v>
      </c>
      <c r="AI91" t="str">
        <f>IFERROR(__xludf.DUMMYFUNCTION("""COMPUTED_VALUE"""),"")</f>
        <v/>
      </c>
      <c r="AJ91" t="str">
        <f>IFERROR(__xludf.DUMMYFUNCTION("""COMPUTED_VALUE"""),"Not specified")</f>
        <v>Not specified</v>
      </c>
      <c r="AK91" t="str">
        <f>IFERROR(__xludf.DUMMYFUNCTION("""COMPUTED_VALUE"""),"")</f>
        <v/>
      </c>
      <c r="AL91" t="str">
        <f>IFERROR(__xludf.DUMMYFUNCTION("""COMPUTED_VALUE"""),"")</f>
        <v/>
      </c>
      <c r="AM91" t="str">
        <f>IFERROR(__xludf.DUMMYFUNCTION("""COMPUTED_VALUE"""),"")</f>
        <v/>
      </c>
      <c r="AN91" t="str">
        <f>IFERROR(__xludf.DUMMYFUNCTION("""COMPUTED_VALUE"""),"")</f>
        <v/>
      </c>
      <c r="AO91" t="str">
        <f>IFERROR(__xludf.DUMMYFUNCTION("""COMPUTED_VALUE"""),"")</f>
        <v/>
      </c>
      <c r="AP91" t="str">
        <f>IFERROR(__xludf.DUMMYFUNCTION("""COMPUTED_VALUE"""),"U8: general T&amp;F peer review policy")</f>
        <v>U8: general T&amp;F peer review policy</v>
      </c>
      <c r="AQ91" t="str">
        <f>IFERROR(__xludf.DUMMYFUNCTION("""COMPUTED_VALUE"""),"20 mins")</f>
        <v>20 mins</v>
      </c>
      <c r="AR91" t="str">
        <f>IFERROR(__xludf.DUMMYFUNCTION("""COMPUTED_VALUE"""),"")</f>
        <v/>
      </c>
    </row>
    <row r="92">
      <c r="A92" t="str">
        <f>IFERROR(__xludf.DUMMYFUNCTION("""COMPUTED_VALUE"""),"SH")</f>
        <v>SH</v>
      </c>
      <c r="B92" s="34">
        <f>IFERROR(__xludf.DUMMYFUNCTION("""COMPUTED_VALUE"""),43480.0)</f>
        <v>43480</v>
      </c>
      <c r="C92" t="str">
        <f>IFERROR(__xludf.DUMMYFUNCTION("""COMPUTED_VALUE"""),"NP")</f>
        <v>NP</v>
      </c>
      <c r="D92" s="36">
        <f>IFERROR(__xludf.DUMMYFUNCTION("""COMPUTED_VALUE"""),43575.0)</f>
        <v>43575</v>
      </c>
      <c r="E92" t="str">
        <f>IFERROR(__xludf.DUMMYFUNCTION("""COMPUTED_VALUE"""),"TRH")</f>
        <v>TRH</v>
      </c>
      <c r="F92" s="36">
        <f>IFERROR(__xludf.DUMMYFUNCTION("""COMPUTED_VALUE"""),43581.0)</f>
        <v>43581</v>
      </c>
      <c r="G92" t="str">
        <f>IFERROR(__xludf.DUMMYFUNCTION("""COMPUTED_VALUE"""),"")</f>
        <v/>
      </c>
      <c r="H92" t="str">
        <f>IFERROR(__xludf.DUMMYFUNCTION("""COMPUTED_VALUE"""),"0264-8377")</f>
        <v>0264-8377</v>
      </c>
      <c r="I92" t="str">
        <f>IFERROR(__xludf.DUMMYFUNCTION("""COMPUTED_VALUE"""),"Land Use Policy")</f>
        <v>Land Use Policy</v>
      </c>
      <c r="J92" t="str">
        <f>IFERROR(__xludf.DUMMYFUNCTION("""COMPUTED_VALUE"""),"Social Sciences")</f>
        <v>Social Sciences</v>
      </c>
      <c r="K92" t="str">
        <f>IFERROR(__xludf.DUMMYFUNCTION("""COMPUTED_VALUE"""),"Elsevier")</f>
        <v>Elsevier</v>
      </c>
      <c r="L92" t="str">
        <f>IFERROR(__xludf.DUMMYFUNCTION("""COMPUTED_VALUE"""),"Double blind")</f>
        <v>Double blind</v>
      </c>
      <c r="M92" s="78" t="str">
        <f>IFERROR(__xludf.DUMMYFUNCTION("""COMPUTED_VALUE"""),"https://www.elsevier.com/journals/land-use-policy/0264-8377?generatepdf=true")</f>
        <v>https://www.elsevier.com/journals/land-use-policy/0264-8377?generatepdf=true</v>
      </c>
      <c r="N92" t="str">
        <f>IFERROR(__xludf.DUMMYFUNCTION("""COMPUTED_VALUE"""),"")</f>
        <v/>
      </c>
      <c r="O92" s="78" t="str">
        <f>IFERROR(__xludf.DUMMYFUNCTION("""COMPUTED_VALUE"""),"https://www.elsevier.com/reviewers/role#recognizing")</f>
        <v>https://www.elsevier.com/reviewers/role#recognizing</v>
      </c>
      <c r="P92" t="str">
        <f>IFERROR(__xludf.DUMMYFUNCTION("""COMPUTED_VALUE"""),"Unsure")</f>
        <v>Unsure</v>
      </c>
      <c r="Q92" t="str">
        <f>IFERROR(__xludf.DUMMYFUNCTION("""COMPUTED_VALUE"""),"via Elsevier’s Article Transfer Service (ATS)")</f>
        <v>via Elsevier’s Article Transfer Service (ATS)</v>
      </c>
      <c r="R92" s="78" t="str">
        <f>IFERROR(__xludf.DUMMYFUNCTION("""COMPUTED_VALUE"""),"https://www.elsevier.com/authors/journal-authors/submit-your-paper/submit-and-revise/article-transfer-service")</f>
        <v>https://www.elsevier.com/authors/journal-authors/submit-your-paper/submit-and-revise/article-transfer-service</v>
      </c>
      <c r="S92" t="str">
        <f>IFERROR(__xludf.DUMMYFUNCTION("""COMPUTED_VALUE"""),"Not specified")</f>
        <v>Not specified</v>
      </c>
      <c r="T92" t="str">
        <f>IFERROR(__xludf.DUMMYFUNCTION("""COMPUTED_VALUE"""),"Not specified")</f>
        <v>Not specified</v>
      </c>
      <c r="U92" t="str">
        <f>IFERROR(__xludf.DUMMYFUNCTION("""COMPUTED_VALUE"""),"Not specified")</f>
        <v>Not specified</v>
      </c>
      <c r="V92" t="str">
        <f>IFERROR(__xludf.DUMMYFUNCTION("""COMPUTED_VALUE"""),"Not specified")</f>
        <v>Not specified</v>
      </c>
      <c r="W92" t="str">
        <f>IFERROR(__xludf.DUMMYFUNCTION("""COMPUTED_VALUE"""),"Not specified")</f>
        <v>Not specified</v>
      </c>
      <c r="X92" t="str">
        <f>IFERROR(__xludf.DUMMYFUNCTION("""COMPUTED_VALUE"""),"No")</f>
        <v>No</v>
      </c>
      <c r="Y92" t="str">
        <f>IFERROR(__xludf.DUMMYFUNCTION("""COMPUTED_VALUE"""),"Not specified")</f>
        <v>Not specified</v>
      </c>
      <c r="Z92" t="str">
        <f>IFERROR(__xludf.DUMMYFUNCTION("""COMPUTED_VALUE"""),"Not specified")</f>
        <v>Not specified</v>
      </c>
      <c r="AA92" t="str">
        <f>IFERROR(__xludf.DUMMYFUNCTION("""COMPUTED_VALUE"""),"")</f>
        <v/>
      </c>
      <c r="AB92" t="str">
        <f>IFERROR(__xludf.DUMMYFUNCTION("""COMPUTED_VALUE"""),"")</f>
        <v/>
      </c>
      <c r="AC92" t="str">
        <f>IFERROR(__xludf.DUMMYFUNCTION("""COMPUTED_VALUE"""),"")</f>
        <v/>
      </c>
      <c r="AD92" t="str">
        <f>IFERROR(__xludf.DUMMYFUNCTION("""COMPUTED_VALUE"""),"Unsure")</f>
        <v>Unsure</v>
      </c>
      <c r="AE92" t="str">
        <f>IFERROR(__xludf.DUMMYFUNCTION("""COMPUTED_VALUE"""),"Unsure")</f>
        <v>Unsure</v>
      </c>
      <c r="AF92" t="str">
        <f>IFERROR(__xludf.DUMMYFUNCTION("""COMPUTED_VALUE"""),"Unsure")</f>
        <v>Unsure</v>
      </c>
      <c r="AG92" s="78" t="str">
        <f>IFERROR(__xludf.DUMMYFUNCTION("""COMPUTED_VALUE"""),"https://www.elsevier.com/about/policies/copyright/permissions")</f>
        <v>https://www.elsevier.com/about/policies/copyright/permissions</v>
      </c>
      <c r="AH92" t="str">
        <f>IFERROR(__xludf.DUMMYFUNCTION("""COMPUTED_VALUE"""),"After peer review (but not final, copyedited version)")</f>
        <v>After peer review (but not final, copyedited version)</v>
      </c>
      <c r="AI92" t="str">
        <f>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92" t="str">
        <f>IFERROR(__xludf.DUMMYFUNCTION("""COMPUTED_VALUE"""),"Not specified")</f>
        <v>Not specified</v>
      </c>
      <c r="AK92" t="str">
        <f>IFERROR(__xludf.DUMMYFUNCTION("""COMPUTED_VALUE"""),"Unsure")</f>
        <v>Unsure</v>
      </c>
      <c r="AL92" t="str">
        <f>IFERROR(__xludf.DUMMYFUNCTION("""COMPUTED_VALUE"""),"")</f>
        <v/>
      </c>
      <c r="AM92" t="str">
        <f>IFERROR(__xludf.DUMMYFUNCTION("""COMPUTED_VALUE"""),"")</f>
        <v/>
      </c>
      <c r="AN92" t="str">
        <f>IFERROR(__xludf.DUMMYFUNCTION("""COMPUTED_VALUE"""),"")</f>
        <v/>
      </c>
      <c r="AO92" t="str">
        <f>IFERROR(__xludf.DUMMYFUNCTION("""COMPUTED_VALUE"""),"")</f>
        <v/>
      </c>
      <c r="AP92" t="str">
        <f>IFERROR(__xludf.DUMMYFUNCTION("""COMPUTED_VALUE"""),"V12: they have a Reviewer Recognition Platform that appears to be public. V32: ""References concerning unpublished data, theses, and ""personal communications"" should not be
 cited in the reference list but may be mentioned in the text."" They don't spec"&amp;"ifically state preprints, but maybe this covers them. For the section about OPR, the ""No (inferred)"" refer to the fact that the journal performs double blind review.")</f>
        <v>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v>
      </c>
      <c r="AQ92" t="str">
        <f>IFERROR(__xludf.DUMMYFUNCTION("""COMPUTED_VALUE"""),"20 mins")</f>
        <v>20 mins</v>
      </c>
      <c r="AR92" t="str">
        <f>IFERROR(__xludf.DUMMYFUNCTION("""COMPUTED_VALUE"""),"")</f>
        <v/>
      </c>
    </row>
    <row r="93">
      <c r="A93" t="str">
        <f>IFERROR(__xludf.DUMMYFUNCTION("""COMPUTED_VALUE"""),"SR")</f>
        <v>SR</v>
      </c>
      <c r="B93" s="34">
        <f>IFERROR(__xludf.DUMMYFUNCTION("""COMPUTED_VALUE"""),43441.0)</f>
        <v>43441</v>
      </c>
      <c r="C93" t="str">
        <f>IFERROR(__xludf.DUMMYFUNCTION("""COMPUTED_VALUE"""),"NP")</f>
        <v>NP</v>
      </c>
      <c r="D93" s="36">
        <f>IFERROR(__xludf.DUMMYFUNCTION("""COMPUTED_VALUE"""),43575.0)</f>
        <v>43575</v>
      </c>
      <c r="E93" t="str">
        <f>IFERROR(__xludf.DUMMYFUNCTION("""COMPUTED_VALUE"""),"JP")</f>
        <v>JP</v>
      </c>
      <c r="F93" s="36">
        <f>IFERROR(__xludf.DUMMYFUNCTION("""COMPUTED_VALUE"""),43581.0)</f>
        <v>43581</v>
      </c>
      <c r="G93" t="str">
        <f>IFERROR(__xludf.DUMMYFUNCTION("""COMPUTED_VALUE"""),"Can't find cited text for peer review credit in info for authors")</f>
        <v>Can't find cited text for peer review credit in info for authors</v>
      </c>
      <c r="H93" t="str">
        <f>IFERROR(__xludf.DUMMYFUNCTION("""COMPUTED_VALUE"""),"1467-9922")</f>
        <v>1467-9922</v>
      </c>
      <c r="I93" t="str">
        <f>IFERROR(__xludf.DUMMYFUNCTION("""COMPUTED_VALUE"""),"Language Learning")</f>
        <v>Language Learning</v>
      </c>
      <c r="J93" t="str">
        <f>IFERROR(__xludf.DUMMYFUNCTION("""COMPUTED_VALUE"""),"Humanities, Literature &amp; Arts")</f>
        <v>Humanities, Literature &amp; Arts</v>
      </c>
      <c r="K93" t="str">
        <f>IFERROR(__xludf.DUMMYFUNCTION("""COMPUTED_VALUE"""),"Wiley")</f>
        <v>Wiley</v>
      </c>
      <c r="L93" t="str">
        <f>IFERROR(__xludf.DUMMYFUNCTION("""COMPUTED_VALUE"""),"Other: author choice of single or double blind")</f>
        <v>Other: author choice of single or double blind</v>
      </c>
      <c r="M93" s="78" t="str">
        <f>IFERROR(__xludf.DUMMYFUNCTION("""COMPUTED_VALUE"""),"https://onlinelibrary.wiley.com/page/journal/14679922/homepage/forauthors.html")</f>
        <v>https://onlinelibrary.wiley.com/page/journal/14679922/homepage/forauthors.html</v>
      </c>
      <c r="N93" t="str">
        <f>IFERROR(__xludf.DUMMYFUNCTION("""COMPUTED_VALUE"""),"")</f>
        <v/>
      </c>
      <c r="O93" t="str">
        <f>IFERROR(__xludf.DUMMYFUNCTION("""COMPUTED_VALUE"""),"")</f>
        <v/>
      </c>
      <c r="P93" t="str">
        <f>IFERROR(__xludf.DUMMYFUNCTION("""COMPUTED_VALUE"""),"Unsure")</f>
        <v>Unsure</v>
      </c>
      <c r="Q93" t="str">
        <f>IFERROR(__xludf.DUMMYFUNCTION("""COMPUTED_VALUE"""),"")</f>
        <v/>
      </c>
      <c r="R93" t="str">
        <f>IFERROR(__xludf.DUMMYFUNCTION("""COMPUTED_VALUE"""),"")</f>
        <v/>
      </c>
      <c r="S93" t="str">
        <f>IFERROR(__xludf.DUMMYFUNCTION("""COMPUTED_VALUE"""),"Not specified")</f>
        <v>Not specified</v>
      </c>
      <c r="T93" t="str">
        <f>IFERROR(__xludf.DUMMYFUNCTION("""COMPUTED_VALUE"""),"Not specified")</f>
        <v>Not specified</v>
      </c>
      <c r="U93" t="str">
        <f>IFERROR(__xludf.DUMMYFUNCTION("""COMPUTED_VALUE"""),"Not specified")</f>
        <v>Not specified</v>
      </c>
      <c r="V93" t="str">
        <f>IFERROR(__xludf.DUMMYFUNCTION("""COMPUTED_VALUE"""),"Not specified")</f>
        <v>Not specified</v>
      </c>
      <c r="W93" t="str">
        <f>IFERROR(__xludf.DUMMYFUNCTION("""COMPUTED_VALUE"""),"Conditional")</f>
        <v>Conditional</v>
      </c>
      <c r="X93" t="str">
        <f>IFERROR(__xludf.DUMMYFUNCTION("""COMPUTED_VALUE"""),"Not specified")</f>
        <v>Not specified</v>
      </c>
      <c r="Y93" t="str">
        <f>IFERROR(__xludf.DUMMYFUNCTION("""COMPUTED_VALUE"""),"Not specified")</f>
        <v>Not specified</v>
      </c>
      <c r="Z93" t="str">
        <f>IFERROR(__xludf.DUMMYFUNCTION("""COMPUTED_VALUE"""),"Not specified")</f>
        <v>Not specified</v>
      </c>
      <c r="AA93" t="str">
        <f>IFERROR(__xludf.DUMMYFUNCTION("""COMPUTED_VALUE"""),"")</f>
        <v/>
      </c>
      <c r="AB93" t="str">
        <f>IFERROR(__xludf.DUMMYFUNCTION("""COMPUTED_VALUE"""),"Not specified")</f>
        <v>Not specified</v>
      </c>
      <c r="AC93" t="str">
        <f>IFERROR(__xludf.DUMMYFUNCTION("""COMPUTED_VALUE"""),"")</f>
        <v/>
      </c>
      <c r="AD93" t="str">
        <f>IFERROR(__xludf.DUMMYFUNCTION("""COMPUTED_VALUE"""),"Unsure")</f>
        <v>Unsure</v>
      </c>
      <c r="AE93" t="str">
        <f>IFERROR(__xludf.DUMMYFUNCTION("""COMPUTED_VALUE"""),"Unsure")</f>
        <v>Unsure</v>
      </c>
      <c r="AF93" t="str">
        <f>IFERROR(__xludf.DUMMYFUNCTION("""COMPUTED_VALUE"""),"Unsure")</f>
        <v>Unsure</v>
      </c>
      <c r="AG93" t="str">
        <f>IFERROR(__xludf.DUMMYFUNCTION("""COMPUTED_VALUE"""),"")</f>
        <v/>
      </c>
      <c r="AH93" t="str">
        <f>IFERROR(__xludf.DUMMYFUNCTION("""COMPUTED_VALUE"""),"No preprint policy")</f>
        <v>No preprint policy</v>
      </c>
      <c r="AI93" t="str">
        <f>IFERROR(__xludf.DUMMYFUNCTION("""COMPUTED_VALUE"""),"")</f>
        <v/>
      </c>
      <c r="AJ93" t="str">
        <f>IFERROR(__xludf.DUMMYFUNCTION("""COMPUTED_VALUE"""),"Not specified")</f>
        <v>Not specified</v>
      </c>
      <c r="AK93" t="str">
        <f>IFERROR(__xludf.DUMMYFUNCTION("""COMPUTED_VALUE"""),"Unsure")</f>
        <v>Unsure</v>
      </c>
      <c r="AL93" t="str">
        <f>IFERROR(__xludf.DUMMYFUNCTION("""COMPUTED_VALUE"""),"")</f>
        <v/>
      </c>
      <c r="AM93" t="str">
        <f>IFERROR(__xludf.DUMMYFUNCTION("""COMPUTED_VALUE"""),"")</f>
        <v/>
      </c>
      <c r="AN93" t="str">
        <f>IFERROR(__xludf.DUMMYFUNCTION("""COMPUTED_VALUE"""),"")</f>
        <v/>
      </c>
      <c r="AO93" t="str">
        <f>IFERROR(__xludf.DUMMYFUNCTION("""COMPUTED_VALUE"""),"")</f>
        <v/>
      </c>
      <c r="AP93" t="str">
        <f>IFERROR(__xludf.DUMMYFUNCTION("""COMPUTED_VALUE"""),"")</f>
        <v/>
      </c>
      <c r="AQ93" t="str">
        <f>IFERROR(__xludf.DUMMYFUNCTION("""COMPUTED_VALUE"""),"")</f>
        <v/>
      </c>
      <c r="AR93" t="str">
        <f>IFERROR(__xludf.DUMMYFUNCTION("""COMPUTED_VALUE"""),"")</f>
        <v/>
      </c>
    </row>
    <row r="94">
      <c r="A94" t="str">
        <f>IFERROR(__xludf.DUMMYFUNCTION("""COMPUTED_VALUE"""),"SR")</f>
        <v>SR</v>
      </c>
      <c r="B94" s="34">
        <f>IFERROR(__xludf.DUMMYFUNCTION("""COMPUTED_VALUE"""),43441.0)</f>
        <v>43441</v>
      </c>
      <c r="C94" t="str">
        <f>IFERROR(__xludf.DUMMYFUNCTION("""COMPUTED_VALUE"""),"NP")</f>
        <v>NP</v>
      </c>
      <c r="D94" s="36">
        <f>IFERROR(__xludf.DUMMYFUNCTION("""COMPUTED_VALUE"""),43575.0)</f>
        <v>43575</v>
      </c>
      <c r="E94" t="str">
        <f>IFERROR(__xludf.DUMMYFUNCTION("""COMPUTED_VALUE"""),"JP")</f>
        <v>JP</v>
      </c>
      <c r="F94" s="36">
        <f>IFERROR(__xludf.DUMMYFUNCTION("""COMPUTED_VALUE"""),43581.0)</f>
        <v>43581</v>
      </c>
      <c r="G94" t="str">
        <f>IFERROR(__xludf.DUMMYFUNCTION("""COMPUTED_VALUE"""),"")</f>
        <v/>
      </c>
      <c r="H94" t="str">
        <f>IFERROR(__xludf.DUMMYFUNCTION("""COMPUTED_VALUE"""),"0024-3841")</f>
        <v>0024-3841</v>
      </c>
      <c r="I94" t="str">
        <f>IFERROR(__xludf.DUMMYFUNCTION("""COMPUTED_VALUE"""),"Lingua")</f>
        <v>Lingua</v>
      </c>
      <c r="J94" t="str">
        <f>IFERROR(__xludf.DUMMYFUNCTION("""COMPUTED_VALUE"""),"Humanities, Literature &amp; Arts")</f>
        <v>Humanities, Literature &amp; Arts</v>
      </c>
      <c r="K94" t="str">
        <f>IFERROR(__xludf.DUMMYFUNCTION("""COMPUTED_VALUE"""),"Elsevier")</f>
        <v>Elsevier</v>
      </c>
      <c r="L94" t="str">
        <f>IFERROR(__xludf.DUMMYFUNCTION("""COMPUTED_VALUE"""),"Double blind")</f>
        <v>Double blind</v>
      </c>
      <c r="M94" s="78" t="str">
        <f>IFERROR(__xludf.DUMMYFUNCTION("""COMPUTED_VALUE"""),"https://www.elsevier.com/journals/lingua/0024-3841/guide-for-authors")</f>
        <v>https://www.elsevier.com/journals/lingua/0024-3841/guide-for-authors</v>
      </c>
      <c r="N94" t="str">
        <f>IFERROR(__xludf.DUMMYFUNCTION("""COMPUTED_VALUE"""),"")</f>
        <v/>
      </c>
      <c r="O94" s="78" t="str">
        <f>IFERROR(__xludf.DUMMYFUNCTION("""COMPUTED_VALUE"""),"https://www.elsevier.com/reviewers/role#RRP")</f>
        <v>https://www.elsevier.com/reviewers/role#RRP</v>
      </c>
      <c r="P94" t="str">
        <f>IFERROR(__xludf.DUMMYFUNCTION("""COMPUTED_VALUE"""),"Unsure")</f>
        <v>Unsure</v>
      </c>
      <c r="Q94"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94" s="78" t="str">
        <f>IFERROR(__xludf.DUMMYFUNCTION("""COMPUTED_VALUE"""),"https://www.elsevier.com/reviewers/what-is-peer-review")</f>
        <v>https://www.elsevier.com/reviewers/what-is-peer-review</v>
      </c>
      <c r="S94" t="str">
        <f>IFERROR(__xludf.DUMMYFUNCTION("""COMPUTED_VALUE"""),"Not specified")</f>
        <v>Not specified</v>
      </c>
      <c r="T94" t="str">
        <f>IFERROR(__xludf.DUMMYFUNCTION("""COMPUTED_VALUE"""),"Not specified")</f>
        <v>Not specified</v>
      </c>
      <c r="U94" t="str">
        <f>IFERROR(__xludf.DUMMYFUNCTION("""COMPUTED_VALUE"""),"Not specified")</f>
        <v>Not specified</v>
      </c>
      <c r="V94" t="str">
        <f>IFERROR(__xludf.DUMMYFUNCTION("""COMPUTED_VALUE"""),"Not specified")</f>
        <v>Not specified</v>
      </c>
      <c r="W94" t="str">
        <f>IFERROR(__xludf.DUMMYFUNCTION("""COMPUTED_VALUE"""),"Not specified")</f>
        <v>Not specified</v>
      </c>
      <c r="X94" t="str">
        <f>IFERROR(__xludf.DUMMYFUNCTION("""COMPUTED_VALUE"""),"No")</f>
        <v>No</v>
      </c>
      <c r="Y94" t="str">
        <f>IFERROR(__xludf.DUMMYFUNCTION("""COMPUTED_VALUE"""),"Not specified")</f>
        <v>Not specified</v>
      </c>
      <c r="Z94" t="str">
        <f>IFERROR(__xludf.DUMMYFUNCTION("""COMPUTED_VALUE"""),"Not specified")</f>
        <v>Not specified</v>
      </c>
      <c r="AA94" t="str">
        <f>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94"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94" s="78" t="str">
        <f>IFERROR(__xludf.DUMMYFUNCTION("""COMPUTED_VALUE"""),"https://www.elsevier.com/reviewers/how-to-review")</f>
        <v>https://www.elsevier.com/reviewers/how-to-review</v>
      </c>
      <c r="AD94" t="str">
        <f>IFERROR(__xludf.DUMMYFUNCTION("""COMPUTED_VALUE"""),"Unsure")</f>
        <v>Unsure</v>
      </c>
      <c r="AE94" t="str">
        <f>IFERROR(__xludf.DUMMYFUNCTION("""COMPUTED_VALUE"""),"Unsure")</f>
        <v>Unsure</v>
      </c>
      <c r="AF94" t="str">
        <f>IFERROR(__xludf.DUMMYFUNCTION("""COMPUTED_VALUE"""),"Unsure")</f>
        <v>Unsure</v>
      </c>
      <c r="AG94" t="str">
        <f>IFERROR(__xludf.DUMMYFUNCTION("""COMPUTED_VALUE"""),"")</f>
        <v/>
      </c>
      <c r="AH94" t="str">
        <f>IFERROR(__xludf.DUMMYFUNCTION("""COMPUTED_VALUE"""),"After peer review (but not final, copyedited version)")</f>
        <v>After peer review (but not final, copyedited version)</v>
      </c>
      <c r="AI94" t="str">
        <f>IFERROR(__xludf.DUMMYFUNCTION("""COMPUTED_VALUE"""),"")</f>
        <v/>
      </c>
      <c r="AJ94" t="str">
        <f>IFERROR(__xludf.DUMMYFUNCTION("""COMPUTED_VALUE"""),"Not specified")</f>
        <v>Not specified</v>
      </c>
      <c r="AK94" t="str">
        <f>IFERROR(__xludf.DUMMYFUNCTION("""COMPUTED_VALUE"""),"")</f>
        <v/>
      </c>
      <c r="AL94" t="str">
        <f>IFERROR(__xludf.DUMMYFUNCTION("""COMPUTED_VALUE"""),"")</f>
        <v/>
      </c>
      <c r="AM94" t="str">
        <f>IFERROR(__xludf.DUMMYFUNCTION("""COMPUTED_VALUE"""),"")</f>
        <v/>
      </c>
      <c r="AN94" t="str">
        <f>IFERROR(__xludf.DUMMYFUNCTION("""COMPUTED_VALUE"""),"")</f>
        <v/>
      </c>
      <c r="AO94" t="str">
        <f>IFERROR(__xludf.DUMMYFUNCTION("""COMPUTED_VALUE"""),"")</f>
        <v/>
      </c>
      <c r="AP94" t="str">
        <f>IFERROR(__xludf.DUMMYFUNCTION("""COMPUTED_VALUE"""),"")</f>
        <v/>
      </c>
      <c r="AQ94" t="str">
        <f>IFERROR(__xludf.DUMMYFUNCTION("""COMPUTED_VALUE"""),"")</f>
        <v/>
      </c>
      <c r="AR94" t="str">
        <f>IFERROR(__xludf.DUMMYFUNCTION("""COMPUTED_VALUE"""),"")</f>
        <v/>
      </c>
    </row>
    <row r="95">
      <c r="A95" t="str">
        <f>IFERROR(__xludf.DUMMYFUNCTION("""COMPUTED_VALUE"""),"SR")</f>
        <v>SR</v>
      </c>
      <c r="B95" s="34">
        <f>IFERROR(__xludf.DUMMYFUNCTION("""COMPUTED_VALUE"""),43441.0)</f>
        <v>43441</v>
      </c>
      <c r="C95" t="str">
        <f>IFERROR(__xludf.DUMMYFUNCTION("""COMPUTED_VALUE"""),"SH")</f>
        <v>SH</v>
      </c>
      <c r="D95" s="45">
        <f>IFERROR(__xludf.DUMMYFUNCTION("""COMPUTED_VALUE"""),43574.0)</f>
        <v>43574</v>
      </c>
      <c r="E95" t="str">
        <f>IFERROR(__xludf.DUMMYFUNCTION("""COMPUTED_VALUE"""),"TRH")</f>
        <v>TRH</v>
      </c>
      <c r="F95" s="45">
        <f>IFERROR(__xludf.DUMMYFUNCTION("""COMPUTED_VALUE"""),43581.0)</f>
        <v>43581</v>
      </c>
      <c r="G95" t="str">
        <f>IFERROR(__xludf.DUMMYFUNCTION("""COMPUTED_VALUE"""),"")</f>
        <v/>
      </c>
      <c r="H95" t="str">
        <f>IFERROR(__xludf.DUMMYFUNCTION("""COMPUTED_VALUE"""),"2162-9730")</f>
        <v>2162-9730</v>
      </c>
      <c r="I95" t="str">
        <f>IFERROR(__xludf.DUMMYFUNCTION("""COMPUTED_VALUE"""),"Management Information Systems Quarterly")</f>
        <v>Management Information Systems Quarterly</v>
      </c>
      <c r="J95" t="str">
        <f>IFERROR(__xludf.DUMMYFUNCTION("""COMPUTED_VALUE"""),"Business, Economics &amp; Management")</f>
        <v>Business, Economics &amp; Management</v>
      </c>
      <c r="K95" t="str">
        <f>IFERROR(__xludf.DUMMYFUNCTION("""COMPUTED_VALUE"""),"Association for Information Systems")</f>
        <v>Association for Information Systems</v>
      </c>
      <c r="L95" t="str">
        <f>IFERROR(__xludf.DUMMYFUNCTION("""COMPUTED_VALUE"""),"Double-blind")</f>
        <v>Double-blind</v>
      </c>
      <c r="M95" s="78" t="str">
        <f>IFERROR(__xludf.DUMMYFUNCTION("""COMPUTED_VALUE"""),"https://www.misq.org/skin/frontend/default/misq/pdf/ReviewerRole.pdf")</f>
        <v>https://www.misq.org/skin/frontend/default/misq/pdf/ReviewerRole.pdf</v>
      </c>
      <c r="N95" t="str">
        <f>IFERROR(__xludf.DUMMYFUNCTION("""COMPUTED_VALUE"""),"")</f>
        <v/>
      </c>
      <c r="O95" t="str">
        <f>IFERROR(__xludf.DUMMYFUNCTION("""COMPUTED_VALUE"""),"")</f>
        <v/>
      </c>
      <c r="P95" t="str">
        <f>IFERROR(__xludf.DUMMYFUNCTION("""COMPUTED_VALUE"""),"Unsure")</f>
        <v>Unsure</v>
      </c>
      <c r="Q95" t="str">
        <f>IFERROR(__xludf.DUMMYFUNCTION("""COMPUTED_VALUE"""),"")</f>
        <v/>
      </c>
      <c r="R95" t="str">
        <f>IFERROR(__xludf.DUMMYFUNCTION("""COMPUTED_VALUE"""),"")</f>
        <v/>
      </c>
      <c r="S95" t="str">
        <f>IFERROR(__xludf.DUMMYFUNCTION("""COMPUTED_VALUE"""),"Not specified")</f>
        <v>Not specified</v>
      </c>
      <c r="T95" t="str">
        <f>IFERROR(__xludf.DUMMYFUNCTION("""COMPUTED_VALUE"""),"Not specified")</f>
        <v>Not specified</v>
      </c>
      <c r="U95" t="str">
        <f>IFERROR(__xludf.DUMMYFUNCTION("""COMPUTED_VALUE"""),"Not specified")</f>
        <v>Not specified</v>
      </c>
      <c r="V95" t="str">
        <f>IFERROR(__xludf.DUMMYFUNCTION("""COMPUTED_VALUE"""),"Not specified")</f>
        <v>Not specified</v>
      </c>
      <c r="W95" t="str">
        <f>IFERROR(__xludf.DUMMYFUNCTION("""COMPUTED_VALUE"""),"Not specified")</f>
        <v>Not specified</v>
      </c>
      <c r="X95" t="str">
        <f>IFERROR(__xludf.DUMMYFUNCTION("""COMPUTED_VALUE"""),"No")</f>
        <v>No</v>
      </c>
      <c r="Y95" t="str">
        <f>IFERROR(__xludf.DUMMYFUNCTION("""COMPUTED_VALUE"""),"Not specified")</f>
        <v>Not specified</v>
      </c>
      <c r="Z95" t="str">
        <f>IFERROR(__xludf.DUMMYFUNCTION("""COMPUTED_VALUE"""),"Not specified")</f>
        <v>Not specified</v>
      </c>
      <c r="AA95" t="str">
        <f>IFERROR(__xludf.DUMMYFUNCTION("""COMPUTED_VALUE"""),"")</f>
        <v/>
      </c>
      <c r="AB95" t="str">
        <f>IFERROR(__xludf.DUMMYFUNCTION("""COMPUTED_VALUE"""),"")</f>
        <v/>
      </c>
      <c r="AC95" t="str">
        <f>IFERROR(__xludf.DUMMYFUNCTION("""COMPUTED_VALUE"""),"")</f>
        <v/>
      </c>
      <c r="AD95" t="str">
        <f>IFERROR(__xludf.DUMMYFUNCTION("""COMPUTED_VALUE"""),"Unsure")</f>
        <v>Unsure</v>
      </c>
      <c r="AE95" t="str">
        <f>IFERROR(__xludf.DUMMYFUNCTION("""COMPUTED_VALUE"""),"Unsure")</f>
        <v>Unsure</v>
      </c>
      <c r="AF95" t="str">
        <f>IFERROR(__xludf.DUMMYFUNCTION("""COMPUTED_VALUE"""),"Unsure")</f>
        <v>Unsure</v>
      </c>
      <c r="AG95" t="str">
        <f>IFERROR(__xludf.DUMMYFUNCTION("""COMPUTED_VALUE"""),"")</f>
        <v/>
      </c>
      <c r="AH95" t="str">
        <f>IFERROR(__xludf.DUMMYFUNCTION("""COMPUTED_VALUE"""),"No preprint policy")</f>
        <v>No preprint policy</v>
      </c>
      <c r="AI95" t="str">
        <f>IFERROR(__xludf.DUMMYFUNCTION("""COMPUTED_VALUE"""),"")</f>
        <v/>
      </c>
      <c r="AJ95" t="str">
        <f>IFERROR(__xludf.DUMMYFUNCTION("""COMPUTED_VALUE"""),"Not specified")</f>
        <v>Not specified</v>
      </c>
      <c r="AK95" t="str">
        <f>IFERROR(__xludf.DUMMYFUNCTION("""COMPUTED_VALUE"""),"Unsure")</f>
        <v>Unsure</v>
      </c>
      <c r="AL95" t="str">
        <f>IFERROR(__xludf.DUMMYFUNCTION("""COMPUTED_VALUE"""),"")</f>
        <v/>
      </c>
      <c r="AM95" t="str">
        <f>IFERROR(__xludf.DUMMYFUNCTION("""COMPUTED_VALUE"""),"")</f>
        <v/>
      </c>
      <c r="AN95" t="str">
        <f>IFERROR(__xludf.DUMMYFUNCTION("""COMPUTED_VALUE"""),"")</f>
        <v/>
      </c>
      <c r="AO95" t="str">
        <f>IFERROR(__xludf.DUMMYFUNCTION("""COMPUTED_VALUE"""),"")</f>
        <v/>
      </c>
      <c r="AP95" t="str">
        <f>IFERROR(__xludf.DUMMYFUNCTION("""COMPUTED_VALUE"""),"Management Information Systems Quarterly does not offer any information on its website regarding peer review/pre-print policies. // 
I couldn't find any info about a preprint policy, but I found this in the copyright section: ""MIS Quarterly does not anno"&amp;"unce availability of manuscripts under review prior to acceptance. However, authors have every right to post, on their own Websites, versions of their manuscripts that are under review at MISQ; however, they cannot state that they are, in fact, under revi"&amp;"ew at MISQ. Once a paper is accepted for publication in MIS Quarterly, all authors must remove it from their Web sites.""
")</f>
        <v>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v>
      </c>
      <c r="AQ95" t="str">
        <f>IFERROR(__xludf.DUMMYFUNCTION("""COMPUTED_VALUE"""),"10 mins")</f>
        <v>10 mins</v>
      </c>
      <c r="AR95" t="str">
        <f>IFERROR(__xludf.DUMMYFUNCTION("""COMPUTED_VALUE"""),"")</f>
        <v/>
      </c>
    </row>
    <row r="96">
      <c r="A96" t="str">
        <f>IFERROR(__xludf.DUMMYFUNCTION("""COMPUTED_VALUE"""),"SR")</f>
        <v>SR</v>
      </c>
      <c r="B96" s="34">
        <f>IFERROR(__xludf.DUMMYFUNCTION("""COMPUTED_VALUE"""),43441.0)</f>
        <v>43441</v>
      </c>
      <c r="C96" t="str">
        <f>IFERROR(__xludf.DUMMYFUNCTION("""COMPUTED_VALUE"""),"SH")</f>
        <v>SH</v>
      </c>
      <c r="D96" s="45">
        <f>IFERROR(__xludf.DUMMYFUNCTION("""COMPUTED_VALUE"""),43574.0)</f>
        <v>43574</v>
      </c>
      <c r="E96" t="str">
        <f>IFERROR(__xludf.DUMMYFUNCTION("""COMPUTED_VALUE"""),"TRH")</f>
        <v>TRH</v>
      </c>
      <c r="F96" s="45">
        <f>IFERROR(__xludf.DUMMYFUNCTION("""COMPUTED_VALUE"""),43581.0)</f>
        <v>43581</v>
      </c>
      <c r="G96" t="str">
        <f>IFERROR(__xludf.DUMMYFUNCTION("""COMPUTED_VALUE"""),"")</f>
        <v/>
      </c>
      <c r="H96" t="str">
        <f>IFERROR(__xludf.DUMMYFUNCTION("""COMPUTED_VALUE"""),"1526-5501")</f>
        <v>1526-5501</v>
      </c>
      <c r="I96" t="str">
        <f>IFERROR(__xludf.DUMMYFUNCTION("""COMPUTED_VALUE"""),"Management Science")</f>
        <v>Management Science</v>
      </c>
      <c r="J96" t="str">
        <f>IFERROR(__xludf.DUMMYFUNCTION("""COMPUTED_VALUE"""),"Business, Economics &amp; Management")</f>
        <v>Business, Economics &amp; Management</v>
      </c>
      <c r="K96" t="str">
        <f>IFERROR(__xludf.DUMMYFUNCTION("""COMPUTED_VALUE"""),"The Institute for Operations Research and the Management Sciences")</f>
        <v>The Institute for Operations Research and the Management Sciences</v>
      </c>
      <c r="L96" t="str">
        <f>IFERROR(__xludf.DUMMYFUNCTION("""COMPUTED_VALUE"""),"Double blind")</f>
        <v>Double blind</v>
      </c>
      <c r="M96" s="78" t="str">
        <f>IFERROR(__xludf.DUMMYFUNCTION("""COMPUTED_VALUE"""),"https://pubsonline.informs.org/page/mnsc/submission-guidelines")</f>
        <v>https://pubsonline.informs.org/page/mnsc/submission-guidelines</v>
      </c>
      <c r="N96" t="str">
        <f>IFERROR(__xludf.DUMMYFUNCTION("""COMPUTED_VALUE"""),"")</f>
        <v/>
      </c>
      <c r="O96" t="str">
        <f>IFERROR(__xludf.DUMMYFUNCTION("""COMPUTED_VALUE"""),"")</f>
        <v/>
      </c>
      <c r="P96" t="str">
        <f>IFERROR(__xludf.DUMMYFUNCTION("""COMPUTED_VALUE"""),"Unsure")</f>
        <v>Unsure</v>
      </c>
      <c r="Q96" t="str">
        <f>IFERROR(__xludf.DUMMYFUNCTION("""COMPUTED_VALUE"""),"")</f>
        <v/>
      </c>
      <c r="R96" t="str">
        <f>IFERROR(__xludf.DUMMYFUNCTION("""COMPUTED_VALUE"""),"")</f>
        <v/>
      </c>
      <c r="S96" t="str">
        <f>IFERROR(__xludf.DUMMYFUNCTION("""COMPUTED_VALUE"""),"Not specified")</f>
        <v>Not specified</v>
      </c>
      <c r="T96" t="str">
        <f>IFERROR(__xludf.DUMMYFUNCTION("""COMPUTED_VALUE"""),"Not specified")</f>
        <v>Not specified</v>
      </c>
      <c r="U96" t="str">
        <f>IFERROR(__xludf.DUMMYFUNCTION("""COMPUTED_VALUE"""),"Not specified")</f>
        <v>Not specified</v>
      </c>
      <c r="V96" t="str">
        <f>IFERROR(__xludf.DUMMYFUNCTION("""COMPUTED_VALUE"""),"Not specified")</f>
        <v>Not specified</v>
      </c>
      <c r="W96" t="str">
        <f>IFERROR(__xludf.DUMMYFUNCTION("""COMPUTED_VALUE"""),"Not specified")</f>
        <v>Not specified</v>
      </c>
      <c r="X96" t="str">
        <f>IFERROR(__xludf.DUMMYFUNCTION("""COMPUTED_VALUE"""),"No")</f>
        <v>No</v>
      </c>
      <c r="Y96" t="str">
        <f>IFERROR(__xludf.DUMMYFUNCTION("""COMPUTED_VALUE"""),"Not specified")</f>
        <v>Not specified</v>
      </c>
      <c r="Z96" t="str">
        <f>IFERROR(__xludf.DUMMYFUNCTION("""COMPUTED_VALUE"""),"Not specified")</f>
        <v>Not specified</v>
      </c>
      <c r="AA96" t="str">
        <f>IFERROR(__xludf.DUMMYFUNCTION("""COMPUTED_VALUE"""),"")</f>
        <v/>
      </c>
      <c r="AB96" t="str">
        <f>IFERROR(__xludf.DUMMYFUNCTION("""COMPUTED_VALUE"""),"")</f>
        <v/>
      </c>
      <c r="AC96" t="str">
        <f>IFERROR(__xludf.DUMMYFUNCTION("""COMPUTED_VALUE"""),"")</f>
        <v/>
      </c>
      <c r="AD96" t="str">
        <f>IFERROR(__xludf.DUMMYFUNCTION("""COMPUTED_VALUE"""),"Unsure")</f>
        <v>Unsure</v>
      </c>
      <c r="AE96" t="str">
        <f>IFERROR(__xludf.DUMMYFUNCTION("""COMPUTED_VALUE"""),"Unsure")</f>
        <v>Unsure</v>
      </c>
      <c r="AF96" t="str">
        <f>IFERROR(__xludf.DUMMYFUNCTION("""COMPUTED_VALUE"""),"Unsure")</f>
        <v>Unsure</v>
      </c>
      <c r="AG96" t="str">
        <f>IFERROR(__xludf.DUMMYFUNCTION("""COMPUTED_VALUE"""),"")</f>
        <v/>
      </c>
      <c r="AH96" t="str">
        <f>IFERROR(__xludf.DUMMYFUNCTION("""COMPUTED_VALUE"""),"No preprint policy")</f>
        <v>No preprint policy</v>
      </c>
      <c r="AI96" t="str">
        <f>IFERROR(__xludf.DUMMYFUNCTION("""COMPUTED_VALUE"""),"")</f>
        <v/>
      </c>
      <c r="AJ96" t="str">
        <f>IFERROR(__xludf.DUMMYFUNCTION("""COMPUTED_VALUE"""),"Not specified")</f>
        <v>Not specified</v>
      </c>
      <c r="AK96" t="str">
        <f>IFERROR(__xludf.DUMMYFUNCTION("""COMPUTED_VALUE"""),"Unsure")</f>
        <v>Unsure</v>
      </c>
      <c r="AL96" t="str">
        <f>IFERROR(__xludf.DUMMYFUNCTION("""COMPUTED_VALUE"""),"")</f>
        <v/>
      </c>
      <c r="AM96" t="str">
        <f>IFERROR(__xludf.DUMMYFUNCTION("""COMPUTED_VALUE"""),"")</f>
        <v/>
      </c>
      <c r="AN96" t="str">
        <f>IFERROR(__xludf.DUMMYFUNCTION("""COMPUTED_VALUE"""),"")</f>
        <v/>
      </c>
      <c r="AO96" t="str">
        <f>IFERROR(__xludf.DUMMYFUNCTION("""COMPUTED_VALUE"""),"")</f>
        <v/>
      </c>
      <c r="AP96" t="str">
        <f>IFERROR(__xludf.DUMMYFUNCTION("""COMPUTED_VALUE"""),"The information found on the Management Science website is not very comprehensive in general. However, the review process is detailed, as is the procedure to blind reviewers. // No preprint policy, but it does state ""As a condition of final acceptance of"&amp;" a paper for publication in an INFORMS journal, the author must indicate if the paper is posted on a website other than the author’s personal website. The author is responsible for ensuring that, if any part of the paper has been copyrighted for prepublic"&amp;"ation, for example, as a working paper, the copyright can and will be transferred to INFORMS when the paper has been accepted. This includes both print and electronic forms of the paper. Authors may post their papers on websites after acceptance and prior"&amp;" to publication, as long as the sites are not copyrighted and/or do not serve as formal repositories. Authors may not post their page proofs on websites prior to publication. """)</f>
        <v>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v>
      </c>
      <c r="AQ96" t="str">
        <f>IFERROR(__xludf.DUMMYFUNCTION("""COMPUTED_VALUE"""),"20 mins")</f>
        <v>20 mins</v>
      </c>
      <c r="AR96" t="str">
        <f>IFERROR(__xludf.DUMMYFUNCTION("""COMPUTED_VALUE"""),"")</f>
        <v/>
      </c>
    </row>
    <row r="97">
      <c r="A97" t="str">
        <f>IFERROR(__xludf.DUMMYFUNCTION("""COMPUTED_VALUE"""),"SR")</f>
        <v>SR</v>
      </c>
      <c r="B97" s="34">
        <f>IFERROR(__xludf.DUMMYFUNCTION("""COMPUTED_VALUE"""),43439.0)</f>
        <v>43439</v>
      </c>
      <c r="C97" t="str">
        <f>IFERROR(__xludf.DUMMYFUNCTION("""COMPUTED_VALUE"""),"SH")</f>
        <v>SH</v>
      </c>
      <c r="D97" s="45">
        <f>IFERROR(__xludf.DUMMYFUNCTION("""COMPUTED_VALUE"""),43574.0)</f>
        <v>43574</v>
      </c>
      <c r="E97" t="str">
        <f>IFERROR(__xludf.DUMMYFUNCTION("""COMPUTED_VALUE"""),"TRH")</f>
        <v>TRH</v>
      </c>
      <c r="F97" s="45">
        <f>IFERROR(__xludf.DUMMYFUNCTION("""COMPUTED_VALUE"""),43581.0)</f>
        <v>43581</v>
      </c>
      <c r="G97" t="str">
        <f>IFERROR(__xludf.DUMMYFUNCTION("""COMPUTED_VALUE"""),"")</f>
        <v/>
      </c>
      <c r="H97" t="str">
        <f>IFERROR(__xludf.DUMMYFUNCTION("""COMPUTED_VALUE"""),"1460-3675")</f>
        <v>1460-3675</v>
      </c>
      <c r="I97" t="str">
        <f>IFERROR(__xludf.DUMMYFUNCTION("""COMPUTED_VALUE"""),"Media, Culture &amp; Society")</f>
        <v>Media, Culture &amp; Society</v>
      </c>
      <c r="J97" t="str">
        <f>IFERROR(__xludf.DUMMYFUNCTION("""COMPUTED_VALUE"""),"Humanities, Literature &amp; Arts")</f>
        <v>Humanities, Literature &amp; Arts</v>
      </c>
      <c r="K97" t="str">
        <f>IFERROR(__xludf.DUMMYFUNCTION("""COMPUTED_VALUE"""),"SAGE")</f>
        <v>SAGE</v>
      </c>
      <c r="L97" t="str">
        <f>IFERROR(__xludf.DUMMYFUNCTION("""COMPUTED_VALUE"""),"Double blind")</f>
        <v>Double blind</v>
      </c>
      <c r="M97" s="78" t="str">
        <f>IFERROR(__xludf.DUMMYFUNCTION("""COMPUTED_VALUE"""),"https://uk.sagepub.com/en-gb/eur/journal/media-culture-society#submission-guidelines")</f>
        <v>https://uk.sagepub.com/en-gb/eur/journal/media-culture-society#submission-guidelines</v>
      </c>
      <c r="N97" t="str">
        <f>IFERROR(__xludf.DUMMYFUNCTION("""COMPUTED_VALUE"""),"")</f>
        <v/>
      </c>
      <c r="O97" t="str">
        <f>IFERROR(__xludf.DUMMYFUNCTION("""COMPUTED_VALUE"""),"")</f>
        <v/>
      </c>
      <c r="P97" t="str">
        <f>IFERROR(__xludf.DUMMYFUNCTION("""COMPUTED_VALUE"""),"No")</f>
        <v>No</v>
      </c>
      <c r="Q97" t="str">
        <f>IFERROR(__xludf.DUMMYFUNCTION("""COMPUTED_VALUE"""),"")</f>
        <v/>
      </c>
      <c r="R97" t="str">
        <f>IFERROR(__xludf.DUMMYFUNCTION("""COMPUTED_VALUE"""),"")</f>
        <v/>
      </c>
      <c r="S97" t="str">
        <f>IFERROR(__xludf.DUMMYFUNCTION("""COMPUTED_VALUE"""),"Not specified")</f>
        <v>Not specified</v>
      </c>
      <c r="T97" t="str">
        <f>IFERROR(__xludf.DUMMYFUNCTION("""COMPUTED_VALUE"""),"Not specified")</f>
        <v>Not specified</v>
      </c>
      <c r="U97" t="str">
        <f>IFERROR(__xludf.DUMMYFUNCTION("""COMPUTED_VALUE"""),"Not specified")</f>
        <v>Not specified</v>
      </c>
      <c r="V97" t="str">
        <f>IFERROR(__xludf.DUMMYFUNCTION("""COMPUTED_VALUE"""),"Not specified")</f>
        <v>Not specified</v>
      </c>
      <c r="W97" t="str">
        <f>IFERROR(__xludf.DUMMYFUNCTION("""COMPUTED_VALUE"""),"Not specified")</f>
        <v>Not specified</v>
      </c>
      <c r="X97" t="str">
        <f>IFERROR(__xludf.DUMMYFUNCTION("""COMPUTED_VALUE"""),"No")</f>
        <v>No</v>
      </c>
      <c r="Y97" t="str">
        <f>IFERROR(__xludf.DUMMYFUNCTION("""COMPUTED_VALUE"""),"Not specified")</f>
        <v>Not specified</v>
      </c>
      <c r="Z97" t="str">
        <f>IFERROR(__xludf.DUMMYFUNCTION("""COMPUTED_VALUE"""),"Not specified")</f>
        <v>Not specified</v>
      </c>
      <c r="AA97" t="str">
        <f>IFERROR(__xludf.DUMMYFUNCTION("""COMPUTED_VALUE"""),"")</f>
        <v/>
      </c>
      <c r="AB97" t="str">
        <f>IFERROR(__xludf.DUMMYFUNCTION("""COMPUTED_VALUE"""),"")</f>
        <v/>
      </c>
      <c r="AC97" t="str">
        <f>IFERROR(__xludf.DUMMYFUNCTION("""COMPUTED_VALUE"""),"")</f>
        <v/>
      </c>
      <c r="AD97" t="str">
        <f>IFERROR(__xludf.DUMMYFUNCTION("""COMPUTED_VALUE"""),"Unsure")</f>
        <v>Unsure</v>
      </c>
      <c r="AE97" t="str">
        <f>IFERROR(__xludf.DUMMYFUNCTION("""COMPUTED_VALUE"""),"Unsure")</f>
        <v>Unsure</v>
      </c>
      <c r="AF97" t="str">
        <f>IFERROR(__xludf.DUMMYFUNCTION("""COMPUTED_VALUE"""),"Unsure")</f>
        <v>Unsure</v>
      </c>
      <c r="AG97" s="78" t="str">
        <f>IFERROR(__xludf.DUMMYFUNCTION("""COMPUTED_VALUE"""),"https://uk.sagepub.com/en-gb/eur/journal-author-archiving-policies-and-re-use")</f>
        <v>https://uk.sagepub.com/en-gb/eur/journal-author-archiving-policies-and-re-use</v>
      </c>
      <c r="AH97" t="str">
        <f>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I97" t="str">
        <f>IFERROR(__xludf.DUMMYFUNCTION("""COMPUTED_VALUE"""),"Insitutional repositories/not-for profit servers outside own institution ")</f>
        <v>Insitutional repositories/not-for profit servers outside own institution </v>
      </c>
      <c r="AJ97" t="str">
        <f>IFERROR(__xludf.DUMMYFUNCTION("""COMPUTED_VALUE"""),"Not specified")</f>
        <v>Not specified</v>
      </c>
      <c r="AK97" t="str">
        <f>IFERROR(__xludf.DUMMYFUNCTION("""COMPUTED_VALUE"""),"No")</f>
        <v>No</v>
      </c>
      <c r="AL97" t="str">
        <f>IFERROR(__xludf.DUMMYFUNCTION("""COMPUTED_VALUE"""),"")</f>
        <v/>
      </c>
      <c r="AM97" t="str">
        <f>IFERROR(__xludf.DUMMYFUNCTION("""COMPUTED_VALUE"""),"")</f>
        <v/>
      </c>
      <c r="AN97" t="str">
        <f>IFERROR(__xludf.DUMMYFUNCTION("""COMPUTED_VALUE"""),"")</f>
        <v/>
      </c>
      <c r="AO97" t="str">
        <f>IFERROR(__xludf.DUMMYFUNCTION("""COMPUTED_VALUE"""),"")</f>
        <v/>
      </c>
      <c r="AP97" t="str">
        <f>IFERROR(__xludf.DUMMYFUNCTION("""COMPUTED_VALUE"""),"SAGE offers comprehensive author guidelines which are specified for the journal in question (in this case, Media, Communication &amp; Society). This information is spread out across a host of documents, which makes it somewhat difficult to retrieve. It's also"&amp;" not very specific about issues of open peer review, but SAGE's guidelines on preprints (prior publication) are comprehensive and fairly easily accessible.")</f>
        <v>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v>
      </c>
      <c r="AQ97" t="str">
        <f>IFERROR(__xludf.DUMMYFUNCTION("""COMPUTED_VALUE"""),"45 mins")</f>
        <v>45 mins</v>
      </c>
      <c r="AR97" t="str">
        <f>IFERROR(__xludf.DUMMYFUNCTION("""COMPUTED_VALUE"""),"")</f>
        <v/>
      </c>
    </row>
    <row r="98">
      <c r="A98" t="str">
        <f>IFERROR(__xludf.DUMMYFUNCTION("""COMPUTED_VALUE"""),"SR")</f>
        <v>SR</v>
      </c>
      <c r="B98" s="34">
        <f>IFERROR(__xludf.DUMMYFUNCTION("""COMPUTED_VALUE"""),43439.0)</f>
        <v>43439</v>
      </c>
      <c r="C98" t="str">
        <f>IFERROR(__xludf.DUMMYFUNCTION("""COMPUTED_VALUE"""),"SH")</f>
        <v>SH</v>
      </c>
      <c r="D98" s="45">
        <f>IFERROR(__xludf.DUMMYFUNCTION("""COMPUTED_VALUE"""),43574.0)</f>
        <v>43574</v>
      </c>
      <c r="E98" t="str">
        <f>IFERROR(__xludf.DUMMYFUNCTION("""COMPUTED_VALUE"""),"TRH")</f>
        <v>TRH</v>
      </c>
      <c r="F98" s="45">
        <f>IFERROR(__xludf.DUMMYFUNCTION("""COMPUTED_VALUE"""),43581.0)</f>
        <v>43581</v>
      </c>
      <c r="G98" t="str">
        <f>IFERROR(__xludf.DUMMYFUNCTION("""COMPUTED_VALUE"""),"")</f>
        <v/>
      </c>
      <c r="H98" t="str">
        <f>IFERROR(__xludf.DUMMYFUNCTION("""COMPUTED_VALUE"""),"1097-2765")</f>
        <v>1097-2765</v>
      </c>
      <c r="I98" t="str">
        <f>IFERROR(__xludf.DUMMYFUNCTION("""COMPUTED_VALUE"""),"Molecular Cell")</f>
        <v>Molecular Cell</v>
      </c>
      <c r="J98" t="str">
        <f>IFERROR(__xludf.DUMMYFUNCTION("""COMPUTED_VALUE"""),"Life Sciences &amp; Earth Sciences")</f>
        <v>Life Sciences &amp; Earth Sciences</v>
      </c>
      <c r="K98" t="str">
        <f>IFERROR(__xludf.DUMMYFUNCTION("""COMPUTED_VALUE"""),"Elsevier")</f>
        <v>Elsevier</v>
      </c>
      <c r="L98" t="str">
        <f>IFERROR(__xludf.DUMMYFUNCTION("""COMPUTED_VALUE"""),"Unsure")</f>
        <v>Unsure</v>
      </c>
      <c r="M98" s="78" t="str">
        <f>IFERROR(__xludf.DUMMYFUNCTION("""COMPUTED_VALUE"""),"https://www.cell.com/molecular-cell/authors")</f>
        <v>https://www.cell.com/molecular-cell/authors</v>
      </c>
      <c r="N98" t="str">
        <f>IFERROR(__xludf.DUMMYFUNCTION("""COMPUTED_VALUE"""),"")</f>
        <v/>
      </c>
      <c r="O98" t="str">
        <f>IFERROR(__xludf.DUMMYFUNCTION("""COMPUTED_VALUE"""),"")</f>
        <v/>
      </c>
      <c r="P98" t="str">
        <f>IFERROR(__xludf.DUMMYFUNCTION("""COMPUTED_VALUE"""),"Unsure")</f>
        <v>Unsure</v>
      </c>
      <c r="Q98" t="str">
        <f>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98" s="78" t="str">
        <f>IFERROR(__xludf.DUMMYFUNCTION("""COMPUTED_VALUE"""),"https://www.cell.com/molecular-cell/authors")</f>
        <v>https://www.cell.com/molecular-cell/authors</v>
      </c>
      <c r="S98" t="str">
        <f>IFERROR(__xludf.DUMMYFUNCTION("""COMPUTED_VALUE"""),"Not specified")</f>
        <v>Not specified</v>
      </c>
      <c r="T98" t="str">
        <f>IFERROR(__xludf.DUMMYFUNCTION("""COMPUTED_VALUE"""),"Not specified")</f>
        <v>Not specified</v>
      </c>
      <c r="U98" t="str">
        <f>IFERROR(__xludf.DUMMYFUNCTION("""COMPUTED_VALUE"""),"Not specified")</f>
        <v>Not specified</v>
      </c>
      <c r="V98" t="str">
        <f>IFERROR(__xludf.DUMMYFUNCTION("""COMPUTED_VALUE"""),"Not specified")</f>
        <v>Not specified</v>
      </c>
      <c r="W98" t="str">
        <f>IFERROR(__xludf.DUMMYFUNCTION("""COMPUTED_VALUE"""),"Not specified")</f>
        <v>Not specified</v>
      </c>
      <c r="X98" t="str">
        <f>IFERROR(__xludf.DUMMYFUNCTION("""COMPUTED_VALUE"""),"Not specified")</f>
        <v>Not specified</v>
      </c>
      <c r="Y98" t="str">
        <f>IFERROR(__xludf.DUMMYFUNCTION("""COMPUTED_VALUE"""),"Not specified")</f>
        <v>Not specified</v>
      </c>
      <c r="Z98" t="str">
        <f>IFERROR(__xludf.DUMMYFUNCTION("""COMPUTED_VALUE"""),"Not specified")</f>
        <v>Not specified</v>
      </c>
      <c r="AA98" t="str">
        <f>IFERROR(__xludf.DUMMYFUNCTION("""COMPUTED_VALUE"""),"")</f>
        <v/>
      </c>
      <c r="AB98" t="str">
        <f>IFERROR(__xludf.DUMMYFUNCTION("""COMPUTED_VALUE"""),"")</f>
        <v/>
      </c>
      <c r="AC98" t="str">
        <f>IFERROR(__xludf.DUMMYFUNCTION("""COMPUTED_VALUE"""),"")</f>
        <v/>
      </c>
      <c r="AD98" t="str">
        <f>IFERROR(__xludf.DUMMYFUNCTION("""COMPUTED_VALUE"""),"Unsure")</f>
        <v>Unsure</v>
      </c>
      <c r="AE98" t="str">
        <f>IFERROR(__xludf.DUMMYFUNCTION("""COMPUTED_VALUE"""),"Unsure")</f>
        <v>Unsure</v>
      </c>
      <c r="AF98" t="str">
        <f>IFERROR(__xludf.DUMMYFUNCTION("""COMPUTED_VALUE"""),"Unsure")</f>
        <v>Unsure</v>
      </c>
      <c r="AG98" s="78" t="str">
        <f>IFERROR(__xludf.DUMMYFUNCTION("""COMPUTED_VALUE"""),"https://www.cell.com/molecular-cell/authors")</f>
        <v>https://www.cell.com/molecular-cell/authors</v>
      </c>
      <c r="AH98" t="str">
        <f>IFERROR(__xludf.DUMMYFUNCTION("""COMPUTED_VALUE"""),"First submission only (before peer review)")</f>
        <v>First submission only (before peer review)</v>
      </c>
      <c r="AI98" t="str">
        <f>IFERROR(__xludf.DUMMYFUNCTION("""COMPUTED_VALUE"""),"We will consider papers previously posted on preprint servers like arXiv, bioRxiv, BioRN, ChemRxiv, or ChemRN. We are very interested to hear from researchers about their motivations for posting and to discuss with them whether it is the best approach for"&amp;" their paper, so we strongly encourage authors who are planning to submit to us to contact the editors first to discuss their specific paper and situation. This policy only applies to the original submitted version of the paper; we do not support posting "&amp;"of revisions that respond to editorial input and peer review or posting of the final published version to preprint servers. Also, our prepublication publicity policies with regard to coverage in the broader media still apply to studies posted on preprint "&amp;"servers. For more information about preprint servers and the discussions related to them, please see this blog post.")</f>
        <v>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98" t="str">
        <f>IFERROR(__xludf.DUMMYFUNCTION("""COMPUTED_VALUE"""),"Yes, but only in the text (not in the reference list)")</f>
        <v>Yes, but only in the text (not in the reference list)</v>
      </c>
      <c r="AK98" t="str">
        <f>IFERROR(__xludf.DUMMYFUNCTION("""COMPUTED_VALUE"""),"Unsure")</f>
        <v>Unsure</v>
      </c>
      <c r="AL98" t="str">
        <f>IFERROR(__xludf.DUMMYFUNCTION("""COMPUTED_VALUE"""),"Part of our role as a scientific publisher is to help ensure that the work you publish with us reaches the broadest possible readership within both the research community and the broader public. We understand that effective communication of the advances y"&amp;"ou have made helps promote public appreciation of science, and we want to do what we can to further that goal. We also take seriously our responsibility to support informed scientific journalism, and look to encourage balanced and accurate coverage that a"&amp;"voids inappropriate hype. To assist with these aims, we operate an embargoed press release system, which allows reporters a protected window to develop their stories. All Cell Press papers are made available to the media up to 7 days before publication an"&amp;"d are under media embargo until 11 AM (US, ET) on their date of publication. The embargo date and time should be clearly communicated in any materials distributed about them. Work intended for submission to a Cell Press journal, currently under considerat"&amp;"ion at a Cell Press journal, or in press at a Cell Press journal may not be discussed with the media or other scientific journals until one week before publication. If authors choose to make their work available to the scientific community before publicat"&amp;"ion, through presentation at a scientific meeting or posting online, we ask that they and their institutions refrain from actively seeking media attention for the work and avoid participating in interviews about it. Coverage that results from pre-publicat"&amp;"ion communication can impact media interest in a paper at the time of publication and affect our ability to support responsible scientific journalism. Please contact our press office (press@cell.com) if you or your press officer need embargo information f"&amp;"or your paper, you plan on hosting a press conference, or if there are special circumstances that you would like to discuss.")</f>
        <v>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v>
      </c>
      <c r="AM98" t="str">
        <f>IFERROR(__xludf.DUMMYFUNCTION("""COMPUTED_VALUE"""),"")</f>
        <v/>
      </c>
      <c r="AN98" t="str">
        <f>IFERROR(__xludf.DUMMYFUNCTION("""COMPUTED_VALUE"""),"")</f>
        <v/>
      </c>
      <c r="AO98" t="str">
        <f>IFERROR(__xludf.DUMMYFUNCTION("""COMPUTED_VALUE"""),"")</f>
        <v/>
      </c>
      <c r="AP98" t="str">
        <f>IFERROR(__xludf.DUMMYFUNCTION("""COMPUTED_VALUE"""),"The Molecular Cell website is rather transparent with respect to many of the policies listed above. However, nowhere does it specify which kind of peer review system is used - even though it becomes clear from the rest of the information provided that the"&amp;" editors employ some kind of peer review. On the other hand, the website is particularly vocal on issues of preprints, and their policies are stated in a clear, accessible manner. Regarding preprint citation: although it doesn't specifically call out prep"&amp;"rints: ""References should include only articles that are published or in press.....Unpublished data, submitted manuscripts, abstracts, and personal communications should be cited within the text only and not included in the References list.""")</f>
        <v>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v>
      </c>
      <c r="AQ98" t="str">
        <f>IFERROR(__xludf.DUMMYFUNCTION("""COMPUTED_VALUE"""),"35 mins")</f>
        <v>35 mins</v>
      </c>
      <c r="AR98" t="str">
        <f>IFERROR(__xludf.DUMMYFUNCTION("""COMPUTED_VALUE"""),"")</f>
        <v/>
      </c>
    </row>
    <row r="99">
      <c r="A99" t="str">
        <f>IFERROR(__xludf.DUMMYFUNCTION("""COMPUTED_VALUE"""),"SR")</f>
        <v>SR</v>
      </c>
      <c r="B99" s="34">
        <f>IFERROR(__xludf.DUMMYFUNCTION("""COMPUTED_VALUE"""),43439.0)</f>
        <v>43439</v>
      </c>
      <c r="C99" t="str">
        <f>IFERROR(__xludf.DUMMYFUNCTION("""COMPUTED_VALUE"""),"GMD")</f>
        <v>GMD</v>
      </c>
      <c r="D99" s="36">
        <f>IFERROR(__xludf.DUMMYFUNCTION("""COMPUTED_VALUE"""),43579.0)</f>
        <v>43579</v>
      </c>
      <c r="E99" t="str">
        <f>IFERROR(__xludf.DUMMYFUNCTION("""COMPUTED_VALUE"""),"JP")</f>
        <v>JP</v>
      </c>
      <c r="F99" s="36">
        <f>IFERROR(__xludf.DUMMYFUNCTION("""COMPUTED_VALUE"""),43583.0)</f>
        <v>43583</v>
      </c>
      <c r="G99" t="str">
        <f>IFERROR(__xludf.DUMMYFUNCTION("""COMPUTED_VALUE"""),"Updated with journal-specific preprint policy and related records")</f>
        <v>Updated with journal-specific preprint policy and related records</v>
      </c>
      <c r="H99" t="str">
        <f>IFERROR(__xludf.DUMMYFUNCTION("""COMPUTED_VALUE"""),"1365-2966")</f>
        <v>1365-2966</v>
      </c>
      <c r="I99" t="str">
        <f>IFERROR(__xludf.DUMMYFUNCTION("""COMPUTED_VALUE"""),"Monthly Notices of the Royal Astronomical Society")</f>
        <v>Monthly Notices of the Royal Astronomical Society</v>
      </c>
      <c r="J99" t="str">
        <f>IFERROR(__xludf.DUMMYFUNCTION("""COMPUTED_VALUE"""),"Physics &amp; Mathematics")</f>
        <v>Physics &amp; Mathematics</v>
      </c>
      <c r="K99" t="str">
        <f>IFERROR(__xludf.DUMMYFUNCTION("""COMPUTED_VALUE"""),"")</f>
        <v/>
      </c>
      <c r="L99" t="str">
        <f>IFERROR(__xludf.DUMMYFUNCTION("""COMPUTED_VALUE"""),"Single blind")</f>
        <v>Single blind</v>
      </c>
      <c r="M99" s="78" t="str">
        <f>IFERROR(__xludf.DUMMYFUNCTION("""COMPUTED_VALUE"""),"https://academic.oup.com/mnras/pages/General_Instructions#4%20Editorial%20review")</f>
        <v>https://academic.oup.com/mnras/pages/General_Instructions#4%20Editorial%20review</v>
      </c>
      <c r="N99" t="str">
        <f>IFERROR(__xludf.DUMMYFUNCTION("""COMPUTED_VALUE"""),"")</f>
        <v/>
      </c>
      <c r="O99" s="78" t="str">
        <f>IFERROR(__xludf.DUMMYFUNCTION("""COMPUTED_VALUE"""),"https://academic.oup.com/mnras/pages/General_Instructions#4%20Editorial%20review")</f>
        <v>https://academic.oup.com/mnras/pages/General_Instructions#4%20Editorial%20review</v>
      </c>
      <c r="P99" t="str">
        <f>IFERROR(__xludf.DUMMYFUNCTION("""COMPUTED_VALUE"""),"Unsure")</f>
        <v>Unsure</v>
      </c>
      <c r="Q99" t="str">
        <f>IFERROR(__xludf.DUMMYFUNCTION("""COMPUTED_VALUE"""),"")</f>
        <v/>
      </c>
      <c r="R99" t="str">
        <f>IFERROR(__xludf.DUMMYFUNCTION("""COMPUTED_VALUE"""),"")</f>
        <v/>
      </c>
      <c r="S99" t="str">
        <f>IFERROR(__xludf.DUMMYFUNCTION("""COMPUTED_VALUE"""),"Not specified")</f>
        <v>Not specified</v>
      </c>
      <c r="T99" t="str">
        <f>IFERROR(__xludf.DUMMYFUNCTION("""COMPUTED_VALUE"""),"Not specified")</f>
        <v>Not specified</v>
      </c>
      <c r="U99" t="str">
        <f>IFERROR(__xludf.DUMMYFUNCTION("""COMPUTED_VALUE"""),"Not specified")</f>
        <v>Not specified</v>
      </c>
      <c r="V99" t="str">
        <f>IFERROR(__xludf.DUMMYFUNCTION("""COMPUTED_VALUE"""),"Not specified")</f>
        <v>Not specified</v>
      </c>
      <c r="W99" t="str">
        <f>IFERROR(__xludf.DUMMYFUNCTION("""COMPUTED_VALUE"""),"Not specified")</f>
        <v>Not specified</v>
      </c>
      <c r="X99" t="str">
        <f>IFERROR(__xludf.DUMMYFUNCTION("""COMPUTED_VALUE"""),"Not specified")</f>
        <v>Not specified</v>
      </c>
      <c r="Y99" t="str">
        <f>IFERROR(__xludf.DUMMYFUNCTION("""COMPUTED_VALUE"""),"Not specified")</f>
        <v>Not specified</v>
      </c>
      <c r="Z99" t="str">
        <f>IFERROR(__xludf.DUMMYFUNCTION("""COMPUTED_VALUE"""),"Not specified")</f>
        <v>Not specified</v>
      </c>
      <c r="AA99" t="str">
        <f>IFERROR(__xludf.DUMMYFUNCTION("""COMPUTED_VALUE"""),"")</f>
        <v/>
      </c>
      <c r="AB99" t="str">
        <f>IFERROR(__xludf.DUMMYFUNCTION("""COMPUTED_VALUE"""),"")</f>
        <v/>
      </c>
      <c r="AC99" t="str">
        <f>IFERROR(__xludf.DUMMYFUNCTION("""COMPUTED_VALUE"""),"")</f>
        <v/>
      </c>
      <c r="AD99" t="str">
        <f>IFERROR(__xludf.DUMMYFUNCTION("""COMPUTED_VALUE"""),"Unsure")</f>
        <v>Unsure</v>
      </c>
      <c r="AE99" t="str">
        <f>IFERROR(__xludf.DUMMYFUNCTION("""COMPUTED_VALUE"""),"Unsure")</f>
        <v>Unsure</v>
      </c>
      <c r="AF99" t="str">
        <f>IFERROR(__xludf.DUMMYFUNCTION("""COMPUTED_VALUE"""),"Unsure")</f>
        <v>Unsure</v>
      </c>
      <c r="AG99" t="str">
        <f>IFERROR(__xludf.DUMMYFUNCTION("""COMPUTED_VALUE"""),"https://academic.oup.com/journals/pages/access_purchase/rights_and_permissions/author_self_archiving_policy
https://academic.oup.com/mnras/pages/General_Instructions#3.5%20Updating%20of%20records%20on%20arXiv")</f>
        <v>https://academic.oup.com/journals/pages/access_purchase/rights_and_permissions/author_self_archiving_policy
https://academic.oup.com/mnras/pages/General_Instructions#3.5%20Updating%20of%20records%20on%20arXiv</v>
      </c>
      <c r="AH99" t="str">
        <f>IFERROR(__xludf.DUMMYFUNCTION("""COMPUTED_VALUE"""),"Any")</f>
        <v>Any</v>
      </c>
      <c r="AI99" t="str">
        <f>IFERROR(__xludf.DUMMYFUNCTION("""COMPUTED_VALUE"""),"3.5 Updating of records on arXiv
Authors who have posted a pre-print of their manuscript to arXiv.org may supply their arXiv ID when submitting their article through ScholarOne Manuscripts. If the manuscript is accepted for publication, the arXiv record w"&amp;"ill be updated with the article DOI and will link to the final published version of the article in the journal. The arXiv record will be updated when the article is published online.")</f>
        <v>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v>
      </c>
      <c r="AJ99" t="str">
        <f>IFERROR(__xludf.DUMMYFUNCTION("""COMPUTED_VALUE"""),"Yes, in the reference list (https://academic.oup.com/mnras/pages/General_Instructions#6.3%20References%20and%20citations)")</f>
        <v>Yes, in the reference list (https://academic.oup.com/mnras/pages/General_Instructions#6.3%20References%20and%20citations)</v>
      </c>
      <c r="AK99" t="str">
        <f>IFERROR(__xludf.DUMMYFUNCTION("""COMPUTED_VALUE"""),"Unsure")</f>
        <v>Unsure</v>
      </c>
      <c r="AL99" t="str">
        <f>IFERROR(__xludf.DUMMYFUNCTION("""COMPUTED_VALUE"""),"")</f>
        <v/>
      </c>
      <c r="AM99" t="str">
        <f>IFERROR(__xludf.DUMMYFUNCTION("""COMPUTED_VALUE"""),"")</f>
        <v/>
      </c>
      <c r="AN99" t="str">
        <f>IFERROR(__xludf.DUMMYFUNCTION("""COMPUTED_VALUE"""),"")</f>
        <v/>
      </c>
      <c r="AO99" t="str">
        <f>IFERROR(__xludf.DUMMYFUNCTION("""COMPUTED_VALUE"""),"")</f>
        <v/>
      </c>
      <c r="AP99" t="str">
        <f>IFERROR(__xludf.DUMMYFUNCTION("""COMPUTED_VALUE"""),"")</f>
        <v/>
      </c>
      <c r="AQ99" t="str">
        <f>IFERROR(__xludf.DUMMYFUNCTION("""COMPUTED_VALUE"""),"")</f>
        <v/>
      </c>
      <c r="AR99" t="str">
        <f>IFERROR(__xludf.DUMMYFUNCTION("""COMPUTED_VALUE"""),"")</f>
        <v/>
      </c>
    </row>
    <row r="100">
      <c r="A100" t="str">
        <f>IFERROR(__xludf.DUMMYFUNCTION("""COMPUTED_VALUE"""),"SR")</f>
        <v>SR</v>
      </c>
      <c r="B100" s="34">
        <f>IFERROR(__xludf.DUMMYFUNCTION("""COMPUTED_VALUE"""),43439.0)</f>
        <v>43439</v>
      </c>
      <c r="C100" t="str">
        <f>IFERROR(__xludf.DUMMYFUNCTION("""COMPUTED_VALUE"""),"GMD")</f>
        <v>GMD</v>
      </c>
      <c r="D100" s="36">
        <f>IFERROR(__xludf.DUMMYFUNCTION("""COMPUTED_VALUE"""),43579.0)</f>
        <v>43579</v>
      </c>
      <c r="E100" t="str">
        <f>IFERROR(__xludf.DUMMYFUNCTION("""COMPUTED_VALUE"""),"JP")</f>
        <v>JP</v>
      </c>
      <c r="F100" s="36">
        <f>IFERROR(__xludf.DUMMYFUNCTION("""COMPUTED_VALUE"""),43583.0)</f>
        <v>43583</v>
      </c>
      <c r="G100" t="str">
        <f>IFERROR(__xludf.DUMMYFUNCTION("""COMPUTED_VALUE"""),"Added co-reviewer policy, Changed preprint policy")</f>
        <v>Added co-reviewer policy, Changed preprint policy</v>
      </c>
      <c r="H100" t="str">
        <f>IFERROR(__xludf.DUMMYFUNCTION("""COMPUTED_VALUE"""),"1530-6992")</f>
        <v>1530-6992</v>
      </c>
      <c r="I100" t="str">
        <f>IFERROR(__xludf.DUMMYFUNCTION("""COMPUTED_VALUE"""),"Nano Letters")</f>
        <v>Nano Letters</v>
      </c>
      <c r="J100" t="str">
        <f>IFERROR(__xludf.DUMMYFUNCTION("""COMPUTED_VALUE"""),"Chemical &amp; Materials Sciences,
Engineering &amp; Computer Science")</f>
        <v>Chemical &amp; Materials Sciences,
Engineering &amp; Computer Science</v>
      </c>
      <c r="K100" t="str">
        <f>IFERROR(__xludf.DUMMYFUNCTION("""COMPUTED_VALUE"""),"ACS Publications")</f>
        <v>ACS Publications</v>
      </c>
      <c r="L100" t="str">
        <f>IFERROR(__xludf.DUMMYFUNCTION("""COMPUTED_VALUE"""),"Unsure")</f>
        <v>Unsure</v>
      </c>
      <c r="M100" s="78" t="str">
        <f>IFERROR(__xludf.DUMMYFUNCTION("""COMPUTED_VALUE"""),"https://pubs.acs.org/paragonplus/submission/nalefd/nalefd_authguide.pdf")</f>
        <v>https://pubs.acs.org/paragonplus/submission/nalefd/nalefd_authguide.pdf</v>
      </c>
      <c r="N100" t="str">
        <f>IFERROR(__xludf.DUMMYFUNCTION("""COMPUTED_VALUE"""),"")</f>
        <v/>
      </c>
      <c r="O100" t="str">
        <f>IFERROR(__xludf.DUMMYFUNCTION("""COMPUTED_VALUE"""),"")</f>
        <v/>
      </c>
      <c r="P100" t="str">
        <f>IFERROR(__xludf.DUMMYFUNCTION("""COMPUTED_VALUE"""),"Unsure")</f>
        <v>Unsure</v>
      </c>
      <c r="Q100" t="str">
        <f>IFERROR(__xludf.DUMMYFUNCTION("""COMPUTED_VALUE"""),"Reviewers should give estimates of the scientific value of the work, together with some basis for their opinion. They should indicate whether the writing is clear, concise, and relevant. Personal comments should be avoided. Reviewers should realize that t"&amp;"heir reports may be transmitted by the authors to editors of other ACS journals. Existing Reviews Will Be Shared: If the manuscript has been peer reviewed, the reviews and the reviewer identities will be transferred to the next journal. If authors do not "&amp;"wish to share the reviews, they should decline the offer to transfer the submission.")</f>
        <v>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v>
      </c>
      <c r="R100" s="78" t="str">
        <f>IFERROR(__xludf.DUMMYFUNCTION("""COMPUTED_VALUE"""),"https://pubs.acs.org/page/policy/manuscript_transfer/index.html")</f>
        <v>https://pubs.acs.org/page/policy/manuscript_transfer/index.html</v>
      </c>
      <c r="S100" t="str">
        <f>IFERROR(__xludf.DUMMYFUNCTION("""COMPUTED_VALUE"""),"Not specified")</f>
        <v>Not specified</v>
      </c>
      <c r="T100" t="str">
        <f>IFERROR(__xludf.DUMMYFUNCTION("""COMPUTED_VALUE"""),"Not specified")</f>
        <v>Not specified</v>
      </c>
      <c r="U100" t="str">
        <f>IFERROR(__xludf.DUMMYFUNCTION("""COMPUTED_VALUE"""),"Not specified")</f>
        <v>Not specified</v>
      </c>
      <c r="V100" t="str">
        <f>IFERROR(__xludf.DUMMYFUNCTION("""COMPUTED_VALUE"""),"Not specified")</f>
        <v>Not specified</v>
      </c>
      <c r="W100" t="str">
        <f>IFERROR(__xludf.DUMMYFUNCTION("""COMPUTED_VALUE"""),"Not specified")</f>
        <v>Not specified</v>
      </c>
      <c r="X100" t="str">
        <f>IFERROR(__xludf.DUMMYFUNCTION("""COMPUTED_VALUE"""),"Not specified")</f>
        <v>Not specified</v>
      </c>
      <c r="Y100" t="str">
        <f>IFERROR(__xludf.DUMMYFUNCTION("""COMPUTED_VALUE"""),"Not specified")</f>
        <v>Not specified</v>
      </c>
      <c r="Z100" t="str">
        <f>IFERROR(__xludf.DUMMYFUNCTION("""COMPUTED_VALUE"""),"Not specified")</f>
        <v>Not specified</v>
      </c>
      <c r="AA100" t="str">
        <f>IFERROR(__xludf.DUMMYFUNCTION("""COMPUTED_VALUE"""),"")</f>
        <v/>
      </c>
      <c r="AB100" t="str">
        <f>IFERROR(__xludf.DUMMYFUNCTION("""COMPUTED_VALUE"""),"""Manuscript Confidentiality: A reviewer should treat both the submitted manuscript and data
as received from the journal, and his/her referee report and related correspondence as
confidential documents. Such documents should neither be disclosed to nor d"&amp;"iscussed with
others except, in special cases, when shared in confidence with persons from whom specific
expert advice may be sought. In such instances, the identities of those to be consulted should
be disclosed to the editor in advance""")</f>
        <v>"Manuscript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v>
      </c>
      <c r="AC100" s="78" t="str">
        <f>IFERROR(__xludf.DUMMYFUNCTION("""COMPUTED_VALUE"""),"https://pubs.acs.org/userimages/ContentEditor/1218054468605/ethics.pdf")</f>
        <v>https://pubs.acs.org/userimages/ContentEditor/1218054468605/ethics.pdf</v>
      </c>
      <c r="AD100" t="str">
        <f>IFERROR(__xludf.DUMMYFUNCTION("""COMPUTED_VALUE"""),"Yes")</f>
        <v>Yes</v>
      </c>
      <c r="AE100" t="str">
        <f>IFERROR(__xludf.DUMMYFUNCTION("""COMPUTED_VALUE"""),"Unsure")</f>
        <v>Unsure</v>
      </c>
      <c r="AF100" t="str">
        <f>IFERROR(__xludf.DUMMYFUNCTION("""COMPUTED_VALUE"""),"Unsure")</f>
        <v>Unsure</v>
      </c>
      <c r="AG100" s="78" t="str">
        <f>IFERROR(__xludf.DUMMYFUNCTION("""COMPUTED_VALUE"""),"https://pubs.acs.org/page/nalefd/submission/prior.html")</f>
        <v>https://pubs.acs.org/page/nalefd/submission/prior.html</v>
      </c>
      <c r="AH100" t="str">
        <f>IFERROR(__xludf.DUMMYFUNCTION("""COMPUTED_VALUE"""),"First submission only (before peer review)")</f>
        <v>First submission only (before peer review)</v>
      </c>
      <c r="AI100" t="str">
        <f>IFERROR(__xludf.DUMMYFUNCTION("""COMPUTED_VALUE"""),"Nano Letters authors are allowed to deposit an initial draft of their manuscript in a preprint service. Please note any use of a preprint server in the cover letter, and as appropriate, state how the manuscript has been adjusted/updated between deposition"&amp;" and submission. All other prior/redundant publication is forbidden.")</f>
        <v>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v>
      </c>
      <c r="AJ100" t="str">
        <f>IFERROR(__xludf.DUMMYFUNCTION("""COMPUTED_VALUE"""),"Yes, in the reference list (DOI should be provided)")</f>
        <v>Yes, in the reference list (DOI should be provided)</v>
      </c>
      <c r="AK100" t="str">
        <f>IFERROR(__xludf.DUMMYFUNCTION("""COMPUTED_VALUE"""),"")</f>
        <v/>
      </c>
      <c r="AL100" t="str">
        <f>IFERROR(__xludf.DUMMYFUNCTION("""COMPUTED_VALUE"""),"")</f>
        <v/>
      </c>
      <c r="AM100" t="str">
        <f>IFERROR(__xludf.DUMMYFUNCTION("""COMPUTED_VALUE"""),"Not specified")</f>
        <v>Not specified</v>
      </c>
      <c r="AN100" t="str">
        <f>IFERROR(__xludf.DUMMYFUNCTION("""COMPUTED_VALUE"""),"")</f>
        <v/>
      </c>
      <c r="AO100" t="str">
        <f>IFERROR(__xludf.DUMMYFUNCTION("""COMPUTED_VALUE"""),"")</f>
        <v/>
      </c>
      <c r="AP100" t="str">
        <f>IFERROR(__xludf.DUMMYFUNCTION("""COMPUTED_VALUE"""),"")</f>
        <v/>
      </c>
      <c r="AQ100" t="str">
        <f>IFERROR(__xludf.DUMMYFUNCTION("""COMPUTED_VALUE"""),"")</f>
        <v/>
      </c>
      <c r="AR100" t="str">
        <f>IFERROR(__xludf.DUMMYFUNCTION("""COMPUTED_VALUE"""),"")</f>
        <v/>
      </c>
    </row>
    <row r="101">
      <c r="A101" t="str">
        <f>IFERROR(__xludf.DUMMYFUNCTION("""COMPUTED_VALUE"""),"SR")</f>
        <v>SR</v>
      </c>
      <c r="B101" t="str">
        <f>IFERROR(__xludf.DUMMYFUNCTION("""COMPUTED_VALUE"""),"")</f>
        <v/>
      </c>
      <c r="C101" t="str">
        <f>IFERROR(__xludf.DUMMYFUNCTION("""COMPUTED_VALUE"""),"GMD")</f>
        <v>GMD</v>
      </c>
      <c r="D101" s="36">
        <f>IFERROR(__xludf.DUMMYFUNCTION("""COMPUTED_VALUE"""),43579.0)</f>
        <v>43579</v>
      </c>
      <c r="E101" t="str">
        <f>IFERROR(__xludf.DUMMYFUNCTION("""COMPUTED_VALUE"""),"JP")</f>
        <v>JP</v>
      </c>
      <c r="F101" s="36">
        <f>IFERROR(__xludf.DUMMYFUNCTION("""COMPUTED_VALUE"""),43583.0)</f>
        <v>43583</v>
      </c>
      <c r="G101" t="str">
        <f>IFERROR(__xludf.DUMMYFUNCTION("""COMPUTED_VALUE"""),"Added transfer information, rearranged preprint info")</f>
        <v>Added transfer information, rearranged preprint info</v>
      </c>
      <c r="H101" t="str">
        <f>IFERROR(__xludf.DUMMYFUNCTION("""COMPUTED_VALUE"""),"2040-3372")</f>
        <v>2040-3372</v>
      </c>
      <c r="I101" t="str">
        <f>IFERROR(__xludf.DUMMYFUNCTION("""COMPUTED_VALUE"""),"Nanoscale")</f>
        <v>Nanoscale</v>
      </c>
      <c r="J101" t="str">
        <f>IFERROR(__xludf.DUMMYFUNCTION("""COMPUTED_VALUE"""),"Chemical &amp; Materials Sciences,
Engineering &amp; Computer Science")</f>
        <v>Chemical &amp; Materials Sciences,
Engineering &amp; Computer Science</v>
      </c>
      <c r="K101" t="str">
        <f>IFERROR(__xludf.DUMMYFUNCTION("""COMPUTED_VALUE"""),"Royal Society of Chemistry")</f>
        <v>Royal Society of Chemistry</v>
      </c>
      <c r="L101" t="str">
        <f>IFERROR(__xludf.DUMMYFUNCTION("""COMPUTED_VALUE"""),"Unsure (at least single blind)")</f>
        <v>Unsure (at least single blind)</v>
      </c>
      <c r="M101" s="78" t="str">
        <f>IFERROR(__xludf.DUMMYFUNCTION("""COMPUTED_VALUE"""),"https://www.rsc.org/journals-books-databases/journal-authors-reviewers/reviewer-responsibilities/#review-procedure")</f>
        <v>https://www.rsc.org/journals-books-databases/journal-authors-reviewers/reviewer-responsibilities/#review-procedure</v>
      </c>
      <c r="N101" t="str">
        <f>IFERROR(__xludf.DUMMYFUNCTION("""COMPUTED_VALUE"""),"")</f>
        <v/>
      </c>
      <c r="O101" s="78" t="str">
        <f>IFERROR(__xludf.DUMMYFUNCTION("""COMPUTED_VALUE"""),"http://www.rsc.org/journals-books-databases/journal-authors-reviewers/reviewer-responsibilities/#peer-review-help")</f>
        <v>http://www.rsc.org/journals-books-databases/journal-authors-reviewers/reviewer-responsibilities/#peer-review-help</v>
      </c>
      <c r="P101" t="str">
        <f>IFERROR(__xludf.DUMMYFUNCTION("""COMPUTED_VALUE"""),"No")</f>
        <v>No</v>
      </c>
      <c r="Q101" t="str">
        <f>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R101" t="str">
        <f>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S101" t="str">
        <f>IFERROR(__xludf.DUMMYFUNCTION("""COMPUTED_VALUE"""),"No")</f>
        <v>No</v>
      </c>
      <c r="T101" t="str">
        <f>IFERROR(__xludf.DUMMYFUNCTION("""COMPUTED_VALUE"""),"No")</f>
        <v>No</v>
      </c>
      <c r="U101" t="str">
        <f>IFERROR(__xludf.DUMMYFUNCTION("""COMPUTED_VALUE"""),"No")</f>
        <v>No</v>
      </c>
      <c r="V101" t="str">
        <f>IFERROR(__xludf.DUMMYFUNCTION("""COMPUTED_VALUE"""),"No")</f>
        <v>No</v>
      </c>
      <c r="W101" t="str">
        <f>IFERROR(__xludf.DUMMYFUNCTION("""COMPUTED_VALUE"""),"No")</f>
        <v>No</v>
      </c>
      <c r="X101" t="str">
        <f>IFERROR(__xludf.DUMMYFUNCTION("""COMPUTED_VALUE"""),"No")</f>
        <v>No</v>
      </c>
      <c r="Y101" t="str">
        <f>IFERROR(__xludf.DUMMYFUNCTION("""COMPUTED_VALUE"""),"No")</f>
        <v>No</v>
      </c>
      <c r="Z101" t="str">
        <f>IFERROR(__xludf.DUMMYFUNCTION("""COMPUTED_VALUE"""),"No")</f>
        <v>No</v>
      </c>
      <c r="AA101" t="str">
        <f>IFERROR(__xludf.DUMMYFUNCTION("""COMPUTED_VALUE"""),"")</f>
        <v/>
      </c>
      <c r="AB101" t="str">
        <f>IFERROR(__xludf.DUMMYFUNCTION("""COMPUTED_VALUE"""),"""Treat the manuscript as confidential: The manuscript (or its existence) should not be shown to, disclosed to, or discussed with others, except in special cases, where specific scientific advice may be sought; in that event the editor must be informed an"&amp;"d the identities of those consulted disclosed. Information acquired by a reviewer from such a paper is not available for disclosure or citation until the paper is published.""")</f>
        <v>"Treat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v>
      </c>
      <c r="AC101" s="78" t="str">
        <f>IFERROR(__xludf.DUMMYFUNCTION("""COMPUTED_VALUE"""),"https://www.rsc.org/journals-books-databases/journal-authors-reviewers/reviewer-responsibilities/#ethical-responsibilities")</f>
        <v>https://www.rsc.org/journals-books-databases/journal-authors-reviewers/reviewer-responsibilities/#ethical-responsibilities</v>
      </c>
      <c r="AD101" t="str">
        <f>IFERROR(__xludf.DUMMYFUNCTION("""COMPUTED_VALUE"""),"Yes")</f>
        <v>Yes</v>
      </c>
      <c r="AE101" t="str">
        <f>IFERROR(__xludf.DUMMYFUNCTION("""COMPUTED_VALUE"""),"Unsure")</f>
        <v>Unsure</v>
      </c>
      <c r="AF101" t="str">
        <f>IFERROR(__xludf.DUMMYFUNCTION("""COMPUTED_VALUE"""),"Unsure")</f>
        <v>Unsure</v>
      </c>
      <c r="AG101" s="78" t="str">
        <f>IFERROR(__xludf.DUMMYFUNCTION("""COMPUTED_VALUE"""),"http://www.rsc.org/journals-books-databases/journal-authors-reviewers/processes-policies/#prior-publication")</f>
        <v>http://www.rsc.org/journals-books-databases/journal-authors-reviewers/processes-policies/#prior-publication</v>
      </c>
      <c r="AH101" t="str">
        <f>IFERROR(__xludf.DUMMYFUNCTION("""COMPUTED_VALUE"""),"First submission only (before peer review)")</f>
        <v>First submission only (before peer review)</v>
      </c>
      <c r="AI101" t="str">
        <f>IFERROR(__xludf.DUMMYFUNCTION("""COMPUTED_VALUE"""),"Authors publishing in our journals may present their research ahead of publication in the following ways. Through the deposition of a preprint version of the article in non-commercial repositories (eg ArXiv, ChemRxiv), institutional repositories or author"&amp;"s’ individual websites - a preprint is defined here as an un-refereed author version of the article; a non-commercial repository is defined here as any platform or archiving service that makes digital content free to deposit and access. At scientific conf"&amp;"erences; this includes recorded presentations, poster presentations and abstracts that are made openly available online. In commercial or non-commercial databases (data without interpretation, discussion, conclusions or context with a wider experimental p"&amp;"roject). In an open electronic lab notebook. In blogs, wikis, tweets, and other informal communication channels. As a thesis or dissertation published as part of an academic or professional qualification, in print and online. In any digital medium which i"&amp;"s operated by the Royal Society of Chemistry, excluding journals, books and magazines")</f>
        <v>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v>
      </c>
      <c r="AJ101" t="str">
        <f>IFERROR(__xludf.DUMMYFUNCTION("""COMPUTED_VALUE"""),"Not specified")</f>
        <v>Not specified</v>
      </c>
      <c r="AK101" t="str">
        <f>IFERROR(__xludf.DUMMYFUNCTION("""COMPUTED_VALUE"""),"Unsure")</f>
        <v>Unsure</v>
      </c>
      <c r="AL101" t="str">
        <f>IFERROR(__xludf.DUMMYFUNCTION("""COMPUTED_VALUE"""),"")</f>
        <v/>
      </c>
      <c r="AM101" t="str">
        <f>IFERROR(__xludf.DUMMYFUNCTION("""COMPUTED_VALUE"""),"")</f>
        <v/>
      </c>
      <c r="AN101" t="str">
        <f>IFERROR(__xludf.DUMMYFUNCTION("""COMPUTED_VALUE"""),"")</f>
        <v/>
      </c>
      <c r="AO101" t="str">
        <f>IFERROR(__xludf.DUMMYFUNCTION("""COMPUTED_VALUE"""),"")</f>
        <v/>
      </c>
      <c r="AP101" t="str">
        <f>IFERROR(__xludf.DUMMYFUNCTION("""COMPUTED_VALUE"""),"")</f>
        <v/>
      </c>
      <c r="AQ101" t="str">
        <f>IFERROR(__xludf.DUMMYFUNCTION("""COMPUTED_VALUE"""),"")</f>
        <v/>
      </c>
      <c r="AR101" t="str">
        <f>IFERROR(__xludf.DUMMYFUNCTION("""COMPUTED_VALUE"""),"")</f>
        <v/>
      </c>
    </row>
    <row r="102">
      <c r="A102" t="str">
        <f>IFERROR(__xludf.DUMMYFUNCTION("""COMPUTED_VALUE"""),"SR")</f>
        <v>SR</v>
      </c>
      <c r="B102" t="str">
        <f>IFERROR(__xludf.DUMMYFUNCTION("""COMPUTED_VALUE"""),"")</f>
        <v/>
      </c>
      <c r="C102" t="str">
        <f>IFERROR(__xludf.DUMMYFUNCTION("""COMPUTED_VALUE"""),"TRH")</f>
        <v>TRH</v>
      </c>
      <c r="D102" s="36">
        <f>IFERROR(__xludf.DUMMYFUNCTION("""COMPUTED_VALUE"""),43575.0)</f>
        <v>43575</v>
      </c>
      <c r="E102" t="str">
        <f>IFERROR(__xludf.DUMMYFUNCTION("""COMPUTED_VALUE"""),"JP")</f>
        <v>JP</v>
      </c>
      <c r="F102" s="36">
        <f>IFERROR(__xludf.DUMMYFUNCTION("""COMPUTED_VALUE"""),43581.0)</f>
        <v>43581</v>
      </c>
      <c r="G102" t="str">
        <f>IFERROR(__xludf.DUMMYFUNCTION("""COMPUTED_VALUE"""),"")</f>
        <v/>
      </c>
      <c r="H102" t="str">
        <f>IFERROR(__xludf.DUMMYFUNCTION("""COMPUTED_VALUE"""),"1476-4687")</f>
        <v>1476-4687</v>
      </c>
      <c r="I102" t="str">
        <f>IFERROR(__xludf.DUMMYFUNCTION("""COMPUTED_VALUE"""),"Nature")</f>
        <v>Nature</v>
      </c>
      <c r="J102" t="str">
        <f>IFERROR(__xludf.DUMMYFUNCTION("""COMPUTED_VALUE"""),"Life Sciences &amp; Earth Sciences")</f>
        <v>Life Sciences &amp; Earth Sciences</v>
      </c>
      <c r="K102" t="str">
        <f>IFERROR(__xludf.DUMMYFUNCTION("""COMPUTED_VALUE"""),"Springer Nature")</f>
        <v>Springer Nature</v>
      </c>
      <c r="L102"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2" s="78" t="str">
        <f>IFERROR(__xludf.DUMMYFUNCTION("""COMPUTED_VALUE"""),"https://www.nature.com/authors/policies/peer_review.html")</f>
        <v>https://www.nature.com/authors/policies/peer_review.html</v>
      </c>
      <c r="N102" t="str">
        <f>IFERROR(__xludf.DUMMYFUNCTION("""COMPUTED_VALUE"""),"")</f>
        <v/>
      </c>
      <c r="O102" t="str">
        <f>IFERROR(__xludf.DUMMYFUNCTION("""COMPUTED_VALUE"""),"")</f>
        <v/>
      </c>
      <c r="P102" t="str">
        <f>IFERROR(__xludf.DUMMYFUNCTION("""COMPUTED_VALUE"""),"Unsure")</f>
        <v>Unsure</v>
      </c>
      <c r="Q102"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2" s="78" t="str">
        <f>IFERROR(__xludf.DUMMYFUNCTION("""COMPUTED_VALUE"""),"https://www.nature.com/authors/author_resources/transfer_manuscripts.html")</f>
        <v>https://www.nature.com/authors/author_resources/transfer_manuscripts.html</v>
      </c>
      <c r="S102" t="str">
        <f>IFERROR(__xludf.DUMMYFUNCTION("""COMPUTED_VALUE"""),"No")</f>
        <v>No</v>
      </c>
      <c r="T102" t="str">
        <f>IFERROR(__xludf.DUMMYFUNCTION("""COMPUTED_VALUE"""),"No")</f>
        <v>No</v>
      </c>
      <c r="U102" t="str">
        <f>IFERROR(__xludf.DUMMYFUNCTION("""COMPUTED_VALUE"""),"No")</f>
        <v>No</v>
      </c>
      <c r="V102" t="str">
        <f>IFERROR(__xludf.DUMMYFUNCTION("""COMPUTED_VALUE"""),"No")</f>
        <v>No</v>
      </c>
      <c r="W102" t="str">
        <f>IFERROR(__xludf.DUMMYFUNCTION("""COMPUTED_VALUE"""),"No")</f>
        <v>No</v>
      </c>
      <c r="X102" t="str">
        <f>IFERROR(__xludf.DUMMYFUNCTION("""COMPUTED_VALUE"""),"No")</f>
        <v>No</v>
      </c>
      <c r="Y102" t="str">
        <f>IFERROR(__xludf.DUMMYFUNCTION("""COMPUTED_VALUE"""),"No")</f>
        <v>No</v>
      </c>
      <c r="Z102" t="str">
        <f>IFERROR(__xludf.DUMMYFUNCTION("""COMPUTED_VALUE"""),"No")</f>
        <v>No</v>
      </c>
      <c r="AA102" t="str">
        <f>IFERROR(__xludf.DUMMYFUNCTION("""COMPUTED_VALUE"""),"")</f>
        <v/>
      </c>
      <c r="AB102"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2" s="78" t="str">
        <f>IFERROR(__xludf.DUMMYFUNCTION("""COMPUTED_VALUE"""),"https://www.nature.com/nature/for-referees/policies-and-processes")</f>
        <v>https://www.nature.com/nature/for-referees/policies-and-processes</v>
      </c>
      <c r="AD102" t="str">
        <f>IFERROR(__xludf.DUMMYFUNCTION("""COMPUTED_VALUE"""),"Unsure")</f>
        <v>Unsure</v>
      </c>
      <c r="AE102" t="str">
        <f>IFERROR(__xludf.DUMMYFUNCTION("""COMPUTED_VALUE"""),"Unsure")</f>
        <v>Unsure</v>
      </c>
      <c r="AF102" t="str">
        <f>IFERROR(__xludf.DUMMYFUNCTION("""COMPUTED_VALUE"""),"Unsure")</f>
        <v>Unsure</v>
      </c>
      <c r="AG102" s="78" t="str">
        <f>IFERROR(__xludf.DUMMYFUNCTION("""COMPUTED_VALUE"""),"https://www.nature.com/authors/policies/preprints.html")</f>
        <v>https://www.nature.com/authors/policies/preprints.html</v>
      </c>
      <c r="AH102" t="str">
        <f>IFERROR(__xludf.DUMMYFUNCTION("""COMPUTED_VALUE"""),"First submission only (before peer review)")</f>
        <v>First submission only (before peer review)</v>
      </c>
      <c r="AI102" t="str">
        <f>IFERROR(__xludf.DUMMYFUNCTION("""COMPUTED_VALUE"""),"")</f>
        <v/>
      </c>
      <c r="AJ102" t="str">
        <f>IFERROR(__xludf.DUMMYFUNCTION("""COMPUTED_VALUE"""),"Yes, in the reference list.")</f>
        <v>Yes, in the reference list.</v>
      </c>
      <c r="AK102" t="str">
        <f>IFERROR(__xludf.DUMMYFUNCTION("""COMPUTED_VALUE"""),"Yes")</f>
        <v>Yes</v>
      </c>
      <c r="AL102"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2" t="str">
        <f>IFERROR(__xludf.DUMMYFUNCTION("""COMPUTED_VALUE"""),"")</f>
        <v/>
      </c>
      <c r="AN102" t="str">
        <f>IFERROR(__xludf.DUMMYFUNCTION("""COMPUTED_VALUE"""),"")</f>
        <v/>
      </c>
      <c r="AO102" t="str">
        <f>IFERROR(__xludf.DUMMYFUNCTION("""COMPUTED_VALUE"""),"")</f>
        <v/>
      </c>
      <c r="AP102" t="str">
        <f>IFERROR(__xludf.DUMMYFUNCTION("""COMPUTED_VALUE"""),"")</f>
        <v/>
      </c>
      <c r="AQ102" t="str">
        <f>IFERROR(__xludf.DUMMYFUNCTION("""COMPUTED_VALUE"""),"")</f>
        <v/>
      </c>
      <c r="AR102" t="str">
        <f>IFERROR(__xludf.DUMMYFUNCTION("""COMPUTED_VALUE"""),"")</f>
        <v/>
      </c>
    </row>
    <row r="103">
      <c r="A103" t="str">
        <f>IFERROR(__xludf.DUMMYFUNCTION("""COMPUTED_VALUE"""),"SR")</f>
        <v>SR</v>
      </c>
      <c r="B103" t="str">
        <f>IFERROR(__xludf.DUMMYFUNCTION("""COMPUTED_VALUE"""),"")</f>
        <v/>
      </c>
      <c r="C103" t="str">
        <f>IFERROR(__xludf.DUMMYFUNCTION("""COMPUTED_VALUE"""),"TRH")</f>
        <v>TRH</v>
      </c>
      <c r="D103" s="36">
        <f>IFERROR(__xludf.DUMMYFUNCTION("""COMPUTED_VALUE"""),43575.0)</f>
        <v>43575</v>
      </c>
      <c r="E103" t="str">
        <f>IFERROR(__xludf.DUMMYFUNCTION("""COMPUTED_VALUE"""),"JP")</f>
        <v>JP</v>
      </c>
      <c r="F103" s="36">
        <f>IFERROR(__xludf.DUMMYFUNCTION("""COMPUTED_VALUE"""),43581.0)</f>
        <v>43581</v>
      </c>
      <c r="G103" t="str">
        <f>IFERROR(__xludf.DUMMYFUNCTION("""COMPUTED_VALUE"""),"Assuming there was a copy-paste offset in  pr section (compare to nature above; have corrected in 2nd line to make compiling easier) - please check this &amp; your reviewed Nature records below")</f>
        <v>Assuming there was a copy-paste offset in  pr section (compare to nature above; have corrected in 2nd line to make compiling easier) - please check this &amp; your reviewed Nature records below</v>
      </c>
      <c r="H103" t="str">
        <f>IFERROR(__xludf.DUMMYFUNCTION("""COMPUTED_VALUE"""),"1546-1696")</f>
        <v>1546-1696</v>
      </c>
      <c r="I103" t="str">
        <f>IFERROR(__xludf.DUMMYFUNCTION("""COMPUTED_VALUE"""),"Nature Biotechnology")</f>
        <v>Nature Biotechnology</v>
      </c>
      <c r="J103" t="str">
        <f>IFERROR(__xludf.DUMMYFUNCTION("""COMPUTED_VALUE"""),"Life Sciences &amp; Earth Sciences")</f>
        <v>Life Sciences &amp; Earth Sciences</v>
      </c>
      <c r="K103" t="str">
        <f>IFERROR(__xludf.DUMMYFUNCTION("""COMPUTED_VALUE"""),"Springer Nature")</f>
        <v>Springer Nature</v>
      </c>
      <c r="L103"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3" s="78" t="str">
        <f>IFERROR(__xludf.DUMMYFUNCTION("""COMPUTED_VALUE"""),"https://www.nature.com/authors/policies/peer_review.html")</f>
        <v>https://www.nature.com/authors/policies/peer_review.html</v>
      </c>
      <c r="N103" t="str">
        <f>IFERROR(__xludf.DUMMYFUNCTION("""COMPUTED_VALUE"""),"")</f>
        <v/>
      </c>
      <c r="O103" s="78" t="str">
        <f>IFERROR(__xludf.DUMMYFUNCTION("""COMPUTED_VALUE"""),"https://www.nature.com/authors/policies/peer_review.html")</f>
        <v>https://www.nature.com/authors/policies/peer_review.html</v>
      </c>
      <c r="P103" t="str">
        <f>IFERROR(__xludf.DUMMYFUNCTION("""COMPUTED_VALUE"""),"Unsure")</f>
        <v>Unsure</v>
      </c>
      <c r="Q103"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3" s="78" t="str">
        <f>IFERROR(__xludf.DUMMYFUNCTION("""COMPUTED_VALUE"""),"https://www.nature.com/authors/author_resources/transfer_manuscripts.html")</f>
        <v>https://www.nature.com/authors/author_resources/transfer_manuscripts.html</v>
      </c>
      <c r="S103" t="str">
        <f>IFERROR(__xludf.DUMMYFUNCTION("""COMPUTED_VALUE"""),"Not specified")</f>
        <v>Not specified</v>
      </c>
      <c r="T103" t="str">
        <f>IFERROR(__xludf.DUMMYFUNCTION("""COMPUTED_VALUE"""),"Not specified")</f>
        <v>Not specified</v>
      </c>
      <c r="U103" t="str">
        <f>IFERROR(__xludf.DUMMYFUNCTION("""COMPUTED_VALUE"""),"Not specified")</f>
        <v>Not specified</v>
      </c>
      <c r="V103" t="str">
        <f>IFERROR(__xludf.DUMMYFUNCTION("""COMPUTED_VALUE"""),"Not specified")</f>
        <v>Not specified</v>
      </c>
      <c r="W103" t="str">
        <f>IFERROR(__xludf.DUMMYFUNCTION("""COMPUTED_VALUE"""),"Not specified")</f>
        <v>Not specified</v>
      </c>
      <c r="X103" t="str">
        <f>IFERROR(__xludf.DUMMYFUNCTION("""COMPUTED_VALUE"""),"Optional")</f>
        <v>Optional</v>
      </c>
      <c r="Y103" t="str">
        <f>IFERROR(__xludf.DUMMYFUNCTION("""COMPUTED_VALUE"""),"Not specified")</f>
        <v>Not specified</v>
      </c>
      <c r="Z103" t="str">
        <f>IFERROR(__xludf.DUMMYFUNCTION("""COMPUTED_VALUE"""),"Not specified")</f>
        <v>Not specified</v>
      </c>
      <c r="AA103" t="str">
        <f>IFERROR(__xludf.DUMMYFUNCTION("""COMPUTED_VALUE"""),"")</f>
        <v/>
      </c>
      <c r="AB103"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3" s="78" t="str">
        <f>IFERROR(__xludf.DUMMYFUNCTION("""COMPUTED_VALUE"""),"https://www.nature.com/nbt/for-referees/policies-and-processes")</f>
        <v>https://www.nature.com/nbt/for-referees/policies-and-processes</v>
      </c>
      <c r="AD103" t="str">
        <f>IFERROR(__xludf.DUMMYFUNCTION("""COMPUTED_VALUE"""),"Unsure")</f>
        <v>Unsure</v>
      </c>
      <c r="AE103" t="str">
        <f>IFERROR(__xludf.DUMMYFUNCTION("""COMPUTED_VALUE"""),"Unsure")</f>
        <v>Unsure</v>
      </c>
      <c r="AF103" t="str">
        <f>IFERROR(__xludf.DUMMYFUNCTION("""COMPUTED_VALUE"""),"Unsure")</f>
        <v>Unsure</v>
      </c>
      <c r="AG103" s="78" t="str">
        <f>IFERROR(__xludf.DUMMYFUNCTION("""COMPUTED_VALUE"""),"https://www.nature.com/authors/policies/preprints.html")</f>
        <v>https://www.nature.com/authors/policies/preprints.html</v>
      </c>
      <c r="AH103" t="str">
        <f>IFERROR(__xludf.DUMMYFUNCTION("""COMPUTED_VALUE"""),"First submission only (before peer review)")</f>
        <v>First submission only (before peer review)</v>
      </c>
      <c r="AI103" t="str">
        <f>IFERROR(__xludf.DUMMYFUNCTION("""COMPUTED_VALUE"""),"Not specified")</f>
        <v>Not specified</v>
      </c>
      <c r="AJ103" t="str">
        <f>IFERROR(__xludf.DUMMYFUNCTION("""COMPUTED_VALUE"""),"Yes, in the reference list")</f>
        <v>Yes, in the reference list</v>
      </c>
      <c r="AK103" t="str">
        <f>IFERROR(__xludf.DUMMYFUNCTION("""COMPUTED_VALUE"""),"")</f>
        <v/>
      </c>
      <c r="AL103"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3" t="str">
        <f>IFERROR(__xludf.DUMMYFUNCTION("""COMPUTED_VALUE"""),"")</f>
        <v/>
      </c>
      <c r="AN103" t="str">
        <f>IFERROR(__xludf.DUMMYFUNCTION("""COMPUTED_VALUE"""),"")</f>
        <v/>
      </c>
      <c r="AO103" t="str">
        <f>IFERROR(__xludf.DUMMYFUNCTION("""COMPUTED_VALUE"""),"")</f>
        <v/>
      </c>
      <c r="AP103" t="str">
        <f>IFERROR(__xludf.DUMMYFUNCTION("""COMPUTED_VALUE"""),"")</f>
        <v/>
      </c>
      <c r="AQ103" t="str">
        <f>IFERROR(__xludf.DUMMYFUNCTION("""COMPUTED_VALUE"""),"")</f>
        <v/>
      </c>
      <c r="AR103" t="str">
        <f>IFERROR(__xludf.DUMMYFUNCTION("""COMPUTED_VALUE"""),"")</f>
        <v/>
      </c>
    </row>
    <row r="104">
      <c r="A104" t="str">
        <f>IFERROR(__xludf.DUMMYFUNCTION("""COMPUTED_VALUE"""),"SR")</f>
        <v>SR</v>
      </c>
      <c r="B104" t="str">
        <f>IFERROR(__xludf.DUMMYFUNCTION("""COMPUTED_VALUE"""),"")</f>
        <v/>
      </c>
      <c r="C104" t="str">
        <f>IFERROR(__xludf.DUMMYFUNCTION("""COMPUTED_VALUE"""),"TRH")</f>
        <v>TRH</v>
      </c>
      <c r="D104" s="36">
        <f>IFERROR(__xludf.DUMMYFUNCTION("""COMPUTED_VALUE"""),43575.0)</f>
        <v>43575</v>
      </c>
      <c r="E104" t="str">
        <f>IFERROR(__xludf.DUMMYFUNCTION("""COMPUTED_VALUE"""),"JP")</f>
        <v>JP</v>
      </c>
      <c r="F104" s="36">
        <f>IFERROR(__xludf.DUMMYFUNCTION("""COMPUTED_VALUE"""),43581.0)</f>
        <v>43581</v>
      </c>
      <c r="G104" t="str">
        <f>IFERROR(__xludf.DUMMYFUNCTION("""COMPUTED_VALUE"""),"")</f>
        <v/>
      </c>
      <c r="H104" t="str">
        <f>IFERROR(__xludf.DUMMYFUNCTION("""COMPUTED_VALUE"""),"1476-4679")</f>
        <v>1476-4679</v>
      </c>
      <c r="I104" t="str">
        <f>IFERROR(__xludf.DUMMYFUNCTION("""COMPUTED_VALUE"""),"Nature Cell Biology")</f>
        <v>Nature Cell Biology</v>
      </c>
      <c r="J104" t="str">
        <f>IFERROR(__xludf.DUMMYFUNCTION("""COMPUTED_VALUE"""),"Life Sciences &amp; Earth Sciences")</f>
        <v>Life Sciences &amp; Earth Sciences</v>
      </c>
      <c r="K104" t="str">
        <f>IFERROR(__xludf.DUMMYFUNCTION("""COMPUTED_VALUE"""),"Springer Nature")</f>
        <v>Springer Nature</v>
      </c>
      <c r="L104"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4" s="78" t="str">
        <f>IFERROR(__xludf.DUMMYFUNCTION("""COMPUTED_VALUE"""),"https://www.nature.com/authors/policies/peer_review.html")</f>
        <v>https://www.nature.com/authors/policies/peer_review.html</v>
      </c>
      <c r="N104" t="str">
        <f>IFERROR(__xludf.DUMMYFUNCTION("""COMPUTED_VALUE"""),"")</f>
        <v/>
      </c>
      <c r="O104" s="78" t="str">
        <f>IFERROR(__xludf.DUMMYFUNCTION("""COMPUTED_VALUE"""),"https://www.nature.com/authors/policies/peer_review.html")</f>
        <v>https://www.nature.com/authors/policies/peer_review.html</v>
      </c>
      <c r="P104" t="str">
        <f>IFERROR(__xludf.DUMMYFUNCTION("""COMPUTED_VALUE"""),"Unsure")</f>
        <v>Unsure</v>
      </c>
      <c r="Q104"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4" s="78" t="str">
        <f>IFERROR(__xludf.DUMMYFUNCTION("""COMPUTED_VALUE"""),"https://www.nature.com/authors/author_resources/transfer_manuscripts.html")</f>
        <v>https://www.nature.com/authors/author_resources/transfer_manuscripts.html</v>
      </c>
      <c r="S104" t="str">
        <f>IFERROR(__xludf.DUMMYFUNCTION("""COMPUTED_VALUE"""),"Not specified")</f>
        <v>Not specified</v>
      </c>
      <c r="T104" t="str">
        <f>IFERROR(__xludf.DUMMYFUNCTION("""COMPUTED_VALUE"""),"Not specified")</f>
        <v>Not specified</v>
      </c>
      <c r="U104" t="str">
        <f>IFERROR(__xludf.DUMMYFUNCTION("""COMPUTED_VALUE"""),"Not specified")</f>
        <v>Not specified</v>
      </c>
      <c r="V104" t="str">
        <f>IFERROR(__xludf.DUMMYFUNCTION("""COMPUTED_VALUE"""),"Not specified")</f>
        <v>Not specified</v>
      </c>
      <c r="W104" t="str">
        <f>IFERROR(__xludf.DUMMYFUNCTION("""COMPUTED_VALUE"""),"Not specified")</f>
        <v>Not specified</v>
      </c>
      <c r="X104" t="str">
        <f>IFERROR(__xludf.DUMMYFUNCTION("""COMPUTED_VALUE"""),"Optional")</f>
        <v>Optional</v>
      </c>
      <c r="Y104" t="str">
        <f>IFERROR(__xludf.DUMMYFUNCTION("""COMPUTED_VALUE"""),"Not specified")</f>
        <v>Not specified</v>
      </c>
      <c r="Z104" t="str">
        <f>IFERROR(__xludf.DUMMYFUNCTION("""COMPUTED_VALUE"""),"Not specified")</f>
        <v>Not specified</v>
      </c>
      <c r="AA104" t="str">
        <f>IFERROR(__xludf.DUMMYFUNCTION("""COMPUTED_VALUE"""),"")</f>
        <v/>
      </c>
      <c r="AB104"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4" s="78" t="str">
        <f>IFERROR(__xludf.DUMMYFUNCTION("""COMPUTED_VALUE"""),"https://www.nature.com/ncb/for-referees/policies-and-processes")</f>
        <v>https://www.nature.com/ncb/for-referees/policies-and-processes</v>
      </c>
      <c r="AD104" t="str">
        <f>IFERROR(__xludf.DUMMYFUNCTION("""COMPUTED_VALUE"""),"Unsure")</f>
        <v>Unsure</v>
      </c>
      <c r="AE104" t="str">
        <f>IFERROR(__xludf.DUMMYFUNCTION("""COMPUTED_VALUE"""),"Unsure")</f>
        <v>Unsure</v>
      </c>
      <c r="AF104" t="str">
        <f>IFERROR(__xludf.DUMMYFUNCTION("""COMPUTED_VALUE"""),"Unsure")</f>
        <v>Unsure</v>
      </c>
      <c r="AG104" s="78" t="str">
        <f>IFERROR(__xludf.DUMMYFUNCTION("""COMPUTED_VALUE"""),"https://www.nature.com/authors/policies/preprints.html")</f>
        <v>https://www.nature.com/authors/policies/preprints.html</v>
      </c>
      <c r="AH104" t="str">
        <f>IFERROR(__xludf.DUMMYFUNCTION("""COMPUTED_VALUE"""),"First submission only (before peer review)")</f>
        <v>First submission only (before peer review)</v>
      </c>
      <c r="AI104" t="str">
        <f>IFERROR(__xludf.DUMMYFUNCTION("""COMPUTED_VALUE"""),"Not specified")</f>
        <v>Not specified</v>
      </c>
      <c r="AJ104" t="str">
        <f>IFERROR(__xludf.DUMMYFUNCTION("""COMPUTED_VALUE"""),"Yes, in the reference list")</f>
        <v>Yes, in the reference list</v>
      </c>
      <c r="AK104" t="str">
        <f>IFERROR(__xludf.DUMMYFUNCTION("""COMPUTED_VALUE"""),"")</f>
        <v/>
      </c>
      <c r="AL104"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4" t="str">
        <f>IFERROR(__xludf.DUMMYFUNCTION("""COMPUTED_VALUE"""),"")</f>
        <v/>
      </c>
      <c r="AN104" t="str">
        <f>IFERROR(__xludf.DUMMYFUNCTION("""COMPUTED_VALUE"""),"")</f>
        <v/>
      </c>
      <c r="AO104" t="str">
        <f>IFERROR(__xludf.DUMMYFUNCTION("""COMPUTED_VALUE"""),"")</f>
        <v/>
      </c>
      <c r="AP104" t="str">
        <f>IFERROR(__xludf.DUMMYFUNCTION("""COMPUTED_VALUE"""),"")</f>
        <v/>
      </c>
      <c r="AQ104" t="str">
        <f>IFERROR(__xludf.DUMMYFUNCTION("""COMPUTED_VALUE"""),"")</f>
        <v/>
      </c>
      <c r="AR104" t="str">
        <f>IFERROR(__xludf.DUMMYFUNCTION("""COMPUTED_VALUE"""),"")</f>
        <v/>
      </c>
    </row>
    <row r="105">
      <c r="A105" t="str">
        <f>IFERROR(__xludf.DUMMYFUNCTION("""COMPUTED_VALUE"""),"SR")</f>
        <v>SR</v>
      </c>
      <c r="B105" t="str">
        <f>IFERROR(__xludf.DUMMYFUNCTION("""COMPUTED_VALUE"""),"")</f>
        <v/>
      </c>
      <c r="C105" t="str">
        <f>IFERROR(__xludf.DUMMYFUNCTION("""COMPUTED_VALUE"""),"TRH")</f>
        <v>TRH</v>
      </c>
      <c r="D105" s="36">
        <f>IFERROR(__xludf.DUMMYFUNCTION("""COMPUTED_VALUE"""),43575.0)</f>
        <v>43575</v>
      </c>
      <c r="E105" t="str">
        <f>IFERROR(__xludf.DUMMYFUNCTION("""COMPUTED_VALUE"""),"JP")</f>
        <v>JP</v>
      </c>
      <c r="F105" s="36">
        <f>IFERROR(__xludf.DUMMYFUNCTION("""COMPUTED_VALUE"""),43581.0)</f>
        <v>43581</v>
      </c>
      <c r="G105" t="str">
        <f>IFERROR(__xludf.DUMMYFUNCTION("""COMPUTED_VALUE"""),"")</f>
        <v/>
      </c>
      <c r="H105" t="str">
        <f>IFERROR(__xludf.DUMMYFUNCTION("""COMPUTED_VALUE"""),"1755-4349")</f>
        <v>1755-4349</v>
      </c>
      <c r="I105" t="str">
        <f>IFERROR(__xludf.DUMMYFUNCTION("""COMPUTED_VALUE"""),"Nature Chemistry")</f>
        <v>Nature Chemistry</v>
      </c>
      <c r="J105" t="str">
        <f>IFERROR(__xludf.DUMMYFUNCTION("""COMPUTED_VALUE"""),"Chemical &amp; Materials Sciences")</f>
        <v>Chemical &amp; Materials Sciences</v>
      </c>
      <c r="K105" t="str">
        <f>IFERROR(__xludf.DUMMYFUNCTION("""COMPUTED_VALUE"""),"Springer Nature")</f>
        <v>Springer Nature</v>
      </c>
      <c r="L105"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5" s="78" t="str">
        <f>IFERROR(__xludf.DUMMYFUNCTION("""COMPUTED_VALUE"""),"https://www.nature.com/authors/policies/peer_review.html")</f>
        <v>https://www.nature.com/authors/policies/peer_review.html</v>
      </c>
      <c r="N105" t="str">
        <f>IFERROR(__xludf.DUMMYFUNCTION("""COMPUTED_VALUE"""),"")</f>
        <v/>
      </c>
      <c r="O105" s="78" t="str">
        <f>IFERROR(__xludf.DUMMYFUNCTION("""COMPUTED_VALUE"""),"https://www.nature.com/authors/policies/peer_review.html")</f>
        <v>https://www.nature.com/authors/policies/peer_review.html</v>
      </c>
      <c r="P105" t="str">
        <f>IFERROR(__xludf.DUMMYFUNCTION("""COMPUTED_VALUE"""),"Unsure")</f>
        <v>Unsure</v>
      </c>
      <c r="Q105"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5" s="78" t="str">
        <f>IFERROR(__xludf.DUMMYFUNCTION("""COMPUTED_VALUE"""),"https://www.nature.com/authors/author_resources/transfer_manuscripts.html")</f>
        <v>https://www.nature.com/authors/author_resources/transfer_manuscripts.html</v>
      </c>
      <c r="S105" t="str">
        <f>IFERROR(__xludf.DUMMYFUNCTION("""COMPUTED_VALUE"""),"Not specified")</f>
        <v>Not specified</v>
      </c>
      <c r="T105" t="str">
        <f>IFERROR(__xludf.DUMMYFUNCTION("""COMPUTED_VALUE"""),"Not specified")</f>
        <v>Not specified</v>
      </c>
      <c r="U105" t="str">
        <f>IFERROR(__xludf.DUMMYFUNCTION("""COMPUTED_VALUE"""),"Not specified")</f>
        <v>Not specified</v>
      </c>
      <c r="V105" t="str">
        <f>IFERROR(__xludf.DUMMYFUNCTION("""COMPUTED_VALUE"""),"Not specified")</f>
        <v>Not specified</v>
      </c>
      <c r="W105" t="str">
        <f>IFERROR(__xludf.DUMMYFUNCTION("""COMPUTED_VALUE"""),"Not specified")</f>
        <v>Not specified</v>
      </c>
      <c r="X105" t="str">
        <f>IFERROR(__xludf.DUMMYFUNCTION("""COMPUTED_VALUE"""),"Optional")</f>
        <v>Optional</v>
      </c>
      <c r="Y105" t="str">
        <f>IFERROR(__xludf.DUMMYFUNCTION("""COMPUTED_VALUE"""),"Not specified")</f>
        <v>Not specified</v>
      </c>
      <c r="Z105" t="str">
        <f>IFERROR(__xludf.DUMMYFUNCTION("""COMPUTED_VALUE"""),"Not specified")</f>
        <v>Not specified</v>
      </c>
      <c r="AA105" t="str">
        <f>IFERROR(__xludf.DUMMYFUNCTION("""COMPUTED_VALUE"""),"")</f>
        <v/>
      </c>
      <c r="AB105"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5" s="78" t="str">
        <f>IFERROR(__xludf.DUMMYFUNCTION("""COMPUTED_VALUE"""),"https://www.nature.com/nchem/for-referees/policies-and-processes")</f>
        <v>https://www.nature.com/nchem/for-referees/policies-and-processes</v>
      </c>
      <c r="AD105" t="str">
        <f>IFERROR(__xludf.DUMMYFUNCTION("""COMPUTED_VALUE"""),"Unsure")</f>
        <v>Unsure</v>
      </c>
      <c r="AE105" t="str">
        <f>IFERROR(__xludf.DUMMYFUNCTION("""COMPUTED_VALUE"""),"Unsure")</f>
        <v>Unsure</v>
      </c>
      <c r="AF105" t="str">
        <f>IFERROR(__xludf.DUMMYFUNCTION("""COMPUTED_VALUE"""),"Unsure")</f>
        <v>Unsure</v>
      </c>
      <c r="AG105" s="78" t="str">
        <f>IFERROR(__xludf.DUMMYFUNCTION("""COMPUTED_VALUE"""),"https://www.nature.com/authors/policies/preprints.html")</f>
        <v>https://www.nature.com/authors/policies/preprints.html</v>
      </c>
      <c r="AH105" t="str">
        <f>IFERROR(__xludf.DUMMYFUNCTION("""COMPUTED_VALUE"""),"First submission only (before peer review)")</f>
        <v>First submission only (before peer review)</v>
      </c>
      <c r="AI105" t="str">
        <f>IFERROR(__xludf.DUMMYFUNCTION("""COMPUTED_VALUE"""),"Not specified")</f>
        <v>Not specified</v>
      </c>
      <c r="AJ105" t="str">
        <f>IFERROR(__xludf.DUMMYFUNCTION("""COMPUTED_VALUE"""),"Yes, in the reference list")</f>
        <v>Yes, in the reference list</v>
      </c>
      <c r="AK105" t="str">
        <f>IFERROR(__xludf.DUMMYFUNCTION("""COMPUTED_VALUE"""),"")</f>
        <v/>
      </c>
      <c r="AL105"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5" t="str">
        <f>IFERROR(__xludf.DUMMYFUNCTION("""COMPUTED_VALUE"""),"")</f>
        <v/>
      </c>
      <c r="AN105" t="str">
        <f>IFERROR(__xludf.DUMMYFUNCTION("""COMPUTED_VALUE"""),"")</f>
        <v/>
      </c>
      <c r="AO105" t="str">
        <f>IFERROR(__xludf.DUMMYFUNCTION("""COMPUTED_VALUE"""),"")</f>
        <v/>
      </c>
      <c r="AP105" t="str">
        <f>IFERROR(__xludf.DUMMYFUNCTION("""COMPUTED_VALUE"""),"")</f>
        <v/>
      </c>
      <c r="AQ105" t="str">
        <f>IFERROR(__xludf.DUMMYFUNCTION("""COMPUTED_VALUE"""),"")</f>
        <v/>
      </c>
      <c r="AR105" t="str">
        <f>IFERROR(__xludf.DUMMYFUNCTION("""COMPUTED_VALUE"""),"")</f>
        <v/>
      </c>
    </row>
    <row r="106">
      <c r="A106" t="str">
        <f>IFERROR(__xludf.DUMMYFUNCTION("""COMPUTED_VALUE"""),"SR")</f>
        <v>SR</v>
      </c>
      <c r="B106" t="str">
        <f>IFERROR(__xludf.DUMMYFUNCTION("""COMPUTED_VALUE"""),"")</f>
        <v/>
      </c>
      <c r="C106" t="str">
        <f>IFERROR(__xludf.DUMMYFUNCTION("""COMPUTED_VALUE"""),"TRH")</f>
        <v>TRH</v>
      </c>
      <c r="D106" s="36">
        <f>IFERROR(__xludf.DUMMYFUNCTION("""COMPUTED_VALUE"""),43575.0)</f>
        <v>43575</v>
      </c>
      <c r="E106" t="str">
        <f>IFERROR(__xludf.DUMMYFUNCTION("""COMPUTED_VALUE"""),"JP")</f>
        <v>JP</v>
      </c>
      <c r="F106" s="36">
        <f>IFERROR(__xludf.DUMMYFUNCTION("""COMPUTED_VALUE"""),43581.0)</f>
        <v>43581</v>
      </c>
      <c r="G106" t="str">
        <f>IFERROR(__xludf.DUMMYFUNCTION("""COMPUTED_VALUE"""),"")</f>
        <v/>
      </c>
      <c r="H106" t="str">
        <f>IFERROR(__xludf.DUMMYFUNCTION("""COMPUTED_VALUE"""),"1758-6798")</f>
        <v>1758-6798</v>
      </c>
      <c r="I106" t="str">
        <f>IFERROR(__xludf.DUMMYFUNCTION("""COMPUTED_VALUE"""),"Nature Climate Change")</f>
        <v>Nature Climate Change</v>
      </c>
      <c r="J106" t="str">
        <f>IFERROR(__xludf.DUMMYFUNCTION("""COMPUTED_VALUE"""),"Life Sciences &amp; Earth Sciences")</f>
        <v>Life Sciences &amp; Earth Sciences</v>
      </c>
      <c r="K106" t="str">
        <f>IFERROR(__xludf.DUMMYFUNCTION("""COMPUTED_VALUE"""),"Springer Nature")</f>
        <v>Springer Nature</v>
      </c>
      <c r="L106"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6" s="78" t="str">
        <f>IFERROR(__xludf.DUMMYFUNCTION("""COMPUTED_VALUE"""),"https://www.nature.com/authors/policies/peer_review.html")</f>
        <v>https://www.nature.com/authors/policies/peer_review.html</v>
      </c>
      <c r="N106" t="str">
        <f>IFERROR(__xludf.DUMMYFUNCTION("""COMPUTED_VALUE"""),"")</f>
        <v/>
      </c>
      <c r="O106" s="78" t="str">
        <f>IFERROR(__xludf.DUMMYFUNCTION("""COMPUTED_VALUE"""),"https://www.nature.com/authors/policies/peer_review.html")</f>
        <v>https://www.nature.com/authors/policies/peer_review.html</v>
      </c>
      <c r="P106" t="str">
        <f>IFERROR(__xludf.DUMMYFUNCTION("""COMPUTED_VALUE"""),"Unsure")</f>
        <v>Unsure</v>
      </c>
      <c r="Q106"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6" s="78" t="str">
        <f>IFERROR(__xludf.DUMMYFUNCTION("""COMPUTED_VALUE"""),"https://www.nature.com/authors/author_resources/transfer_manuscripts.html")</f>
        <v>https://www.nature.com/authors/author_resources/transfer_manuscripts.html</v>
      </c>
      <c r="S106" t="str">
        <f>IFERROR(__xludf.DUMMYFUNCTION("""COMPUTED_VALUE"""),"Not specified")</f>
        <v>Not specified</v>
      </c>
      <c r="T106" t="str">
        <f>IFERROR(__xludf.DUMMYFUNCTION("""COMPUTED_VALUE"""),"Not specified")</f>
        <v>Not specified</v>
      </c>
      <c r="U106" t="str">
        <f>IFERROR(__xludf.DUMMYFUNCTION("""COMPUTED_VALUE"""),"Not specified")</f>
        <v>Not specified</v>
      </c>
      <c r="V106" t="str">
        <f>IFERROR(__xludf.DUMMYFUNCTION("""COMPUTED_VALUE"""),"Not specified")</f>
        <v>Not specified</v>
      </c>
      <c r="W106" t="str">
        <f>IFERROR(__xludf.DUMMYFUNCTION("""COMPUTED_VALUE"""),"Not specified")</f>
        <v>Not specified</v>
      </c>
      <c r="X106" t="str">
        <f>IFERROR(__xludf.DUMMYFUNCTION("""COMPUTED_VALUE"""),"Optional")</f>
        <v>Optional</v>
      </c>
      <c r="Y106" t="str">
        <f>IFERROR(__xludf.DUMMYFUNCTION("""COMPUTED_VALUE"""),"Not specified")</f>
        <v>Not specified</v>
      </c>
      <c r="Z106" t="str">
        <f>IFERROR(__xludf.DUMMYFUNCTION("""COMPUTED_VALUE"""),"Not specified")</f>
        <v>Not specified</v>
      </c>
      <c r="AA106" t="str">
        <f>IFERROR(__xludf.DUMMYFUNCTION("""COMPUTED_VALUE"""),"")</f>
        <v/>
      </c>
      <c r="AB106"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6" s="78" t="str">
        <f>IFERROR(__xludf.DUMMYFUNCTION("""COMPUTED_VALUE"""),"https://www.nature.com/nclimate/for-referees/policies-and-processes")</f>
        <v>https://www.nature.com/nclimate/for-referees/policies-and-processes</v>
      </c>
      <c r="AD106" t="str">
        <f>IFERROR(__xludf.DUMMYFUNCTION("""COMPUTED_VALUE"""),"Unsure")</f>
        <v>Unsure</v>
      </c>
      <c r="AE106" t="str">
        <f>IFERROR(__xludf.DUMMYFUNCTION("""COMPUTED_VALUE"""),"Unsure")</f>
        <v>Unsure</v>
      </c>
      <c r="AF106" t="str">
        <f>IFERROR(__xludf.DUMMYFUNCTION("""COMPUTED_VALUE"""),"Unsure")</f>
        <v>Unsure</v>
      </c>
      <c r="AG106" s="78" t="str">
        <f>IFERROR(__xludf.DUMMYFUNCTION("""COMPUTED_VALUE"""),"https://www.nature.com/authors/policies/preprints.html")</f>
        <v>https://www.nature.com/authors/policies/preprints.html</v>
      </c>
      <c r="AH106" t="str">
        <f>IFERROR(__xludf.DUMMYFUNCTION("""COMPUTED_VALUE"""),"First submission only (before peer review)")</f>
        <v>First submission only (before peer review)</v>
      </c>
      <c r="AI106" t="str">
        <f>IFERROR(__xludf.DUMMYFUNCTION("""COMPUTED_VALUE"""),"Not specified")</f>
        <v>Not specified</v>
      </c>
      <c r="AJ106" t="str">
        <f>IFERROR(__xludf.DUMMYFUNCTION("""COMPUTED_VALUE"""),"Yes, in the reference list")</f>
        <v>Yes, in the reference list</v>
      </c>
      <c r="AK106" t="str">
        <f>IFERROR(__xludf.DUMMYFUNCTION("""COMPUTED_VALUE"""),"")</f>
        <v/>
      </c>
      <c r="AL106"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6" t="str">
        <f>IFERROR(__xludf.DUMMYFUNCTION("""COMPUTED_VALUE"""),"")</f>
        <v/>
      </c>
      <c r="AN106" t="str">
        <f>IFERROR(__xludf.DUMMYFUNCTION("""COMPUTED_VALUE"""),"")</f>
        <v/>
      </c>
      <c r="AO106" t="str">
        <f>IFERROR(__xludf.DUMMYFUNCTION("""COMPUTED_VALUE"""),"")</f>
        <v/>
      </c>
      <c r="AP106" t="str">
        <f>IFERROR(__xludf.DUMMYFUNCTION("""COMPUTED_VALUE"""),"")</f>
        <v/>
      </c>
      <c r="AQ106" t="str">
        <f>IFERROR(__xludf.DUMMYFUNCTION("""COMPUTED_VALUE"""),"")</f>
        <v/>
      </c>
      <c r="AR106" t="str">
        <f>IFERROR(__xludf.DUMMYFUNCTION("""COMPUTED_VALUE"""),"")</f>
        <v/>
      </c>
    </row>
    <row r="107">
      <c r="A107" t="str">
        <f>IFERROR(__xludf.DUMMYFUNCTION("""COMPUTED_VALUE"""),"SR")</f>
        <v>SR</v>
      </c>
      <c r="B107" t="str">
        <f>IFERROR(__xludf.DUMMYFUNCTION("""COMPUTED_VALUE"""),"")</f>
        <v/>
      </c>
      <c r="C107" t="str">
        <f>IFERROR(__xludf.DUMMYFUNCTION("""COMPUTED_VALUE"""),"TRH")</f>
        <v>TRH</v>
      </c>
      <c r="D107" s="36">
        <f>IFERROR(__xludf.DUMMYFUNCTION("""COMPUTED_VALUE"""),43575.0)</f>
        <v>43575</v>
      </c>
      <c r="E107" t="str">
        <f>IFERROR(__xludf.DUMMYFUNCTION("""COMPUTED_VALUE"""),"JP")</f>
        <v>JP</v>
      </c>
      <c r="F107" s="36">
        <f>IFERROR(__xludf.DUMMYFUNCTION("""COMPUTED_VALUE"""),43583.0)</f>
        <v>43583</v>
      </c>
      <c r="G107" t="str">
        <f>IFERROR(__xludf.DUMMYFUNCTION("""COMPUTED_VALUE"""),"")</f>
        <v/>
      </c>
      <c r="H107" t="str">
        <f>IFERROR(__xludf.DUMMYFUNCTION("""COMPUTED_VALUE"""),"2041-1723")</f>
        <v>2041-1723</v>
      </c>
      <c r="I107" t="str">
        <f>IFERROR(__xludf.DUMMYFUNCTION("""COMPUTED_VALUE"""),"Nature Communications")</f>
        <v>Nature Communications</v>
      </c>
      <c r="J107" t="str">
        <f>IFERROR(__xludf.DUMMYFUNCTION("""COMPUTED_VALUE"""),"Life Sciences &amp; Earth Sciences")</f>
        <v>Life Sciences &amp; Earth Sciences</v>
      </c>
      <c r="K107" t="str">
        <f>IFERROR(__xludf.DUMMYFUNCTION("""COMPUTED_VALUE"""),"")</f>
        <v/>
      </c>
      <c r="L107"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7" s="78" t="str">
        <f>IFERROR(__xludf.DUMMYFUNCTION("""COMPUTED_VALUE"""),"https://www.nature.com/authors/policies/peer_review.html")</f>
        <v>https://www.nature.com/authors/policies/peer_review.html</v>
      </c>
      <c r="N107" t="str">
        <f>IFERROR(__xludf.DUMMYFUNCTION("""COMPUTED_VALUE"""),"Not found")</f>
        <v>Not found</v>
      </c>
      <c r="O107" s="78" t="str">
        <f>IFERROR(__xludf.DUMMYFUNCTION("""COMPUTED_VALUE"""),"https://www.nature.com/ncomms/journal-policies/guide-to-referees")</f>
        <v>https://www.nature.com/ncomms/journal-policies/guide-to-referees</v>
      </c>
      <c r="P107" t="str">
        <f>IFERROR(__xludf.DUMMYFUNCTION("""COMPUTED_VALUE"""),"Unsure")</f>
        <v>Unsure</v>
      </c>
      <c r="Q107"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7" s="78" t="str">
        <f>IFERROR(__xludf.DUMMYFUNCTION("""COMPUTED_VALUE"""),"https://www.nature.com/authors/author_resources/transfer_manuscripts.html")</f>
        <v>https://www.nature.com/authors/author_resources/transfer_manuscripts.html</v>
      </c>
      <c r="S107" t="str">
        <f>IFERROR(__xludf.DUMMYFUNCTION("""COMPUTED_VALUE"""),"Optional")</f>
        <v>Optional</v>
      </c>
      <c r="T107" t="str">
        <f>IFERROR(__xludf.DUMMYFUNCTION("""COMPUTED_VALUE"""),"Optional")</f>
        <v>Optional</v>
      </c>
      <c r="U107" t="str">
        <f>IFERROR(__xludf.DUMMYFUNCTION("""COMPUTED_VALUE"""),"Not specified")</f>
        <v>Not specified</v>
      </c>
      <c r="V107" t="str">
        <f>IFERROR(__xludf.DUMMYFUNCTION("""COMPUTED_VALUE"""),"Not specified")</f>
        <v>Not specified</v>
      </c>
      <c r="W107" t="str">
        <f>IFERROR(__xludf.DUMMYFUNCTION("""COMPUTED_VALUE"""),"Optional")</f>
        <v>Optional</v>
      </c>
      <c r="X107" t="str">
        <f>IFERROR(__xludf.DUMMYFUNCTION("""COMPUTED_VALUE"""),"Optional")</f>
        <v>Optional</v>
      </c>
      <c r="Y107" t="str">
        <f>IFERROR(__xludf.DUMMYFUNCTION("""COMPUTED_VALUE"""),"Not specified")</f>
        <v>Not specified</v>
      </c>
      <c r="Z107" t="str">
        <f>IFERROR(__xludf.DUMMYFUNCTION("""COMPUTED_VALUE"""),"Not specified")</f>
        <v>Not specified</v>
      </c>
      <c r="AA107" t="str">
        <f>IFERROR(__xludf.DUMMYFUNCTION("""COMPUTED_VALUE"""),"")</f>
        <v/>
      </c>
      <c r="AB107" t="str">
        <f>IFERROR(__xludf.DUMMYFUNCTION("""COMPUTED_VALUE"""),"We ask referees to treat the review process as strictly confidential, and not to discuss the manuscript with anyone not directly involved in the review. It is acceptable to consult with laboratory colleagues, but please identify them to the editors. Consu"&amp;"lting with experts from outside the referee's own laboratory may be acceptable, but please check with the editors before doing so, to avoid involving anyone who may have been excluded by the authors.")</f>
        <v>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7" s="78" t="str">
        <f>IFERROR(__xludf.DUMMYFUNCTION("""COMPUTED_VALUE"""),"https://www.nature.com/ncomms/journal-policies/guide-to-referees")</f>
        <v>https://www.nature.com/ncomms/journal-policies/guide-to-referees</v>
      </c>
      <c r="AD107" t="str">
        <f>IFERROR(__xludf.DUMMYFUNCTION("""COMPUTED_VALUE"""),"Unsure")</f>
        <v>Unsure</v>
      </c>
      <c r="AE107" t="str">
        <f>IFERROR(__xludf.DUMMYFUNCTION("""COMPUTED_VALUE"""),"Unsure")</f>
        <v>Unsure</v>
      </c>
      <c r="AF107" t="str">
        <f>IFERROR(__xludf.DUMMYFUNCTION("""COMPUTED_VALUE"""),"Unsure")</f>
        <v>Unsure</v>
      </c>
      <c r="AG107" s="78" t="str">
        <f>IFERROR(__xludf.DUMMYFUNCTION("""COMPUTED_VALUE"""),"https://www.nature.com/authors/policies/preprints.html")</f>
        <v>https://www.nature.com/authors/policies/preprints.html</v>
      </c>
      <c r="AH107" t="str">
        <f>IFERROR(__xludf.DUMMYFUNCTION("""COMPUTED_VALUE"""),"First submission only (before peer review)")</f>
        <v>First submission only (before peer review)</v>
      </c>
      <c r="AI107" t="str">
        <f>IFERROR(__xludf.DUMMYFUNCTION("""COMPUTED_VALUE"""),"Not specified")</f>
        <v>Not specified</v>
      </c>
      <c r="AJ107" t="str">
        <f>IFERROR(__xludf.DUMMYFUNCTION("""COMPUTED_VALUE"""),"Yes, in the reference list.")</f>
        <v>Yes, in the reference list.</v>
      </c>
      <c r="AK107" t="str">
        <f>IFERROR(__xludf.DUMMYFUNCTION("""COMPUTED_VALUE"""),"Yes")</f>
        <v>Yes</v>
      </c>
      <c r="AL107"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7" t="str">
        <f>IFERROR(__xludf.DUMMYFUNCTION("""COMPUTED_VALUE"""),"")</f>
        <v/>
      </c>
      <c r="AN107" t="str">
        <f>IFERROR(__xludf.DUMMYFUNCTION("""COMPUTED_VALUE"""),"")</f>
        <v/>
      </c>
      <c r="AO107" t="str">
        <f>IFERROR(__xludf.DUMMYFUNCTION("""COMPUTED_VALUE"""),"Not specified")</f>
        <v>Not specified</v>
      </c>
      <c r="AP107" t="str">
        <f>IFERROR(__xludf.DUMMYFUNCTION("""COMPUTED_VALUE"""),"")</f>
        <v/>
      </c>
      <c r="AQ107" t="str">
        <f>IFERROR(__xludf.DUMMYFUNCTION("""COMPUTED_VALUE"""),"")</f>
        <v/>
      </c>
      <c r="AR107" t="str">
        <f>IFERROR(__xludf.DUMMYFUNCTION("""COMPUTED_VALUE"""),"")</f>
        <v/>
      </c>
    </row>
    <row r="108">
      <c r="A108" t="str">
        <f>IFERROR(__xludf.DUMMYFUNCTION("""COMPUTED_VALUE"""),"SR")</f>
        <v>SR</v>
      </c>
      <c r="B108" t="str">
        <f>IFERROR(__xludf.DUMMYFUNCTION("""COMPUTED_VALUE"""),"")</f>
        <v/>
      </c>
      <c r="C108" t="str">
        <f>IFERROR(__xludf.DUMMYFUNCTION("""COMPUTED_VALUE"""),"TRH")</f>
        <v>TRH</v>
      </c>
      <c r="D108" s="36">
        <f>IFERROR(__xludf.DUMMYFUNCTION("""COMPUTED_VALUE"""),43575.0)</f>
        <v>43575</v>
      </c>
      <c r="E108" t="str">
        <f>IFERROR(__xludf.DUMMYFUNCTION("""COMPUTED_VALUE"""),"JP")</f>
        <v>JP</v>
      </c>
      <c r="F108" s="36">
        <f>IFERROR(__xludf.DUMMYFUNCTION("""COMPUTED_VALUE"""),43581.0)</f>
        <v>43581</v>
      </c>
      <c r="G108" t="str">
        <f>IFERROR(__xludf.DUMMYFUNCTION("""COMPUTED_VALUE"""),"")</f>
        <v/>
      </c>
      <c r="H108" t="str">
        <f>IFERROR(__xludf.DUMMYFUNCTION("""COMPUTED_VALUE"""),"1546-1718")</f>
        <v>1546-1718</v>
      </c>
      <c r="I108" t="str">
        <f>IFERROR(__xludf.DUMMYFUNCTION("""COMPUTED_VALUE"""),"Nature Genetics")</f>
        <v>Nature Genetics</v>
      </c>
      <c r="J108" t="str">
        <f>IFERROR(__xludf.DUMMYFUNCTION("""COMPUTED_VALUE"""),"Health &amp; Medical Sciences,
Life Sciences &amp; Earth Sciences")</f>
        <v>Health &amp; Medical Sciences,
Life Sciences &amp; Earth Sciences</v>
      </c>
      <c r="K108" t="str">
        <f>IFERROR(__xludf.DUMMYFUNCTION("""COMPUTED_VALUE"""),"Springer Nature")</f>
        <v>Springer Nature</v>
      </c>
      <c r="L108"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8" s="78" t="str">
        <f>IFERROR(__xludf.DUMMYFUNCTION("""COMPUTED_VALUE"""),"https://www.nature.com/authors/policies/peer_review.html")</f>
        <v>https://www.nature.com/authors/policies/peer_review.html</v>
      </c>
      <c r="N108" t="str">
        <f>IFERROR(__xludf.DUMMYFUNCTION("""COMPUTED_VALUE"""),"")</f>
        <v/>
      </c>
      <c r="O108" s="78" t="str">
        <f>IFERROR(__xludf.DUMMYFUNCTION("""COMPUTED_VALUE"""),"https://www.nature.com/authors/policies/peer_review.html")</f>
        <v>https://www.nature.com/authors/policies/peer_review.html</v>
      </c>
      <c r="P108" t="str">
        <f>IFERROR(__xludf.DUMMYFUNCTION("""COMPUTED_VALUE"""),"Unsure")</f>
        <v>Unsure</v>
      </c>
      <c r="Q108"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8" s="78" t="str">
        <f>IFERROR(__xludf.DUMMYFUNCTION("""COMPUTED_VALUE"""),"https://www.nature.com/authors/author_resources/transfer_manuscripts.html")</f>
        <v>https://www.nature.com/authors/author_resources/transfer_manuscripts.html</v>
      </c>
      <c r="S108" t="str">
        <f>IFERROR(__xludf.DUMMYFUNCTION("""COMPUTED_VALUE"""),"Not specified")</f>
        <v>Not specified</v>
      </c>
      <c r="T108" t="str">
        <f>IFERROR(__xludf.DUMMYFUNCTION("""COMPUTED_VALUE"""),"Not specified")</f>
        <v>Not specified</v>
      </c>
      <c r="U108" t="str">
        <f>IFERROR(__xludf.DUMMYFUNCTION("""COMPUTED_VALUE"""),"Not specified")</f>
        <v>Not specified</v>
      </c>
      <c r="V108" t="str">
        <f>IFERROR(__xludf.DUMMYFUNCTION("""COMPUTED_VALUE"""),"Not specified")</f>
        <v>Not specified</v>
      </c>
      <c r="W108" t="str">
        <f>IFERROR(__xludf.DUMMYFUNCTION("""COMPUTED_VALUE"""),"Not specified")</f>
        <v>Not specified</v>
      </c>
      <c r="X108" t="str">
        <f>IFERROR(__xludf.DUMMYFUNCTION("""COMPUTED_VALUE"""),"Optional")</f>
        <v>Optional</v>
      </c>
      <c r="Y108" t="str">
        <f>IFERROR(__xludf.DUMMYFUNCTION("""COMPUTED_VALUE"""),"Not specified")</f>
        <v>Not specified</v>
      </c>
      <c r="Z108" t="str">
        <f>IFERROR(__xludf.DUMMYFUNCTION("""COMPUTED_VALUE"""),"Not specified")</f>
        <v>Not specified</v>
      </c>
      <c r="AA108" t="str">
        <f>IFERROR(__xludf.DUMMYFUNCTION("""COMPUTED_VALUE"""),"")</f>
        <v/>
      </c>
      <c r="AB108"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8" s="78" t="str">
        <f>IFERROR(__xludf.DUMMYFUNCTION("""COMPUTED_VALUE"""),"https://www.nature.com/ng/for-referees/policies-and-processes")</f>
        <v>https://www.nature.com/ng/for-referees/policies-and-processes</v>
      </c>
      <c r="AD108" t="str">
        <f>IFERROR(__xludf.DUMMYFUNCTION("""COMPUTED_VALUE"""),"Unsure")</f>
        <v>Unsure</v>
      </c>
      <c r="AE108" t="str">
        <f>IFERROR(__xludf.DUMMYFUNCTION("""COMPUTED_VALUE"""),"Unsure")</f>
        <v>Unsure</v>
      </c>
      <c r="AF108" t="str">
        <f>IFERROR(__xludf.DUMMYFUNCTION("""COMPUTED_VALUE"""),"Unsure")</f>
        <v>Unsure</v>
      </c>
      <c r="AG108" s="78" t="str">
        <f>IFERROR(__xludf.DUMMYFUNCTION("""COMPUTED_VALUE"""),"https://www.nature.com/authors/policies/preprints.html")</f>
        <v>https://www.nature.com/authors/policies/preprints.html</v>
      </c>
      <c r="AH108" t="str">
        <f>IFERROR(__xludf.DUMMYFUNCTION("""COMPUTED_VALUE"""),"First submission only (before peer review)")</f>
        <v>First submission only (before peer review)</v>
      </c>
      <c r="AI108" t="str">
        <f>IFERROR(__xludf.DUMMYFUNCTION("""COMPUTED_VALUE"""),"Not specified")</f>
        <v>Not specified</v>
      </c>
      <c r="AJ108" t="str">
        <f>IFERROR(__xludf.DUMMYFUNCTION("""COMPUTED_VALUE"""),"Yes, in the reference list")</f>
        <v>Yes, in the reference list</v>
      </c>
      <c r="AK108" t="str">
        <f>IFERROR(__xludf.DUMMYFUNCTION("""COMPUTED_VALUE"""),"")</f>
        <v/>
      </c>
      <c r="AL108"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8" t="str">
        <f>IFERROR(__xludf.DUMMYFUNCTION("""COMPUTED_VALUE"""),"")</f>
        <v/>
      </c>
      <c r="AN108" t="str">
        <f>IFERROR(__xludf.DUMMYFUNCTION("""COMPUTED_VALUE"""),"")</f>
        <v/>
      </c>
      <c r="AO108" t="str">
        <f>IFERROR(__xludf.DUMMYFUNCTION("""COMPUTED_VALUE"""),"")</f>
        <v/>
      </c>
      <c r="AP108" t="str">
        <f>IFERROR(__xludf.DUMMYFUNCTION("""COMPUTED_VALUE"""),"")</f>
        <v/>
      </c>
      <c r="AQ108" t="str">
        <f>IFERROR(__xludf.DUMMYFUNCTION("""COMPUTED_VALUE"""),"")</f>
        <v/>
      </c>
      <c r="AR108" t="str">
        <f>IFERROR(__xludf.DUMMYFUNCTION("""COMPUTED_VALUE"""),"")</f>
        <v/>
      </c>
    </row>
    <row r="109">
      <c r="A109" t="str">
        <f>IFERROR(__xludf.DUMMYFUNCTION("""COMPUTED_VALUE"""),"SR")</f>
        <v>SR</v>
      </c>
      <c r="B109" t="str">
        <f>IFERROR(__xludf.DUMMYFUNCTION("""COMPUTED_VALUE"""),"")</f>
        <v/>
      </c>
      <c r="C109" t="str">
        <f>IFERROR(__xludf.DUMMYFUNCTION("""COMPUTED_VALUE"""),"TRH")</f>
        <v>TRH</v>
      </c>
      <c r="D109" s="36">
        <f>IFERROR(__xludf.DUMMYFUNCTION("""COMPUTED_VALUE"""),43575.0)</f>
        <v>43575</v>
      </c>
      <c r="E109" t="str">
        <f>IFERROR(__xludf.DUMMYFUNCTION("""COMPUTED_VALUE"""),"JP")</f>
        <v>JP</v>
      </c>
      <c r="F109" s="36">
        <f>IFERROR(__xludf.DUMMYFUNCTION("""COMPUTED_VALUE"""),43581.0)</f>
        <v>43581</v>
      </c>
      <c r="G109" t="str">
        <f>IFERROR(__xludf.DUMMYFUNCTION("""COMPUTED_VALUE"""),"")</f>
        <v/>
      </c>
      <c r="H109" t="str">
        <f>IFERROR(__xludf.DUMMYFUNCTION("""COMPUTED_VALUE"""),"1529-2916")</f>
        <v>1529-2916</v>
      </c>
      <c r="I109" t="str">
        <f>IFERROR(__xludf.DUMMYFUNCTION("""COMPUTED_VALUE"""),"Nature Immunology")</f>
        <v>Nature Immunology</v>
      </c>
      <c r="J109" t="str">
        <f>IFERROR(__xludf.DUMMYFUNCTION("""COMPUTED_VALUE"""),"")</f>
        <v/>
      </c>
      <c r="K109" t="str">
        <f>IFERROR(__xludf.DUMMYFUNCTION("""COMPUTED_VALUE"""),"Springer Nature")</f>
        <v>Springer Nature</v>
      </c>
      <c r="L109"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9" s="78" t="str">
        <f>IFERROR(__xludf.DUMMYFUNCTION("""COMPUTED_VALUE"""),"https://www.nature.com/authors/policies/peer_review.html")</f>
        <v>https://www.nature.com/authors/policies/peer_review.html</v>
      </c>
      <c r="N109" t="str">
        <f>IFERROR(__xludf.DUMMYFUNCTION("""COMPUTED_VALUE"""),"")</f>
        <v/>
      </c>
      <c r="O109" s="78" t="str">
        <f>IFERROR(__xludf.DUMMYFUNCTION("""COMPUTED_VALUE"""),"https://www.nature.com/authors/policies/peer_review.html")</f>
        <v>https://www.nature.com/authors/policies/peer_review.html</v>
      </c>
      <c r="P109" t="str">
        <f>IFERROR(__xludf.DUMMYFUNCTION("""COMPUTED_VALUE"""),"Unsure")</f>
        <v>Unsure</v>
      </c>
      <c r="Q109"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9" s="78" t="str">
        <f>IFERROR(__xludf.DUMMYFUNCTION("""COMPUTED_VALUE"""),"https://www.nature.com/authors/author_resources/transfer_manuscripts.html")</f>
        <v>https://www.nature.com/authors/author_resources/transfer_manuscripts.html</v>
      </c>
      <c r="S109" t="str">
        <f>IFERROR(__xludf.DUMMYFUNCTION("""COMPUTED_VALUE"""),"Not specified")</f>
        <v>Not specified</v>
      </c>
      <c r="T109" t="str">
        <f>IFERROR(__xludf.DUMMYFUNCTION("""COMPUTED_VALUE"""),"Not specified")</f>
        <v>Not specified</v>
      </c>
      <c r="U109" t="str">
        <f>IFERROR(__xludf.DUMMYFUNCTION("""COMPUTED_VALUE"""),"Not specified")</f>
        <v>Not specified</v>
      </c>
      <c r="V109" t="str">
        <f>IFERROR(__xludf.DUMMYFUNCTION("""COMPUTED_VALUE"""),"Not specified")</f>
        <v>Not specified</v>
      </c>
      <c r="W109" t="str">
        <f>IFERROR(__xludf.DUMMYFUNCTION("""COMPUTED_VALUE"""),"Not specified")</f>
        <v>Not specified</v>
      </c>
      <c r="X109" t="str">
        <f>IFERROR(__xludf.DUMMYFUNCTION("""COMPUTED_VALUE"""),"Optional")</f>
        <v>Optional</v>
      </c>
      <c r="Y109" t="str">
        <f>IFERROR(__xludf.DUMMYFUNCTION("""COMPUTED_VALUE"""),"Not specified")</f>
        <v>Not specified</v>
      </c>
      <c r="Z109" t="str">
        <f>IFERROR(__xludf.DUMMYFUNCTION("""COMPUTED_VALUE"""),"Not specified")</f>
        <v>Not specified</v>
      </c>
      <c r="AA109" t="str">
        <f>IFERROR(__xludf.DUMMYFUNCTION("""COMPUTED_VALUE"""),"")</f>
        <v/>
      </c>
      <c r="AB109"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9" s="78" t="str">
        <f>IFERROR(__xludf.DUMMYFUNCTION("""COMPUTED_VALUE"""),"https://www.nature.com/ni/for-referees/policies-and-processes")</f>
        <v>https://www.nature.com/ni/for-referees/policies-and-processes</v>
      </c>
      <c r="AD109" t="str">
        <f>IFERROR(__xludf.DUMMYFUNCTION("""COMPUTED_VALUE"""),"Unsure")</f>
        <v>Unsure</v>
      </c>
      <c r="AE109" t="str">
        <f>IFERROR(__xludf.DUMMYFUNCTION("""COMPUTED_VALUE"""),"Unsure")</f>
        <v>Unsure</v>
      </c>
      <c r="AF109" t="str">
        <f>IFERROR(__xludf.DUMMYFUNCTION("""COMPUTED_VALUE"""),"Unsure")</f>
        <v>Unsure</v>
      </c>
      <c r="AG109" s="78" t="str">
        <f>IFERROR(__xludf.DUMMYFUNCTION("""COMPUTED_VALUE"""),"https://www.nature.com/authors/policies/preprints.html")</f>
        <v>https://www.nature.com/authors/policies/preprints.html</v>
      </c>
      <c r="AH109" t="str">
        <f>IFERROR(__xludf.DUMMYFUNCTION("""COMPUTED_VALUE"""),"First submission only (before peer review)")</f>
        <v>First submission only (before peer review)</v>
      </c>
      <c r="AI109" t="str">
        <f>IFERROR(__xludf.DUMMYFUNCTION("""COMPUTED_VALUE"""),"Not specified")</f>
        <v>Not specified</v>
      </c>
      <c r="AJ109" t="str">
        <f>IFERROR(__xludf.DUMMYFUNCTION("""COMPUTED_VALUE"""),"Yes, in the reference list")</f>
        <v>Yes, in the reference list</v>
      </c>
      <c r="AK109" t="str">
        <f>IFERROR(__xludf.DUMMYFUNCTION("""COMPUTED_VALUE"""),"")</f>
        <v/>
      </c>
      <c r="AL109"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9" t="str">
        <f>IFERROR(__xludf.DUMMYFUNCTION("""COMPUTED_VALUE"""),"")</f>
        <v/>
      </c>
      <c r="AN109" t="str">
        <f>IFERROR(__xludf.DUMMYFUNCTION("""COMPUTED_VALUE"""),"")</f>
        <v/>
      </c>
      <c r="AO109" t="str">
        <f>IFERROR(__xludf.DUMMYFUNCTION("""COMPUTED_VALUE"""),"")</f>
        <v/>
      </c>
      <c r="AP109" t="str">
        <f>IFERROR(__xludf.DUMMYFUNCTION("""COMPUTED_VALUE"""),"")</f>
        <v/>
      </c>
      <c r="AQ109" t="str">
        <f>IFERROR(__xludf.DUMMYFUNCTION("""COMPUTED_VALUE"""),"")</f>
        <v/>
      </c>
      <c r="AR109" t="str">
        <f>IFERROR(__xludf.DUMMYFUNCTION("""COMPUTED_VALUE"""),"")</f>
        <v/>
      </c>
    </row>
    <row r="110">
      <c r="A110" t="str">
        <f>IFERROR(__xludf.DUMMYFUNCTION("""COMPUTED_VALUE"""),"SR")</f>
        <v>SR</v>
      </c>
      <c r="B110" t="str">
        <f>IFERROR(__xludf.DUMMYFUNCTION("""COMPUTED_VALUE"""),"")</f>
        <v/>
      </c>
      <c r="C110" t="str">
        <f>IFERROR(__xludf.DUMMYFUNCTION("""COMPUTED_VALUE"""),"TRH")</f>
        <v>TRH</v>
      </c>
      <c r="D110" s="36">
        <f>IFERROR(__xludf.DUMMYFUNCTION("""COMPUTED_VALUE"""),43575.0)</f>
        <v>43575</v>
      </c>
      <c r="E110" t="str">
        <f>IFERROR(__xludf.DUMMYFUNCTION("""COMPUTED_VALUE"""),"JP")</f>
        <v>JP</v>
      </c>
      <c r="F110" s="36">
        <f>IFERROR(__xludf.DUMMYFUNCTION("""COMPUTED_VALUE"""),43581.0)</f>
        <v>43581</v>
      </c>
      <c r="G110" t="str">
        <f>IFERROR(__xludf.DUMMYFUNCTION("""COMPUTED_VALUE"""),"")</f>
        <v/>
      </c>
      <c r="H110" t="str">
        <f>IFERROR(__xludf.DUMMYFUNCTION("""COMPUTED_VALUE"""),"1476-4660")</f>
        <v>1476-4660</v>
      </c>
      <c r="I110" t="str">
        <f>IFERROR(__xludf.DUMMYFUNCTION("""COMPUTED_VALUE"""),"Nature Materials")</f>
        <v>Nature Materials</v>
      </c>
      <c r="J110" t="str">
        <f>IFERROR(__xludf.DUMMYFUNCTION("""COMPUTED_VALUE"""),"Chemical &amp; Materials Sciences,
Engineering &amp; Computer Science")</f>
        <v>Chemical &amp; Materials Sciences,
Engineering &amp; Computer Science</v>
      </c>
      <c r="K110" t="str">
        <f>IFERROR(__xludf.DUMMYFUNCTION("""COMPUTED_VALUE"""),"Springer Nature")</f>
        <v>Springer Nature</v>
      </c>
      <c r="L110"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0" s="78" t="str">
        <f>IFERROR(__xludf.DUMMYFUNCTION("""COMPUTED_VALUE"""),"https://www.nature.com/authors/policies/peer_review.html")</f>
        <v>https://www.nature.com/authors/policies/peer_review.html</v>
      </c>
      <c r="N110" t="str">
        <f>IFERROR(__xludf.DUMMYFUNCTION("""COMPUTED_VALUE"""),"")</f>
        <v/>
      </c>
      <c r="O110" s="78" t="str">
        <f>IFERROR(__xludf.DUMMYFUNCTION("""COMPUTED_VALUE"""),"https://www.nature.com/authors/policies/peer_review.html")</f>
        <v>https://www.nature.com/authors/policies/peer_review.html</v>
      </c>
      <c r="P110" t="str">
        <f>IFERROR(__xludf.DUMMYFUNCTION("""COMPUTED_VALUE"""),"Unsure")</f>
        <v>Unsure</v>
      </c>
      <c r="Q110"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0" s="78" t="str">
        <f>IFERROR(__xludf.DUMMYFUNCTION("""COMPUTED_VALUE"""),"https://www.nature.com/authors/author_resources/transfer_manuscripts.html")</f>
        <v>https://www.nature.com/authors/author_resources/transfer_manuscripts.html</v>
      </c>
      <c r="S110" t="str">
        <f>IFERROR(__xludf.DUMMYFUNCTION("""COMPUTED_VALUE"""),"Not specified")</f>
        <v>Not specified</v>
      </c>
      <c r="T110" t="str">
        <f>IFERROR(__xludf.DUMMYFUNCTION("""COMPUTED_VALUE"""),"Not specified")</f>
        <v>Not specified</v>
      </c>
      <c r="U110" t="str">
        <f>IFERROR(__xludf.DUMMYFUNCTION("""COMPUTED_VALUE"""),"Not specified")</f>
        <v>Not specified</v>
      </c>
      <c r="V110" t="str">
        <f>IFERROR(__xludf.DUMMYFUNCTION("""COMPUTED_VALUE"""),"Not specified")</f>
        <v>Not specified</v>
      </c>
      <c r="W110" t="str">
        <f>IFERROR(__xludf.DUMMYFUNCTION("""COMPUTED_VALUE"""),"Not specified")</f>
        <v>Not specified</v>
      </c>
      <c r="X110" t="str">
        <f>IFERROR(__xludf.DUMMYFUNCTION("""COMPUTED_VALUE"""),"Optional")</f>
        <v>Optional</v>
      </c>
      <c r="Y110" t="str">
        <f>IFERROR(__xludf.DUMMYFUNCTION("""COMPUTED_VALUE"""),"Not specified")</f>
        <v>Not specified</v>
      </c>
      <c r="Z110" t="str">
        <f>IFERROR(__xludf.DUMMYFUNCTION("""COMPUTED_VALUE"""),"Not specified")</f>
        <v>Not specified</v>
      </c>
      <c r="AA110" t="str">
        <f>IFERROR(__xludf.DUMMYFUNCTION("""COMPUTED_VALUE"""),"")</f>
        <v/>
      </c>
      <c r="AB110"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0" s="78" t="str">
        <f>IFERROR(__xludf.DUMMYFUNCTION("""COMPUTED_VALUE"""),"https://www.nature.com/nmat/for-referees/policies-and-processes")</f>
        <v>https://www.nature.com/nmat/for-referees/policies-and-processes</v>
      </c>
      <c r="AD110" t="str">
        <f>IFERROR(__xludf.DUMMYFUNCTION("""COMPUTED_VALUE"""),"Unsure")</f>
        <v>Unsure</v>
      </c>
      <c r="AE110" t="str">
        <f>IFERROR(__xludf.DUMMYFUNCTION("""COMPUTED_VALUE"""),"Unsure")</f>
        <v>Unsure</v>
      </c>
      <c r="AF110" t="str">
        <f>IFERROR(__xludf.DUMMYFUNCTION("""COMPUTED_VALUE"""),"Unsure")</f>
        <v>Unsure</v>
      </c>
      <c r="AG110" s="78" t="str">
        <f>IFERROR(__xludf.DUMMYFUNCTION("""COMPUTED_VALUE"""),"https://www.nature.com/authors/policies/preprints.html")</f>
        <v>https://www.nature.com/authors/policies/preprints.html</v>
      </c>
      <c r="AH110" t="str">
        <f>IFERROR(__xludf.DUMMYFUNCTION("""COMPUTED_VALUE"""),"First submission only (before peer review)")</f>
        <v>First submission only (before peer review)</v>
      </c>
      <c r="AI110" t="str">
        <f>IFERROR(__xludf.DUMMYFUNCTION("""COMPUTED_VALUE"""),"Not specified")</f>
        <v>Not specified</v>
      </c>
      <c r="AJ110" t="str">
        <f>IFERROR(__xludf.DUMMYFUNCTION("""COMPUTED_VALUE"""),"Yes, in the reference list")</f>
        <v>Yes, in the reference list</v>
      </c>
      <c r="AK110" t="str">
        <f>IFERROR(__xludf.DUMMYFUNCTION("""COMPUTED_VALUE"""),"")</f>
        <v/>
      </c>
      <c r="AL110"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0" t="str">
        <f>IFERROR(__xludf.DUMMYFUNCTION("""COMPUTED_VALUE"""),"")</f>
        <v/>
      </c>
      <c r="AN110" t="str">
        <f>IFERROR(__xludf.DUMMYFUNCTION("""COMPUTED_VALUE"""),"")</f>
        <v/>
      </c>
      <c r="AO110" t="str">
        <f>IFERROR(__xludf.DUMMYFUNCTION("""COMPUTED_VALUE"""),"")</f>
        <v/>
      </c>
      <c r="AP110" t="str">
        <f>IFERROR(__xludf.DUMMYFUNCTION("""COMPUTED_VALUE"""),"")</f>
        <v/>
      </c>
      <c r="AQ110" t="str">
        <f>IFERROR(__xludf.DUMMYFUNCTION("""COMPUTED_VALUE"""),"")</f>
        <v/>
      </c>
      <c r="AR110" t="str">
        <f>IFERROR(__xludf.DUMMYFUNCTION("""COMPUTED_VALUE"""),"")</f>
        <v/>
      </c>
    </row>
    <row r="111">
      <c r="A111" t="str">
        <f>IFERROR(__xludf.DUMMYFUNCTION("""COMPUTED_VALUE"""),"SR")</f>
        <v>SR</v>
      </c>
      <c r="B111" t="str">
        <f>IFERROR(__xludf.DUMMYFUNCTION("""COMPUTED_VALUE"""),"")</f>
        <v/>
      </c>
      <c r="C111" t="str">
        <f>IFERROR(__xludf.DUMMYFUNCTION("""COMPUTED_VALUE"""),"SH")</f>
        <v>SH</v>
      </c>
      <c r="D111" s="36">
        <f>IFERROR(__xludf.DUMMYFUNCTION("""COMPUTED_VALUE"""),43574.0)</f>
        <v>43574</v>
      </c>
      <c r="E111" t="str">
        <f>IFERROR(__xludf.DUMMYFUNCTION("""COMPUTED_VALUE"""),"TRH")</f>
        <v>TRH</v>
      </c>
      <c r="F111" s="36">
        <f>IFERROR(__xludf.DUMMYFUNCTION("""COMPUTED_VALUE"""),43581.0)</f>
        <v>43581</v>
      </c>
      <c r="G111" s="36" t="str">
        <f>IFERROR(__xludf.DUMMYFUNCTION("""COMPUTED_VALUE"""),"")</f>
        <v/>
      </c>
      <c r="H111" t="str">
        <f>IFERROR(__xludf.DUMMYFUNCTION("""COMPUTED_VALUE"""),"1546-170X")</f>
        <v>1546-170X</v>
      </c>
      <c r="I111" t="str">
        <f>IFERROR(__xludf.DUMMYFUNCTION("""COMPUTED_VALUE"""),"Nature Medicine")</f>
        <v>Nature Medicine</v>
      </c>
      <c r="J111" t="str">
        <f>IFERROR(__xludf.DUMMYFUNCTION("""COMPUTED_VALUE"""),"Health &amp; Medical Sciences")</f>
        <v>Health &amp; Medical Sciences</v>
      </c>
      <c r="K111" t="str">
        <f>IFERROR(__xludf.DUMMYFUNCTION("""COMPUTED_VALUE"""),"Springer Nature")</f>
        <v>Springer Nature</v>
      </c>
      <c r="L111"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1" s="78" t="str">
        <f>IFERROR(__xludf.DUMMYFUNCTION("""COMPUTED_VALUE"""),"https://www.nature.com/authors/policies/peer_review.html")</f>
        <v>https://www.nature.com/authors/policies/peer_review.html</v>
      </c>
      <c r="N111" t="str">
        <f>IFERROR(__xludf.DUMMYFUNCTION("""COMPUTED_VALUE"""),"")</f>
        <v/>
      </c>
      <c r="O111" s="78" t="str">
        <f>IFERROR(__xludf.DUMMYFUNCTION("""COMPUTED_VALUE"""),"https://www.nature.com/authors/policies/peer_review.html")</f>
        <v>https://www.nature.com/authors/policies/peer_review.html</v>
      </c>
      <c r="P111" t="str">
        <f>IFERROR(__xludf.DUMMYFUNCTION("""COMPUTED_VALUE"""),"Unsure")</f>
        <v>Unsure</v>
      </c>
      <c r="Q111"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1" s="78" t="str">
        <f>IFERROR(__xludf.DUMMYFUNCTION("""COMPUTED_VALUE"""),"https://www.nature.com/authors/author_resources/transfer_manuscripts.html")</f>
        <v>https://www.nature.com/authors/author_resources/transfer_manuscripts.html</v>
      </c>
      <c r="S111" t="str">
        <f>IFERROR(__xludf.DUMMYFUNCTION("""COMPUTED_VALUE"""),"Not specified")</f>
        <v>Not specified</v>
      </c>
      <c r="T111" t="str">
        <f>IFERROR(__xludf.DUMMYFUNCTION("""COMPUTED_VALUE"""),"Not specified")</f>
        <v>Not specified</v>
      </c>
      <c r="U111" t="str">
        <f>IFERROR(__xludf.DUMMYFUNCTION("""COMPUTED_VALUE"""),"Not specified")</f>
        <v>Not specified</v>
      </c>
      <c r="V111" t="str">
        <f>IFERROR(__xludf.DUMMYFUNCTION("""COMPUTED_VALUE"""),"Not specified")</f>
        <v>Not specified</v>
      </c>
      <c r="W111" t="str">
        <f>IFERROR(__xludf.DUMMYFUNCTION("""COMPUTED_VALUE"""),"Not specified")</f>
        <v>Not specified</v>
      </c>
      <c r="X111" t="str">
        <f>IFERROR(__xludf.DUMMYFUNCTION("""COMPUTED_VALUE"""),"Optional")</f>
        <v>Optional</v>
      </c>
      <c r="Y111" t="str">
        <f>IFERROR(__xludf.DUMMYFUNCTION("""COMPUTED_VALUE"""),"Not specified")</f>
        <v>Not specified</v>
      </c>
      <c r="Z111" t="str">
        <f>IFERROR(__xludf.DUMMYFUNCTION("""COMPUTED_VALUE"""),"Not specified")</f>
        <v>Not specified</v>
      </c>
      <c r="AA111" t="str">
        <f>IFERROR(__xludf.DUMMYFUNCTION("""COMPUTED_VALUE"""),"")</f>
        <v/>
      </c>
      <c r="AB111"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1" s="78" t="str">
        <f>IFERROR(__xludf.DUMMYFUNCTION("""COMPUTED_VALUE"""),"https://www.nature.com/nm/for-referees/policies-and-processes")</f>
        <v>https://www.nature.com/nm/for-referees/policies-and-processes</v>
      </c>
      <c r="AD111" t="str">
        <f>IFERROR(__xludf.DUMMYFUNCTION("""COMPUTED_VALUE"""),"Unsure")</f>
        <v>Unsure</v>
      </c>
      <c r="AE111" t="str">
        <f>IFERROR(__xludf.DUMMYFUNCTION("""COMPUTED_VALUE"""),"Unsure")</f>
        <v>Unsure</v>
      </c>
      <c r="AF111" t="str">
        <f>IFERROR(__xludf.DUMMYFUNCTION("""COMPUTED_VALUE"""),"Unsure")</f>
        <v>Unsure</v>
      </c>
      <c r="AG111" s="78" t="str">
        <f>IFERROR(__xludf.DUMMYFUNCTION("""COMPUTED_VALUE"""),"https://www.nature.com/authors/policies/preprints.html")</f>
        <v>https://www.nature.com/authors/policies/preprints.html</v>
      </c>
      <c r="AH111" t="str">
        <f>IFERROR(__xludf.DUMMYFUNCTION("""COMPUTED_VALUE"""),"First submission only (before peer review)")</f>
        <v>First submission only (before peer review)</v>
      </c>
      <c r="AI111" t="str">
        <f>IFERROR(__xludf.DUMMYFUNCTION("""COMPUTED_VALUE"""),"Not specified")</f>
        <v>Not specified</v>
      </c>
      <c r="AJ111" t="str">
        <f>IFERROR(__xludf.DUMMYFUNCTION("""COMPUTED_VALUE"""),"Yes, in the reference list")</f>
        <v>Yes, in the reference list</v>
      </c>
      <c r="AK111" t="str">
        <f>IFERROR(__xludf.DUMMYFUNCTION("""COMPUTED_VALUE"""),"")</f>
        <v/>
      </c>
      <c r="AL111"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1" t="str">
        <f>IFERROR(__xludf.DUMMYFUNCTION("""COMPUTED_VALUE"""),"")</f>
        <v/>
      </c>
      <c r="AN111" t="str">
        <f>IFERROR(__xludf.DUMMYFUNCTION("""COMPUTED_VALUE"""),"")</f>
        <v/>
      </c>
      <c r="AO111" t="str">
        <f>IFERROR(__xludf.DUMMYFUNCTION("""COMPUTED_VALUE"""),"")</f>
        <v/>
      </c>
      <c r="AP111" t="str">
        <f>IFERROR(__xludf.DUMMYFUNCTION("""COMPUTED_VALUE"""),"")</f>
        <v/>
      </c>
      <c r="AQ111" t="str">
        <f>IFERROR(__xludf.DUMMYFUNCTION("""COMPUTED_VALUE"""),"")</f>
        <v/>
      </c>
      <c r="AR111" t="str">
        <f>IFERROR(__xludf.DUMMYFUNCTION("""COMPUTED_VALUE"""),"")</f>
        <v/>
      </c>
    </row>
    <row r="112">
      <c r="A112" t="str">
        <f>IFERROR(__xludf.DUMMYFUNCTION("""COMPUTED_VALUE"""),"SR")</f>
        <v>SR</v>
      </c>
      <c r="B112" t="str">
        <f>IFERROR(__xludf.DUMMYFUNCTION("""COMPUTED_VALUE"""),"")</f>
        <v/>
      </c>
      <c r="C112" t="str">
        <f>IFERROR(__xludf.DUMMYFUNCTION("""COMPUTED_VALUE"""),"SH")</f>
        <v>SH</v>
      </c>
      <c r="D112" s="36">
        <f>IFERROR(__xludf.DUMMYFUNCTION("""COMPUTED_VALUE"""),43574.0)</f>
        <v>43574</v>
      </c>
      <c r="E112" t="str">
        <f>IFERROR(__xludf.DUMMYFUNCTION("""COMPUTED_VALUE"""),"TRH")</f>
        <v>TRH</v>
      </c>
      <c r="F112" s="36">
        <f>IFERROR(__xludf.DUMMYFUNCTION("""COMPUTED_VALUE"""),43581.0)</f>
        <v>43581</v>
      </c>
      <c r="G112" s="36" t="str">
        <f>IFERROR(__xludf.DUMMYFUNCTION("""COMPUTED_VALUE"""),"")</f>
        <v/>
      </c>
      <c r="H112" t="str">
        <f>IFERROR(__xludf.DUMMYFUNCTION("""COMPUTED_VALUE"""),"1548-7105")</f>
        <v>1548-7105</v>
      </c>
      <c r="I112" t="str">
        <f>IFERROR(__xludf.DUMMYFUNCTION("""COMPUTED_VALUE"""),"Nature Methods")</f>
        <v>Nature Methods</v>
      </c>
      <c r="J112" t="str">
        <f>IFERROR(__xludf.DUMMYFUNCTION("""COMPUTED_VALUE"""),"Life Sciences &amp; Earth Sciences")</f>
        <v>Life Sciences &amp; Earth Sciences</v>
      </c>
      <c r="K112" t="str">
        <f>IFERROR(__xludf.DUMMYFUNCTION("""COMPUTED_VALUE"""),"Springer Nature")</f>
        <v>Springer Nature</v>
      </c>
      <c r="L112"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2" s="78" t="str">
        <f>IFERROR(__xludf.DUMMYFUNCTION("""COMPUTED_VALUE"""),"https://www.nature.com/authors/policies/peer_review.html")</f>
        <v>https://www.nature.com/authors/policies/peer_review.html</v>
      </c>
      <c r="N112" t="str">
        <f>IFERROR(__xludf.DUMMYFUNCTION("""COMPUTED_VALUE"""),"")</f>
        <v/>
      </c>
      <c r="O112" s="78" t="str">
        <f>IFERROR(__xludf.DUMMYFUNCTION("""COMPUTED_VALUE"""),"https://www.nature.com/authors/policies/peer_review.html")</f>
        <v>https://www.nature.com/authors/policies/peer_review.html</v>
      </c>
      <c r="P112" t="str">
        <f>IFERROR(__xludf.DUMMYFUNCTION("""COMPUTED_VALUE"""),"Unsure")</f>
        <v>Unsure</v>
      </c>
      <c r="Q112"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2" s="78" t="str">
        <f>IFERROR(__xludf.DUMMYFUNCTION("""COMPUTED_VALUE"""),"https://www.nature.com/authors/author_resources/transfer_manuscripts.html")</f>
        <v>https://www.nature.com/authors/author_resources/transfer_manuscripts.html</v>
      </c>
      <c r="S112" t="str">
        <f>IFERROR(__xludf.DUMMYFUNCTION("""COMPUTED_VALUE"""),"Not specified")</f>
        <v>Not specified</v>
      </c>
      <c r="T112" t="str">
        <f>IFERROR(__xludf.DUMMYFUNCTION("""COMPUTED_VALUE"""),"Not specified")</f>
        <v>Not specified</v>
      </c>
      <c r="U112" t="str">
        <f>IFERROR(__xludf.DUMMYFUNCTION("""COMPUTED_VALUE"""),"Not specified")</f>
        <v>Not specified</v>
      </c>
      <c r="V112" t="str">
        <f>IFERROR(__xludf.DUMMYFUNCTION("""COMPUTED_VALUE"""),"Not specified")</f>
        <v>Not specified</v>
      </c>
      <c r="W112" t="str">
        <f>IFERROR(__xludf.DUMMYFUNCTION("""COMPUTED_VALUE"""),"Not specified")</f>
        <v>Not specified</v>
      </c>
      <c r="X112" t="str">
        <f>IFERROR(__xludf.DUMMYFUNCTION("""COMPUTED_VALUE"""),"Optional")</f>
        <v>Optional</v>
      </c>
      <c r="Y112" t="str">
        <f>IFERROR(__xludf.DUMMYFUNCTION("""COMPUTED_VALUE"""),"Not specified")</f>
        <v>Not specified</v>
      </c>
      <c r="Z112" t="str">
        <f>IFERROR(__xludf.DUMMYFUNCTION("""COMPUTED_VALUE"""),"Not specified")</f>
        <v>Not specified</v>
      </c>
      <c r="AA112" t="str">
        <f>IFERROR(__xludf.DUMMYFUNCTION("""COMPUTED_VALUE"""),"")</f>
        <v/>
      </c>
      <c r="AB112"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2" s="78" t="str">
        <f>IFERROR(__xludf.DUMMYFUNCTION("""COMPUTED_VALUE"""),"https://www.nature.com/nmeth/for-referees/policies-and-processes")</f>
        <v>https://www.nature.com/nmeth/for-referees/policies-and-processes</v>
      </c>
      <c r="AD112" t="str">
        <f>IFERROR(__xludf.DUMMYFUNCTION("""COMPUTED_VALUE"""),"Unsure")</f>
        <v>Unsure</v>
      </c>
      <c r="AE112" t="str">
        <f>IFERROR(__xludf.DUMMYFUNCTION("""COMPUTED_VALUE"""),"Unsure")</f>
        <v>Unsure</v>
      </c>
      <c r="AF112" t="str">
        <f>IFERROR(__xludf.DUMMYFUNCTION("""COMPUTED_VALUE"""),"Unsure")</f>
        <v>Unsure</v>
      </c>
      <c r="AG112" s="78" t="str">
        <f>IFERROR(__xludf.DUMMYFUNCTION("""COMPUTED_VALUE"""),"https://www.nature.com/authors/policies/preprints.html")</f>
        <v>https://www.nature.com/authors/policies/preprints.html</v>
      </c>
      <c r="AH112" t="str">
        <f>IFERROR(__xludf.DUMMYFUNCTION("""COMPUTED_VALUE"""),"First submission only (before peer review)")</f>
        <v>First submission only (before peer review)</v>
      </c>
      <c r="AI112" t="str">
        <f>IFERROR(__xludf.DUMMYFUNCTION("""COMPUTED_VALUE"""),"Not specified")</f>
        <v>Not specified</v>
      </c>
      <c r="AJ112" t="str">
        <f>IFERROR(__xludf.DUMMYFUNCTION("""COMPUTED_VALUE"""),"Yes, in the reference list")</f>
        <v>Yes, in the reference list</v>
      </c>
      <c r="AK112" t="str">
        <f>IFERROR(__xludf.DUMMYFUNCTION("""COMPUTED_VALUE"""),"")</f>
        <v/>
      </c>
      <c r="AL112"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2" t="str">
        <f>IFERROR(__xludf.DUMMYFUNCTION("""COMPUTED_VALUE"""),"")</f>
        <v/>
      </c>
      <c r="AN112" t="str">
        <f>IFERROR(__xludf.DUMMYFUNCTION("""COMPUTED_VALUE"""),"")</f>
        <v/>
      </c>
      <c r="AO112" t="str">
        <f>IFERROR(__xludf.DUMMYFUNCTION("""COMPUTED_VALUE"""),"")</f>
        <v/>
      </c>
      <c r="AP112" t="str">
        <f>IFERROR(__xludf.DUMMYFUNCTION("""COMPUTED_VALUE"""),"")</f>
        <v/>
      </c>
      <c r="AQ112" t="str">
        <f>IFERROR(__xludf.DUMMYFUNCTION("""COMPUTED_VALUE"""),"")</f>
        <v/>
      </c>
      <c r="AR112" t="str">
        <f>IFERROR(__xludf.DUMMYFUNCTION("""COMPUTED_VALUE"""),"")</f>
        <v/>
      </c>
    </row>
    <row r="113">
      <c r="A113" t="str">
        <f>IFERROR(__xludf.DUMMYFUNCTION("""COMPUTED_VALUE"""),"SR")</f>
        <v>SR</v>
      </c>
      <c r="B113" t="str">
        <f>IFERROR(__xludf.DUMMYFUNCTION("""COMPUTED_VALUE"""),"")</f>
        <v/>
      </c>
      <c r="C113" t="str">
        <f>IFERROR(__xludf.DUMMYFUNCTION("""COMPUTED_VALUE"""),"SH")</f>
        <v>SH</v>
      </c>
      <c r="D113" s="36">
        <f>IFERROR(__xludf.DUMMYFUNCTION("""COMPUTED_VALUE"""),43574.0)</f>
        <v>43574</v>
      </c>
      <c r="E113" t="str">
        <f>IFERROR(__xludf.DUMMYFUNCTION("""COMPUTED_VALUE"""),"TRH")</f>
        <v>TRH</v>
      </c>
      <c r="F113" s="36">
        <f>IFERROR(__xludf.DUMMYFUNCTION("""COMPUTED_VALUE"""),43581.0)</f>
        <v>43581</v>
      </c>
      <c r="G113" s="36" t="str">
        <f>IFERROR(__xludf.DUMMYFUNCTION("""COMPUTED_VALUE"""),"")</f>
        <v/>
      </c>
      <c r="H113" t="str">
        <f>IFERROR(__xludf.DUMMYFUNCTION("""COMPUTED_VALUE"""),"1748-3395")</f>
        <v>1748-3395</v>
      </c>
      <c r="I113" t="str">
        <f>IFERROR(__xludf.DUMMYFUNCTION("""COMPUTED_VALUE"""),"Nature Nanotechnology")</f>
        <v>Nature Nanotechnology</v>
      </c>
      <c r="J113" t="str">
        <f>IFERROR(__xludf.DUMMYFUNCTION("""COMPUTED_VALUE"""),"Chemical &amp; Materials Sciences,
Engineering &amp; Computer Science")</f>
        <v>Chemical &amp; Materials Sciences,
Engineering &amp; Computer Science</v>
      </c>
      <c r="K113" t="str">
        <f>IFERROR(__xludf.DUMMYFUNCTION("""COMPUTED_VALUE"""),"Springer Nature")</f>
        <v>Springer Nature</v>
      </c>
      <c r="L113"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3" s="78" t="str">
        <f>IFERROR(__xludf.DUMMYFUNCTION("""COMPUTED_VALUE"""),"https://www.nature.com/authors/policies/peer_review.html")</f>
        <v>https://www.nature.com/authors/policies/peer_review.html</v>
      </c>
      <c r="N113" t="str">
        <f>IFERROR(__xludf.DUMMYFUNCTION("""COMPUTED_VALUE"""),"")</f>
        <v/>
      </c>
      <c r="O113" s="78" t="str">
        <f>IFERROR(__xludf.DUMMYFUNCTION("""COMPUTED_VALUE"""),"https://www.nature.com/authors/policies/peer_review.html")</f>
        <v>https://www.nature.com/authors/policies/peer_review.html</v>
      </c>
      <c r="P113" t="str">
        <f>IFERROR(__xludf.DUMMYFUNCTION("""COMPUTED_VALUE"""),"Unsure")</f>
        <v>Unsure</v>
      </c>
      <c r="Q113"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3" s="78" t="str">
        <f>IFERROR(__xludf.DUMMYFUNCTION("""COMPUTED_VALUE"""),"https://www.nature.com/authors/author_resources/transfer_manuscripts.html")</f>
        <v>https://www.nature.com/authors/author_resources/transfer_manuscripts.html</v>
      </c>
      <c r="S113" t="str">
        <f>IFERROR(__xludf.DUMMYFUNCTION("""COMPUTED_VALUE"""),"Not specified")</f>
        <v>Not specified</v>
      </c>
      <c r="T113" t="str">
        <f>IFERROR(__xludf.DUMMYFUNCTION("""COMPUTED_VALUE"""),"Not specified")</f>
        <v>Not specified</v>
      </c>
      <c r="U113" t="str">
        <f>IFERROR(__xludf.DUMMYFUNCTION("""COMPUTED_VALUE"""),"Not specified")</f>
        <v>Not specified</v>
      </c>
      <c r="V113" t="str">
        <f>IFERROR(__xludf.DUMMYFUNCTION("""COMPUTED_VALUE"""),"Not specified")</f>
        <v>Not specified</v>
      </c>
      <c r="W113" t="str">
        <f>IFERROR(__xludf.DUMMYFUNCTION("""COMPUTED_VALUE"""),"Not specified")</f>
        <v>Not specified</v>
      </c>
      <c r="X113" t="str">
        <f>IFERROR(__xludf.DUMMYFUNCTION("""COMPUTED_VALUE"""),"Optional")</f>
        <v>Optional</v>
      </c>
      <c r="Y113" t="str">
        <f>IFERROR(__xludf.DUMMYFUNCTION("""COMPUTED_VALUE"""),"Not specified")</f>
        <v>Not specified</v>
      </c>
      <c r="Z113" t="str">
        <f>IFERROR(__xludf.DUMMYFUNCTION("""COMPUTED_VALUE"""),"Not specified")</f>
        <v>Not specified</v>
      </c>
      <c r="AA113" t="str">
        <f>IFERROR(__xludf.DUMMYFUNCTION("""COMPUTED_VALUE"""),"")</f>
        <v/>
      </c>
      <c r="AB113"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3" s="78" t="str">
        <f>IFERROR(__xludf.DUMMYFUNCTION("""COMPUTED_VALUE"""),"https://www.nature.com/nnano/for-referees/policies-and-processes")</f>
        <v>https://www.nature.com/nnano/for-referees/policies-and-processes</v>
      </c>
      <c r="AD113" t="str">
        <f>IFERROR(__xludf.DUMMYFUNCTION("""COMPUTED_VALUE"""),"Unsure")</f>
        <v>Unsure</v>
      </c>
      <c r="AE113" t="str">
        <f>IFERROR(__xludf.DUMMYFUNCTION("""COMPUTED_VALUE"""),"Unsure")</f>
        <v>Unsure</v>
      </c>
      <c r="AF113" t="str">
        <f>IFERROR(__xludf.DUMMYFUNCTION("""COMPUTED_VALUE"""),"Unsure")</f>
        <v>Unsure</v>
      </c>
      <c r="AG113" s="78" t="str">
        <f>IFERROR(__xludf.DUMMYFUNCTION("""COMPUTED_VALUE"""),"https://www.nature.com/authors/policies/preprints.html")</f>
        <v>https://www.nature.com/authors/policies/preprints.html</v>
      </c>
      <c r="AH113" t="str">
        <f>IFERROR(__xludf.DUMMYFUNCTION("""COMPUTED_VALUE"""),"First submission only (before peer review)")</f>
        <v>First submission only (before peer review)</v>
      </c>
      <c r="AI113" t="str">
        <f>IFERROR(__xludf.DUMMYFUNCTION("""COMPUTED_VALUE"""),"Not specified")</f>
        <v>Not specified</v>
      </c>
      <c r="AJ113" t="str">
        <f>IFERROR(__xludf.DUMMYFUNCTION("""COMPUTED_VALUE"""),"Yes, in the reference list")</f>
        <v>Yes, in the reference list</v>
      </c>
      <c r="AK113" t="str">
        <f>IFERROR(__xludf.DUMMYFUNCTION("""COMPUTED_VALUE"""),"")</f>
        <v/>
      </c>
      <c r="AL113"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3" t="str">
        <f>IFERROR(__xludf.DUMMYFUNCTION("""COMPUTED_VALUE"""),"")</f>
        <v/>
      </c>
      <c r="AN113" t="str">
        <f>IFERROR(__xludf.DUMMYFUNCTION("""COMPUTED_VALUE"""),"")</f>
        <v/>
      </c>
      <c r="AO113" t="str">
        <f>IFERROR(__xludf.DUMMYFUNCTION("""COMPUTED_VALUE"""),"")</f>
        <v/>
      </c>
      <c r="AP113" t="str">
        <f>IFERROR(__xludf.DUMMYFUNCTION("""COMPUTED_VALUE"""),"")</f>
        <v/>
      </c>
      <c r="AQ113" t="str">
        <f>IFERROR(__xludf.DUMMYFUNCTION("""COMPUTED_VALUE"""),"")</f>
        <v/>
      </c>
      <c r="AR113" t="str">
        <f>IFERROR(__xludf.DUMMYFUNCTION("""COMPUTED_VALUE"""),"")</f>
        <v/>
      </c>
    </row>
    <row r="114">
      <c r="A114" t="str">
        <f>IFERROR(__xludf.DUMMYFUNCTION("""COMPUTED_VALUE"""),"SR")</f>
        <v>SR</v>
      </c>
      <c r="B114" t="str">
        <f>IFERROR(__xludf.DUMMYFUNCTION("""COMPUTED_VALUE"""),"")</f>
        <v/>
      </c>
      <c r="C114" t="str">
        <f>IFERROR(__xludf.DUMMYFUNCTION("""COMPUTED_VALUE"""),"SH")</f>
        <v>SH</v>
      </c>
      <c r="D114" s="36">
        <f>IFERROR(__xludf.DUMMYFUNCTION("""COMPUTED_VALUE"""),43574.0)</f>
        <v>43574</v>
      </c>
      <c r="E114" t="str">
        <f>IFERROR(__xludf.DUMMYFUNCTION("""COMPUTED_VALUE"""),"TRH")</f>
        <v>TRH</v>
      </c>
      <c r="F114" s="36">
        <f>IFERROR(__xludf.DUMMYFUNCTION("""COMPUTED_VALUE"""),43581.0)</f>
        <v>43581</v>
      </c>
      <c r="G114" s="36" t="str">
        <f>IFERROR(__xludf.DUMMYFUNCTION("""COMPUTED_VALUE"""),"")</f>
        <v/>
      </c>
      <c r="H114" t="str">
        <f>IFERROR(__xludf.DUMMYFUNCTION("""COMPUTED_VALUE"""),"1546-1726")</f>
        <v>1546-1726</v>
      </c>
      <c r="I114" t="str">
        <f>IFERROR(__xludf.DUMMYFUNCTION("""COMPUTED_VALUE"""),"Nature Neuroscience")</f>
        <v>Nature Neuroscience</v>
      </c>
      <c r="J114" t="str">
        <f>IFERROR(__xludf.DUMMYFUNCTION("""COMPUTED_VALUE"""),"Health &amp; Medical Sciences")</f>
        <v>Health &amp; Medical Sciences</v>
      </c>
      <c r="K114" t="str">
        <f>IFERROR(__xludf.DUMMYFUNCTION("""COMPUTED_VALUE"""),"Springer Nature")</f>
        <v>Springer Nature</v>
      </c>
      <c r="L114"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4" s="78" t="str">
        <f>IFERROR(__xludf.DUMMYFUNCTION("""COMPUTED_VALUE"""),"https://www.nature.com/authors/policies/peer_review.html")</f>
        <v>https://www.nature.com/authors/policies/peer_review.html</v>
      </c>
      <c r="N114" t="str">
        <f>IFERROR(__xludf.DUMMYFUNCTION("""COMPUTED_VALUE"""),"")</f>
        <v/>
      </c>
      <c r="O114" s="78" t="str">
        <f>IFERROR(__xludf.DUMMYFUNCTION("""COMPUTED_VALUE"""),"https://www.nature.com/authors/policies/peer_review.html")</f>
        <v>https://www.nature.com/authors/policies/peer_review.html</v>
      </c>
      <c r="P114" t="str">
        <f>IFERROR(__xludf.DUMMYFUNCTION("""COMPUTED_VALUE"""),"Unsure")</f>
        <v>Unsure</v>
      </c>
      <c r="Q114"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4" s="78" t="str">
        <f>IFERROR(__xludf.DUMMYFUNCTION("""COMPUTED_VALUE"""),"https://www.nature.com/authors/author_resources/transfer_manuscripts.html")</f>
        <v>https://www.nature.com/authors/author_resources/transfer_manuscripts.html</v>
      </c>
      <c r="S114" t="str">
        <f>IFERROR(__xludf.DUMMYFUNCTION("""COMPUTED_VALUE"""),"Not specified")</f>
        <v>Not specified</v>
      </c>
      <c r="T114" t="str">
        <f>IFERROR(__xludf.DUMMYFUNCTION("""COMPUTED_VALUE"""),"Not specified")</f>
        <v>Not specified</v>
      </c>
      <c r="U114" t="str">
        <f>IFERROR(__xludf.DUMMYFUNCTION("""COMPUTED_VALUE"""),"Not specified")</f>
        <v>Not specified</v>
      </c>
      <c r="V114" t="str">
        <f>IFERROR(__xludf.DUMMYFUNCTION("""COMPUTED_VALUE"""),"Not specified")</f>
        <v>Not specified</v>
      </c>
      <c r="W114" t="str">
        <f>IFERROR(__xludf.DUMMYFUNCTION("""COMPUTED_VALUE"""),"Not specified")</f>
        <v>Not specified</v>
      </c>
      <c r="X114" t="str">
        <f>IFERROR(__xludf.DUMMYFUNCTION("""COMPUTED_VALUE"""),"Optional")</f>
        <v>Optional</v>
      </c>
      <c r="Y114" t="str">
        <f>IFERROR(__xludf.DUMMYFUNCTION("""COMPUTED_VALUE"""),"Not specified")</f>
        <v>Not specified</v>
      </c>
      <c r="Z114" t="str">
        <f>IFERROR(__xludf.DUMMYFUNCTION("""COMPUTED_VALUE"""),"Not specified")</f>
        <v>Not specified</v>
      </c>
      <c r="AA114" t="str">
        <f>IFERROR(__xludf.DUMMYFUNCTION("""COMPUTED_VALUE"""),"")</f>
        <v/>
      </c>
      <c r="AB114"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4" s="78" t="str">
        <f>IFERROR(__xludf.DUMMYFUNCTION("""COMPUTED_VALUE"""),"https://www.nature.com/neuro/for-referees/policies-and-processes")</f>
        <v>https://www.nature.com/neuro/for-referees/policies-and-processes</v>
      </c>
      <c r="AD114" t="str">
        <f>IFERROR(__xludf.DUMMYFUNCTION("""COMPUTED_VALUE"""),"Unsure")</f>
        <v>Unsure</v>
      </c>
      <c r="AE114" t="str">
        <f>IFERROR(__xludf.DUMMYFUNCTION("""COMPUTED_VALUE"""),"Unsure")</f>
        <v>Unsure</v>
      </c>
      <c r="AF114" t="str">
        <f>IFERROR(__xludf.DUMMYFUNCTION("""COMPUTED_VALUE"""),"Unsure")</f>
        <v>Unsure</v>
      </c>
      <c r="AG114" s="78" t="str">
        <f>IFERROR(__xludf.DUMMYFUNCTION("""COMPUTED_VALUE"""),"https://www.nature.com/authors/policies/preprints.html")</f>
        <v>https://www.nature.com/authors/policies/preprints.html</v>
      </c>
      <c r="AH114" t="str">
        <f>IFERROR(__xludf.DUMMYFUNCTION("""COMPUTED_VALUE"""),"First submission only (before peer review)")</f>
        <v>First submission only (before peer review)</v>
      </c>
      <c r="AI114" t="str">
        <f>IFERROR(__xludf.DUMMYFUNCTION("""COMPUTED_VALUE"""),"Not specified")</f>
        <v>Not specified</v>
      </c>
      <c r="AJ114" t="str">
        <f>IFERROR(__xludf.DUMMYFUNCTION("""COMPUTED_VALUE"""),"Yes, in the reference list")</f>
        <v>Yes, in the reference list</v>
      </c>
      <c r="AK114" t="str">
        <f>IFERROR(__xludf.DUMMYFUNCTION("""COMPUTED_VALUE"""),"")</f>
        <v/>
      </c>
      <c r="AL114"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4" t="str">
        <f>IFERROR(__xludf.DUMMYFUNCTION("""COMPUTED_VALUE"""),"")</f>
        <v/>
      </c>
      <c r="AN114" t="str">
        <f>IFERROR(__xludf.DUMMYFUNCTION("""COMPUTED_VALUE"""),"")</f>
        <v/>
      </c>
      <c r="AO114" t="str">
        <f>IFERROR(__xludf.DUMMYFUNCTION("""COMPUTED_VALUE"""),"")</f>
        <v/>
      </c>
      <c r="AP114" t="str">
        <f>IFERROR(__xludf.DUMMYFUNCTION("""COMPUTED_VALUE"""),"")</f>
        <v/>
      </c>
      <c r="AQ114" t="str">
        <f>IFERROR(__xludf.DUMMYFUNCTION("""COMPUTED_VALUE"""),"")</f>
        <v/>
      </c>
      <c r="AR114" t="str">
        <f>IFERROR(__xludf.DUMMYFUNCTION("""COMPUTED_VALUE"""),"")</f>
        <v/>
      </c>
    </row>
    <row r="115">
      <c r="A115" t="str">
        <f>IFERROR(__xludf.DUMMYFUNCTION("""COMPUTED_VALUE"""),"SR")</f>
        <v>SR</v>
      </c>
      <c r="B115" t="str">
        <f>IFERROR(__xludf.DUMMYFUNCTION("""COMPUTED_VALUE"""),"")</f>
        <v/>
      </c>
      <c r="C115" t="str">
        <f>IFERROR(__xludf.DUMMYFUNCTION("""COMPUTED_VALUE"""),"NP")</f>
        <v>NP</v>
      </c>
      <c r="D115" s="36">
        <f>IFERROR(__xludf.DUMMYFUNCTION("""COMPUTED_VALUE"""),43575.0)</f>
        <v>43575</v>
      </c>
      <c r="E115" t="str">
        <f>IFERROR(__xludf.DUMMYFUNCTION("""COMPUTED_VALUE"""),"JP")</f>
        <v>JP</v>
      </c>
      <c r="F115" s="36">
        <f>IFERROR(__xludf.DUMMYFUNCTION("""COMPUTED_VALUE"""),43583.0)</f>
        <v>43583</v>
      </c>
      <c r="G115" t="str">
        <f>IFERROR(__xludf.DUMMYFUNCTION("""COMPUTED_VALUE"""),"")</f>
        <v/>
      </c>
      <c r="H115" t="str">
        <f>IFERROR(__xludf.DUMMYFUNCTION("""COMPUTED_VALUE"""),"1749-4893")</f>
        <v>1749-4893</v>
      </c>
      <c r="I115" t="str">
        <f>IFERROR(__xludf.DUMMYFUNCTION("""COMPUTED_VALUE"""),"Nature Photonics")</f>
        <v>Nature Photonics</v>
      </c>
      <c r="J115" t="str">
        <f>IFERROR(__xludf.DUMMYFUNCTION("""COMPUTED_VALUE"""),"Engineering &amp; Computer Science,
Physics &amp; Mathematics")</f>
        <v>Engineering &amp; Computer Science,
Physics &amp; Mathematics</v>
      </c>
      <c r="K115" t="str">
        <f>IFERROR(__xludf.DUMMYFUNCTION("""COMPUTED_VALUE"""),"Springer Nature")</f>
        <v>Springer Nature</v>
      </c>
      <c r="L115"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5" s="78" t="str">
        <f>IFERROR(__xludf.DUMMYFUNCTION("""COMPUTED_VALUE"""),"https://www.nature.com/authors/policies/peer_review.html")</f>
        <v>https://www.nature.com/authors/policies/peer_review.html</v>
      </c>
      <c r="N115" t="str">
        <f>IFERROR(__xludf.DUMMYFUNCTION("""COMPUTED_VALUE"""),"")</f>
        <v/>
      </c>
      <c r="O115" s="78" t="str">
        <f>IFERROR(__xludf.DUMMYFUNCTION("""COMPUTED_VALUE"""),"https://www.nature.com/authors/policies/peer_review.html")</f>
        <v>https://www.nature.com/authors/policies/peer_review.html</v>
      </c>
      <c r="P115" t="str">
        <f>IFERROR(__xludf.DUMMYFUNCTION("""COMPUTED_VALUE"""),"Unsure")</f>
        <v>Unsure</v>
      </c>
      <c r="Q115"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5" s="78" t="str">
        <f>IFERROR(__xludf.DUMMYFUNCTION("""COMPUTED_VALUE"""),"https://www.nature.com/authors/author_resources/transfer_manuscripts.html")</f>
        <v>https://www.nature.com/authors/author_resources/transfer_manuscripts.html</v>
      </c>
      <c r="S115" t="str">
        <f>IFERROR(__xludf.DUMMYFUNCTION("""COMPUTED_VALUE"""),"Not specified")</f>
        <v>Not specified</v>
      </c>
      <c r="T115" t="str">
        <f>IFERROR(__xludf.DUMMYFUNCTION("""COMPUTED_VALUE"""),"Not specified")</f>
        <v>Not specified</v>
      </c>
      <c r="U115" t="str">
        <f>IFERROR(__xludf.DUMMYFUNCTION("""COMPUTED_VALUE"""),"Not specified")</f>
        <v>Not specified</v>
      </c>
      <c r="V115" t="str">
        <f>IFERROR(__xludf.DUMMYFUNCTION("""COMPUTED_VALUE"""),"Not specified")</f>
        <v>Not specified</v>
      </c>
      <c r="W115" t="str">
        <f>IFERROR(__xludf.DUMMYFUNCTION("""COMPUTED_VALUE"""),"Not specified")</f>
        <v>Not specified</v>
      </c>
      <c r="X115" t="str">
        <f>IFERROR(__xludf.DUMMYFUNCTION("""COMPUTED_VALUE"""),"Optional")</f>
        <v>Optional</v>
      </c>
      <c r="Y115" t="str">
        <f>IFERROR(__xludf.DUMMYFUNCTION("""COMPUTED_VALUE"""),"Not specified")</f>
        <v>Not specified</v>
      </c>
      <c r="Z115" t="str">
        <f>IFERROR(__xludf.DUMMYFUNCTION("""COMPUTED_VALUE"""),"Not specified")</f>
        <v>Not specified</v>
      </c>
      <c r="AA115" t="str">
        <f>IFERROR(__xludf.DUMMYFUNCTION("""COMPUTED_VALUE"""),"")</f>
        <v/>
      </c>
      <c r="AB115"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5" s="78" t="str">
        <f>IFERROR(__xludf.DUMMYFUNCTION("""COMPUTED_VALUE"""),"https://www.nature.com/nphoton/for-referees/policies-and-processes")</f>
        <v>https://www.nature.com/nphoton/for-referees/policies-and-processes</v>
      </c>
      <c r="AD115" t="str">
        <f>IFERROR(__xludf.DUMMYFUNCTION("""COMPUTED_VALUE"""),"Unsure")</f>
        <v>Unsure</v>
      </c>
      <c r="AE115" t="str">
        <f>IFERROR(__xludf.DUMMYFUNCTION("""COMPUTED_VALUE"""),"Unsure")</f>
        <v>Unsure</v>
      </c>
      <c r="AF115" t="str">
        <f>IFERROR(__xludf.DUMMYFUNCTION("""COMPUTED_VALUE"""),"Unsure")</f>
        <v>Unsure</v>
      </c>
      <c r="AG115" s="78" t="str">
        <f>IFERROR(__xludf.DUMMYFUNCTION("""COMPUTED_VALUE"""),"https://www.nature.com/authors/policies/preprints.html")</f>
        <v>https://www.nature.com/authors/policies/preprints.html</v>
      </c>
      <c r="AH115" t="str">
        <f>IFERROR(__xludf.DUMMYFUNCTION("""COMPUTED_VALUE"""),"First submission only (before peer review)")</f>
        <v>First submission only (before peer review)</v>
      </c>
      <c r="AI115" t="str">
        <f>IFERROR(__xludf.DUMMYFUNCTION("""COMPUTED_VALUE"""),"Not specified")</f>
        <v>Not specified</v>
      </c>
      <c r="AJ115" t="str">
        <f>IFERROR(__xludf.DUMMYFUNCTION("""COMPUTED_VALUE"""),"Yes, in the reference list")</f>
        <v>Yes, in the reference list</v>
      </c>
      <c r="AK115" t="str">
        <f>IFERROR(__xludf.DUMMYFUNCTION("""COMPUTED_VALUE"""),"")</f>
        <v/>
      </c>
      <c r="AL115"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5" t="str">
        <f>IFERROR(__xludf.DUMMYFUNCTION("""COMPUTED_VALUE"""),"")</f>
        <v/>
      </c>
      <c r="AN115" t="str">
        <f>IFERROR(__xludf.DUMMYFUNCTION("""COMPUTED_VALUE"""),"")</f>
        <v/>
      </c>
      <c r="AO115" t="str">
        <f>IFERROR(__xludf.DUMMYFUNCTION("""COMPUTED_VALUE"""),"")</f>
        <v/>
      </c>
      <c r="AP115" t="str">
        <f>IFERROR(__xludf.DUMMYFUNCTION("""COMPUTED_VALUE"""),"")</f>
        <v/>
      </c>
      <c r="AQ115" t="str">
        <f>IFERROR(__xludf.DUMMYFUNCTION("""COMPUTED_VALUE"""),"")</f>
        <v/>
      </c>
      <c r="AR115" t="str">
        <f>IFERROR(__xludf.DUMMYFUNCTION("""COMPUTED_VALUE"""),"")</f>
        <v/>
      </c>
    </row>
    <row r="116">
      <c r="A116" t="str">
        <f>IFERROR(__xludf.DUMMYFUNCTION("""COMPUTED_VALUE"""),"SR")</f>
        <v>SR</v>
      </c>
      <c r="B116" s="34">
        <f>IFERROR(__xludf.DUMMYFUNCTION("""COMPUTED_VALUE"""),43444.0)</f>
        <v>43444</v>
      </c>
      <c r="C116" t="str">
        <f>IFERROR(__xludf.DUMMYFUNCTION("""COMPUTED_VALUE"""),"NP")</f>
        <v>NP</v>
      </c>
      <c r="D116" s="36">
        <f>IFERROR(__xludf.DUMMYFUNCTION("""COMPUTED_VALUE"""),43575.0)</f>
        <v>43575</v>
      </c>
      <c r="E116" t="str">
        <f>IFERROR(__xludf.DUMMYFUNCTION("""COMPUTED_VALUE"""),"JP")</f>
        <v>JP</v>
      </c>
      <c r="F116" s="36">
        <f>IFERROR(__xludf.DUMMYFUNCTION("""COMPUTED_VALUE"""),43583.0)</f>
        <v>43583</v>
      </c>
      <c r="G116" t="str">
        <f>IFERROR(__xludf.DUMMYFUNCTION("""COMPUTED_VALUE"""),"")</f>
        <v/>
      </c>
      <c r="H116" t="str">
        <f>IFERROR(__xludf.DUMMYFUNCTION("""COMPUTED_VALUE"""),"1745-2481")</f>
        <v>1745-2481</v>
      </c>
      <c r="I116" t="str">
        <f>IFERROR(__xludf.DUMMYFUNCTION("""COMPUTED_VALUE"""),"Nature Physics")</f>
        <v>Nature Physics</v>
      </c>
      <c r="J116" t="str">
        <f>IFERROR(__xludf.DUMMYFUNCTION("""COMPUTED_VALUE"""),"Physics &amp; Mathematics")</f>
        <v>Physics &amp; Mathematics</v>
      </c>
      <c r="K116" t="str">
        <f>IFERROR(__xludf.DUMMYFUNCTION("""COMPUTED_VALUE"""),"Springer Nature")</f>
        <v>Springer Nature</v>
      </c>
      <c r="L116"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6" s="78" t="str">
        <f>IFERROR(__xludf.DUMMYFUNCTION("""COMPUTED_VALUE"""),"https://www.nature.com/authors/policies/peer_review.html")</f>
        <v>https://www.nature.com/authors/policies/peer_review.html</v>
      </c>
      <c r="N116" t="str">
        <f>IFERROR(__xludf.DUMMYFUNCTION("""COMPUTED_VALUE"""),"")</f>
        <v/>
      </c>
      <c r="O116" s="78" t="str">
        <f>IFERROR(__xludf.DUMMYFUNCTION("""COMPUTED_VALUE"""),"https://www.nature.com/authors/policies/peer_review.html")</f>
        <v>https://www.nature.com/authors/policies/peer_review.html</v>
      </c>
      <c r="P116" t="str">
        <f>IFERROR(__xludf.DUMMYFUNCTION("""COMPUTED_VALUE"""),"Unsure")</f>
        <v>Unsure</v>
      </c>
      <c r="Q116" t="str">
        <f>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6" s="78" t="str">
        <f>IFERROR(__xludf.DUMMYFUNCTION("""COMPUTED_VALUE"""),"https://www.nature.com/authors/author_resources/transfer_manuscripts.html")</f>
        <v>https://www.nature.com/authors/author_resources/transfer_manuscripts.html</v>
      </c>
      <c r="S116" t="str">
        <f>IFERROR(__xludf.DUMMYFUNCTION("""COMPUTED_VALUE"""),"Not specified")</f>
        <v>Not specified</v>
      </c>
      <c r="T116" t="str">
        <f>IFERROR(__xludf.DUMMYFUNCTION("""COMPUTED_VALUE"""),"Not specified")</f>
        <v>Not specified</v>
      </c>
      <c r="U116" t="str">
        <f>IFERROR(__xludf.DUMMYFUNCTION("""COMPUTED_VALUE"""),"Not specified")</f>
        <v>Not specified</v>
      </c>
      <c r="V116" t="str">
        <f>IFERROR(__xludf.DUMMYFUNCTION("""COMPUTED_VALUE"""),"Not specified")</f>
        <v>Not specified</v>
      </c>
      <c r="W116" t="str">
        <f>IFERROR(__xludf.DUMMYFUNCTION("""COMPUTED_VALUE"""),"Not specified")</f>
        <v>Not specified</v>
      </c>
      <c r="X116" t="str">
        <f>IFERROR(__xludf.DUMMYFUNCTION("""COMPUTED_VALUE"""),"Optional")</f>
        <v>Optional</v>
      </c>
      <c r="Y116" t="str">
        <f>IFERROR(__xludf.DUMMYFUNCTION("""COMPUTED_VALUE"""),"Not specified")</f>
        <v>Not specified</v>
      </c>
      <c r="Z116" t="str">
        <f>IFERROR(__xludf.DUMMYFUNCTION("""COMPUTED_VALUE"""),"Not specified")</f>
        <v>Not specified</v>
      </c>
      <c r="AA116" t="str">
        <f>IFERROR(__xludf.DUMMYFUNCTION("""COMPUTED_VALUE"""),"")</f>
        <v/>
      </c>
      <c r="AB116" t="str">
        <f>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6" s="78" t="str">
        <f>IFERROR(__xludf.DUMMYFUNCTION("""COMPUTED_VALUE"""),"https://www.nature.com/nphys/for-referees/policies-and-processes")</f>
        <v>https://www.nature.com/nphys/for-referees/policies-and-processes</v>
      </c>
      <c r="AD116" t="str">
        <f>IFERROR(__xludf.DUMMYFUNCTION("""COMPUTED_VALUE"""),"Unsure")</f>
        <v>Unsure</v>
      </c>
      <c r="AE116" t="str">
        <f>IFERROR(__xludf.DUMMYFUNCTION("""COMPUTED_VALUE"""),"Unsure")</f>
        <v>Unsure</v>
      </c>
      <c r="AF116" t="str">
        <f>IFERROR(__xludf.DUMMYFUNCTION("""COMPUTED_VALUE"""),"Unsure")</f>
        <v>Unsure</v>
      </c>
      <c r="AG116" s="78" t="str">
        <f>IFERROR(__xludf.DUMMYFUNCTION("""COMPUTED_VALUE"""),"https://www.nature.com/authors/policies/preprints.html")</f>
        <v>https://www.nature.com/authors/policies/preprints.html</v>
      </c>
      <c r="AH116" t="str">
        <f>IFERROR(__xludf.DUMMYFUNCTION("""COMPUTED_VALUE"""),"First submission only (before peer review)")</f>
        <v>First submission only (before peer review)</v>
      </c>
      <c r="AI116" t="str">
        <f>IFERROR(__xludf.DUMMYFUNCTION("""COMPUTED_VALUE"""),"Not specified")</f>
        <v>Not specified</v>
      </c>
      <c r="AJ116" t="str">
        <f>IFERROR(__xludf.DUMMYFUNCTION("""COMPUTED_VALUE"""),"Yes, in the reference list")</f>
        <v>Yes, in the reference list</v>
      </c>
      <c r="AK116" t="str">
        <f>IFERROR(__xludf.DUMMYFUNCTION("""COMPUTED_VALUE"""),"")</f>
        <v/>
      </c>
      <c r="AL116" t="str">
        <f>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6" t="str">
        <f>IFERROR(__xludf.DUMMYFUNCTION("""COMPUTED_VALUE"""),"")</f>
        <v/>
      </c>
      <c r="AN116" t="str">
        <f>IFERROR(__xludf.DUMMYFUNCTION("""COMPUTED_VALUE"""),"")</f>
        <v/>
      </c>
      <c r="AO116" t="str">
        <f>IFERROR(__xludf.DUMMYFUNCTION("""COMPUTED_VALUE"""),"")</f>
        <v/>
      </c>
      <c r="AP116" t="str">
        <f>IFERROR(__xludf.DUMMYFUNCTION("""COMPUTED_VALUE"""),"")</f>
        <v/>
      </c>
      <c r="AQ116" t="str">
        <f>IFERROR(__xludf.DUMMYFUNCTION("""COMPUTED_VALUE"""),"")</f>
        <v/>
      </c>
      <c r="AR116" t="str">
        <f>IFERROR(__xludf.DUMMYFUNCTION("""COMPUTED_VALUE"""),"")</f>
        <v/>
      </c>
    </row>
    <row r="117">
      <c r="A117" t="str">
        <f>IFERROR(__xludf.DUMMYFUNCTION("""COMPUTED_VALUE"""),"SR")</f>
        <v>SR</v>
      </c>
      <c r="B117" s="34">
        <f>IFERROR(__xludf.DUMMYFUNCTION("""COMPUTED_VALUE"""),43444.0)</f>
        <v>43444</v>
      </c>
      <c r="C117" t="str">
        <f>IFERROR(__xludf.DUMMYFUNCTION("""COMPUTED_VALUE"""),"NP")</f>
        <v>NP</v>
      </c>
      <c r="D117" s="36">
        <f>IFERROR(__xludf.DUMMYFUNCTION("""COMPUTED_VALUE"""),43575.0)</f>
        <v>43575</v>
      </c>
      <c r="E117" t="str">
        <f>IFERROR(__xludf.DUMMYFUNCTION("""COMPUTED_VALUE"""),"JP")</f>
        <v>JP</v>
      </c>
      <c r="F117" s="36">
        <f>IFERROR(__xludf.DUMMYFUNCTION("""COMPUTED_VALUE"""),43581.0)</f>
        <v>43581</v>
      </c>
      <c r="G117" t="str">
        <f>IFERROR(__xludf.DUMMYFUNCTION("""COMPUTED_VALUE"""),"")</f>
        <v/>
      </c>
      <c r="H117" t="str">
        <f>IFERROR(__xludf.DUMMYFUNCTION("""COMPUTED_VALUE"""),"1474-1768")</f>
        <v>1474-1768</v>
      </c>
      <c r="I117" t="str">
        <f>IFERROR(__xludf.DUMMYFUNCTION("""COMPUTED_VALUE"""),"Nature Reviews Cancer")</f>
        <v>Nature Reviews Cancer</v>
      </c>
      <c r="J117" t="str">
        <f>IFERROR(__xludf.DUMMYFUNCTION("""COMPUTED_VALUE"""),"")</f>
        <v/>
      </c>
      <c r="K117" t="str">
        <f>IFERROR(__xludf.DUMMYFUNCTION("""COMPUTED_VALUE"""),"")</f>
        <v/>
      </c>
      <c r="L117" t="str">
        <f>IFERROR(__xludf.DUMMYFUNCTION("""COMPUTED_VALUE"""),"Unsure")</f>
        <v>Unsure</v>
      </c>
      <c r="M117" s="78" t="str">
        <f>IFERROR(__xludf.DUMMYFUNCTION("""COMPUTED_VALUE"""),"https://www.nature.com/nrc/for-referees")</f>
        <v>https://www.nature.com/nrc/for-referees</v>
      </c>
      <c r="N117" t="str">
        <f>IFERROR(__xludf.DUMMYFUNCTION("""COMPUTED_VALUE"""),"")</f>
        <v/>
      </c>
      <c r="O117" t="str">
        <f>IFERROR(__xludf.DUMMYFUNCTION("""COMPUTED_VALUE"""),"")</f>
        <v/>
      </c>
      <c r="P117" t="str">
        <f>IFERROR(__xludf.DUMMYFUNCTION("""COMPUTED_VALUE"""),"Unsure")</f>
        <v>Unsure</v>
      </c>
      <c r="Q117" t="str">
        <f>IFERROR(__xludf.DUMMYFUNCTION("""COMPUTED_VALUE"""),"")</f>
        <v/>
      </c>
      <c r="R117" t="str">
        <f>IFERROR(__xludf.DUMMYFUNCTION("""COMPUTED_VALUE"""),"")</f>
        <v/>
      </c>
      <c r="S117" t="str">
        <f>IFERROR(__xludf.DUMMYFUNCTION("""COMPUTED_VALUE"""),"Not specified")</f>
        <v>Not specified</v>
      </c>
      <c r="T117" t="str">
        <f>IFERROR(__xludf.DUMMYFUNCTION("""COMPUTED_VALUE"""),"Not specified")</f>
        <v>Not specified</v>
      </c>
      <c r="U117" t="str">
        <f>IFERROR(__xludf.DUMMYFUNCTION("""COMPUTED_VALUE"""),"Not specified")</f>
        <v>Not specified</v>
      </c>
      <c r="V117" t="str">
        <f>IFERROR(__xludf.DUMMYFUNCTION("""COMPUTED_VALUE"""),"Not specified")</f>
        <v>Not specified</v>
      </c>
      <c r="W117" t="str">
        <f>IFERROR(__xludf.DUMMYFUNCTION("""COMPUTED_VALUE"""),"Not specified")</f>
        <v>Not specified</v>
      </c>
      <c r="X117" t="str">
        <f>IFERROR(__xludf.DUMMYFUNCTION("""COMPUTED_VALUE"""),"Optional - at request of referee")</f>
        <v>Optional - at request of referee</v>
      </c>
      <c r="Y117" t="str">
        <f>IFERROR(__xludf.DUMMYFUNCTION("""COMPUTED_VALUE"""),"Not specified")</f>
        <v>Not specified</v>
      </c>
      <c r="Z117" t="str">
        <f>IFERROR(__xludf.DUMMYFUNCTION("""COMPUTED_VALUE"""),"Not specified")</f>
        <v>Not specified</v>
      </c>
      <c r="AA117" t="str">
        <f>IFERROR(__xludf.DUMMYFUNCTION("""COMPUTED_VALUE"""),"")</f>
        <v/>
      </c>
      <c r="AB117" t="str">
        <f>IFERROR(__xludf.DUMMYFUNCTION("""COMPUTED_VALUE"""),"It is acceptable to consult with laboratory colleagues, but please identify them to the editors.")</f>
        <v>It is acceptable to consult with laboratory colleagues, but please identify them to the editors.</v>
      </c>
      <c r="AC117" s="78" t="str">
        <f>IFERROR(__xludf.DUMMYFUNCTION("""COMPUTED_VALUE"""),"https://www.nature.com/nrc/for-referees")</f>
        <v>https://www.nature.com/nrc/for-referees</v>
      </c>
      <c r="AD117" t="str">
        <f>IFERROR(__xludf.DUMMYFUNCTION("""COMPUTED_VALUE"""),"Yes")</f>
        <v>Yes</v>
      </c>
      <c r="AE117" t="str">
        <f>IFERROR(__xludf.DUMMYFUNCTION("""COMPUTED_VALUE"""),"Unsure")</f>
        <v>Unsure</v>
      </c>
      <c r="AF117" t="str">
        <f>IFERROR(__xludf.DUMMYFUNCTION("""COMPUTED_VALUE"""),"Unsure")</f>
        <v>Unsure</v>
      </c>
      <c r="AG117" t="str">
        <f>IFERROR(__xludf.DUMMYFUNCTION("""COMPUTED_VALUE"""),"")</f>
        <v/>
      </c>
      <c r="AH117" t="str">
        <f>IFERROR(__xludf.DUMMYFUNCTION("""COMPUTED_VALUE"""),"No preprint policy")</f>
        <v>No preprint policy</v>
      </c>
      <c r="AI117" t="str">
        <f>IFERROR(__xludf.DUMMYFUNCTION("""COMPUTED_VALUE"""),"")</f>
        <v/>
      </c>
      <c r="AJ117" t="str">
        <f>IFERROR(__xludf.DUMMYFUNCTION("""COMPUTED_VALUE"""),"Not specified")</f>
        <v>Not specified</v>
      </c>
      <c r="AK117" t="str">
        <f>IFERROR(__xludf.DUMMYFUNCTION("""COMPUTED_VALUE"""),"Unsure")</f>
        <v>Unsure</v>
      </c>
      <c r="AL117" t="str">
        <f>IFERROR(__xludf.DUMMYFUNCTION("""COMPUTED_VALUE"""),"")</f>
        <v/>
      </c>
      <c r="AM117" t="str">
        <f>IFERROR(__xludf.DUMMYFUNCTION("""COMPUTED_VALUE"""),"")</f>
        <v/>
      </c>
      <c r="AN117" t="str">
        <f>IFERROR(__xludf.DUMMYFUNCTION("""COMPUTED_VALUE"""),"")</f>
        <v/>
      </c>
      <c r="AO117" t="str">
        <f>IFERROR(__xludf.DUMMYFUNCTION("""COMPUTED_VALUE"""),"")</f>
        <v/>
      </c>
      <c r="AP117" t="str">
        <f>IFERROR(__xludf.DUMMYFUNCTION("""COMPUTED_VALUE"""),"")</f>
        <v/>
      </c>
      <c r="AQ117" t="str">
        <f>IFERROR(__xludf.DUMMYFUNCTION("""COMPUTED_VALUE"""),"")</f>
        <v/>
      </c>
      <c r="AR117" t="str">
        <f>IFERROR(__xludf.DUMMYFUNCTION("""COMPUTED_VALUE"""),"")</f>
        <v/>
      </c>
    </row>
    <row r="118">
      <c r="A118" t="str">
        <f>IFERROR(__xludf.DUMMYFUNCTION("""COMPUTED_VALUE"""),"SR")</f>
        <v>SR</v>
      </c>
      <c r="B118" s="34">
        <f>IFERROR(__xludf.DUMMYFUNCTION("""COMPUTED_VALUE"""),43444.0)</f>
        <v>43444</v>
      </c>
      <c r="C118" t="str">
        <f>IFERROR(__xludf.DUMMYFUNCTION("""COMPUTED_VALUE"""),"NP")</f>
        <v>NP</v>
      </c>
      <c r="D118" s="36">
        <f>IFERROR(__xludf.DUMMYFUNCTION("""COMPUTED_VALUE"""),43575.0)</f>
        <v>43575</v>
      </c>
      <c r="E118" t="str">
        <f>IFERROR(__xludf.DUMMYFUNCTION("""COMPUTED_VALUE"""),"JP")</f>
        <v>JP</v>
      </c>
      <c r="F118" s="36">
        <f>IFERROR(__xludf.DUMMYFUNCTION("""COMPUTED_VALUE"""),43581.0)</f>
        <v>43581</v>
      </c>
      <c r="G118" t="str">
        <f>IFERROR(__xludf.DUMMYFUNCTION("""COMPUTED_VALUE"""),"")</f>
        <v/>
      </c>
      <c r="H118" t="str">
        <f>IFERROR(__xludf.DUMMYFUNCTION("""COMPUTED_VALUE"""),"1471-0064")</f>
        <v>1471-0064</v>
      </c>
      <c r="I118" t="str">
        <f>IFERROR(__xludf.DUMMYFUNCTION("""COMPUTED_VALUE"""),"Nature Reviews Genetics")</f>
        <v>Nature Reviews Genetics</v>
      </c>
      <c r="J118" t="str">
        <f>IFERROR(__xludf.DUMMYFUNCTION("""COMPUTED_VALUE"""),"Life Sciences &amp; Earth Sciences")</f>
        <v>Life Sciences &amp; Earth Sciences</v>
      </c>
      <c r="K118" t="str">
        <f>IFERROR(__xludf.DUMMYFUNCTION("""COMPUTED_VALUE"""),"")</f>
        <v/>
      </c>
      <c r="L118" t="str">
        <f>IFERROR(__xludf.DUMMYFUNCTION("""COMPUTED_VALUE"""),"Unsure")</f>
        <v>Unsure</v>
      </c>
      <c r="M118" s="78" t="str">
        <f>IFERROR(__xludf.DUMMYFUNCTION("""COMPUTED_VALUE"""),"https://www.nature.com/nrg/for-referees")</f>
        <v>https://www.nature.com/nrg/for-referees</v>
      </c>
      <c r="N118" t="str">
        <f>IFERROR(__xludf.DUMMYFUNCTION("""COMPUTED_VALUE"""),"")</f>
        <v/>
      </c>
      <c r="O118" t="str">
        <f>IFERROR(__xludf.DUMMYFUNCTION("""COMPUTED_VALUE"""),"")</f>
        <v/>
      </c>
      <c r="P118" t="str">
        <f>IFERROR(__xludf.DUMMYFUNCTION("""COMPUTED_VALUE"""),"Unsure")</f>
        <v>Unsure</v>
      </c>
      <c r="Q118" t="str">
        <f>IFERROR(__xludf.DUMMYFUNCTION("""COMPUTED_VALUE"""),"")</f>
        <v/>
      </c>
      <c r="R118" t="str">
        <f>IFERROR(__xludf.DUMMYFUNCTION("""COMPUTED_VALUE"""),"")</f>
        <v/>
      </c>
      <c r="S118" t="str">
        <f>IFERROR(__xludf.DUMMYFUNCTION("""COMPUTED_VALUE"""),"Not specified")</f>
        <v>Not specified</v>
      </c>
      <c r="T118" t="str">
        <f>IFERROR(__xludf.DUMMYFUNCTION("""COMPUTED_VALUE"""),"Not specified")</f>
        <v>Not specified</v>
      </c>
      <c r="U118" t="str">
        <f>IFERROR(__xludf.DUMMYFUNCTION("""COMPUTED_VALUE"""),"Not specified")</f>
        <v>Not specified</v>
      </c>
      <c r="V118" t="str">
        <f>IFERROR(__xludf.DUMMYFUNCTION("""COMPUTED_VALUE"""),"Not specified")</f>
        <v>Not specified</v>
      </c>
      <c r="W118" t="str">
        <f>IFERROR(__xludf.DUMMYFUNCTION("""COMPUTED_VALUE"""),"Not specified")</f>
        <v>Not specified</v>
      </c>
      <c r="X118" t="str">
        <f>IFERROR(__xludf.DUMMYFUNCTION("""COMPUTED_VALUE"""),"Optional - at request of referee")</f>
        <v>Optional - at request of referee</v>
      </c>
      <c r="Y118" t="str">
        <f>IFERROR(__xludf.DUMMYFUNCTION("""COMPUTED_VALUE"""),"Not specified")</f>
        <v>Not specified</v>
      </c>
      <c r="Z118" t="str">
        <f>IFERROR(__xludf.DUMMYFUNCTION("""COMPUTED_VALUE"""),"Not specified")</f>
        <v>Not specified</v>
      </c>
      <c r="AA118" t="str">
        <f>IFERROR(__xludf.DUMMYFUNCTION("""COMPUTED_VALUE"""),"")</f>
        <v/>
      </c>
      <c r="AB118" t="str">
        <f>IFERROR(__xludf.DUMMYFUNCTION("""COMPUTED_VALUE"""),"It is acceptable to consult with laboratory colleagues, but please identify them to the editors.")</f>
        <v>It is acceptable to consult with laboratory colleagues, but please identify them to the editors.</v>
      </c>
      <c r="AC118" s="78" t="str">
        <f>IFERROR(__xludf.DUMMYFUNCTION("""COMPUTED_VALUE"""),"https://www.nature.com/nrg/for-referees")</f>
        <v>https://www.nature.com/nrg/for-referees</v>
      </c>
      <c r="AD118" t="str">
        <f>IFERROR(__xludf.DUMMYFUNCTION("""COMPUTED_VALUE"""),"Yes")</f>
        <v>Yes</v>
      </c>
      <c r="AE118" t="str">
        <f>IFERROR(__xludf.DUMMYFUNCTION("""COMPUTED_VALUE"""),"Unsure")</f>
        <v>Unsure</v>
      </c>
      <c r="AF118" t="str">
        <f>IFERROR(__xludf.DUMMYFUNCTION("""COMPUTED_VALUE"""),"Unsure")</f>
        <v>Unsure</v>
      </c>
      <c r="AG118" t="str">
        <f>IFERROR(__xludf.DUMMYFUNCTION("""COMPUTED_VALUE"""),"")</f>
        <v/>
      </c>
      <c r="AH118" t="str">
        <f>IFERROR(__xludf.DUMMYFUNCTION("""COMPUTED_VALUE"""),"No preprint policy")</f>
        <v>No preprint policy</v>
      </c>
      <c r="AI118" t="str">
        <f>IFERROR(__xludf.DUMMYFUNCTION("""COMPUTED_VALUE"""),"")</f>
        <v/>
      </c>
      <c r="AJ118" t="str">
        <f>IFERROR(__xludf.DUMMYFUNCTION("""COMPUTED_VALUE"""),"Not specified")</f>
        <v>Not specified</v>
      </c>
      <c r="AK118" t="str">
        <f>IFERROR(__xludf.DUMMYFUNCTION("""COMPUTED_VALUE"""),"Unsure")</f>
        <v>Unsure</v>
      </c>
      <c r="AL118" t="str">
        <f>IFERROR(__xludf.DUMMYFUNCTION("""COMPUTED_VALUE"""),"")</f>
        <v/>
      </c>
      <c r="AM118" t="str">
        <f>IFERROR(__xludf.DUMMYFUNCTION("""COMPUTED_VALUE"""),"")</f>
        <v/>
      </c>
      <c r="AN118" t="str">
        <f>IFERROR(__xludf.DUMMYFUNCTION("""COMPUTED_VALUE"""),"")</f>
        <v/>
      </c>
      <c r="AO118" t="str">
        <f>IFERROR(__xludf.DUMMYFUNCTION("""COMPUTED_VALUE"""),"")</f>
        <v/>
      </c>
      <c r="AP118" t="str">
        <f>IFERROR(__xludf.DUMMYFUNCTION("""COMPUTED_VALUE"""),"")</f>
        <v/>
      </c>
      <c r="AQ118" t="str">
        <f>IFERROR(__xludf.DUMMYFUNCTION("""COMPUTED_VALUE"""),"")</f>
        <v/>
      </c>
      <c r="AR118" t="str">
        <f>IFERROR(__xludf.DUMMYFUNCTION("""COMPUTED_VALUE"""),"")</f>
        <v/>
      </c>
    </row>
    <row r="119">
      <c r="A119" t="str">
        <f>IFERROR(__xludf.DUMMYFUNCTION("""COMPUTED_VALUE"""),"SR")</f>
        <v>SR</v>
      </c>
      <c r="B119" s="34">
        <f>IFERROR(__xludf.DUMMYFUNCTION("""COMPUTED_VALUE"""),43444.0)</f>
        <v>43444</v>
      </c>
      <c r="C119" t="str">
        <f>IFERROR(__xludf.DUMMYFUNCTION("""COMPUTED_VALUE"""),"JP")</f>
        <v>JP</v>
      </c>
      <c r="D119" s="36">
        <f>IFERROR(__xludf.DUMMYFUNCTION("""COMPUTED_VALUE"""),43566.0)</f>
        <v>43566</v>
      </c>
      <c r="E119" t="str">
        <f>IFERROR(__xludf.DUMMYFUNCTION("""COMPUTED_VALUE"""),"TRH")</f>
        <v>TRH</v>
      </c>
      <c r="F119" s="36">
        <f>IFERROR(__xludf.DUMMYFUNCTION("""COMPUTED_VALUE"""),43583.0)</f>
        <v>43583</v>
      </c>
      <c r="G119" t="str">
        <f>IFERROR(__xludf.DUMMYFUNCTION("""COMPUTED_VALUE"""),"")</f>
        <v/>
      </c>
      <c r="H119" t="str">
        <f>IFERROR(__xludf.DUMMYFUNCTION("""COMPUTED_VALUE"""),"1474-1733")</f>
        <v>1474-1733</v>
      </c>
      <c r="I119" t="str">
        <f>IFERROR(__xludf.DUMMYFUNCTION("""COMPUTED_VALUE"""),"Nature Reviews Immunology")</f>
        <v>Nature Reviews Immunology</v>
      </c>
      <c r="J119" t="str">
        <f>IFERROR(__xludf.DUMMYFUNCTION("""COMPUTED_VALUE"""),"")</f>
        <v/>
      </c>
      <c r="K119" t="str">
        <f>IFERROR(__xludf.DUMMYFUNCTION("""COMPUTED_VALUE"""),"")</f>
        <v/>
      </c>
      <c r="L119" t="str">
        <f>IFERROR(__xludf.DUMMYFUNCTION("""COMPUTED_VALUE"""),"Unsure")</f>
        <v>Unsure</v>
      </c>
      <c r="M119" s="78" t="str">
        <f>IFERROR(__xludf.DUMMYFUNCTION("""COMPUTED_VALUE"""),"https://www.nature.com/nrc/for-referees")</f>
        <v>https://www.nature.com/nrc/for-referees</v>
      </c>
      <c r="N119" t="str">
        <f>IFERROR(__xludf.DUMMYFUNCTION("""COMPUTED_VALUE"""),"")</f>
        <v/>
      </c>
      <c r="O119" t="str">
        <f>IFERROR(__xludf.DUMMYFUNCTION("""COMPUTED_VALUE"""),"")</f>
        <v/>
      </c>
      <c r="P119" t="str">
        <f>IFERROR(__xludf.DUMMYFUNCTION("""COMPUTED_VALUE"""),"Unsure")</f>
        <v>Unsure</v>
      </c>
      <c r="Q119" t="str">
        <f>IFERROR(__xludf.DUMMYFUNCTION("""COMPUTED_VALUE"""),"")</f>
        <v/>
      </c>
      <c r="R119" t="str">
        <f>IFERROR(__xludf.DUMMYFUNCTION("""COMPUTED_VALUE"""),"")</f>
        <v/>
      </c>
      <c r="S119" t="str">
        <f>IFERROR(__xludf.DUMMYFUNCTION("""COMPUTED_VALUE"""),"Not specified")</f>
        <v>Not specified</v>
      </c>
      <c r="T119" t="str">
        <f>IFERROR(__xludf.DUMMYFUNCTION("""COMPUTED_VALUE"""),"Not specified")</f>
        <v>Not specified</v>
      </c>
      <c r="U119" t="str">
        <f>IFERROR(__xludf.DUMMYFUNCTION("""COMPUTED_VALUE"""),"Not specified")</f>
        <v>Not specified</v>
      </c>
      <c r="V119" t="str">
        <f>IFERROR(__xludf.DUMMYFUNCTION("""COMPUTED_VALUE"""),"Not specified")</f>
        <v>Not specified</v>
      </c>
      <c r="W119" t="str">
        <f>IFERROR(__xludf.DUMMYFUNCTION("""COMPUTED_VALUE"""),"Not specified")</f>
        <v>Not specified</v>
      </c>
      <c r="X119" t="str">
        <f>IFERROR(__xludf.DUMMYFUNCTION("""COMPUTED_VALUE"""),"Optional - at request of referee")</f>
        <v>Optional - at request of referee</v>
      </c>
      <c r="Y119" t="str">
        <f>IFERROR(__xludf.DUMMYFUNCTION("""COMPUTED_VALUE"""),"Not specified")</f>
        <v>Not specified</v>
      </c>
      <c r="Z119" t="str">
        <f>IFERROR(__xludf.DUMMYFUNCTION("""COMPUTED_VALUE"""),"Not specified")</f>
        <v>Not specified</v>
      </c>
      <c r="AA119" t="str">
        <f>IFERROR(__xludf.DUMMYFUNCTION("""COMPUTED_VALUE"""),"")</f>
        <v/>
      </c>
      <c r="AB119" t="str">
        <f>IFERROR(__xludf.DUMMYFUNCTION("""COMPUTED_VALUE"""),"It is acceptable to consult with laboratory colleagues, but please identify them to the editors.")</f>
        <v>It is acceptable to consult with laboratory colleagues, but please identify them to the editors.</v>
      </c>
      <c r="AC119" s="78" t="str">
        <f>IFERROR(__xludf.DUMMYFUNCTION("""COMPUTED_VALUE"""),"https://www.nature.com/nrc/for-referees")</f>
        <v>https://www.nature.com/nrc/for-referees</v>
      </c>
      <c r="AD119" t="str">
        <f>IFERROR(__xludf.DUMMYFUNCTION("""COMPUTED_VALUE"""),"Yes")</f>
        <v>Yes</v>
      </c>
      <c r="AE119" t="str">
        <f>IFERROR(__xludf.DUMMYFUNCTION("""COMPUTED_VALUE"""),"Unsure")</f>
        <v>Unsure</v>
      </c>
      <c r="AF119" t="str">
        <f>IFERROR(__xludf.DUMMYFUNCTION("""COMPUTED_VALUE"""),"Unsure")</f>
        <v>Unsure</v>
      </c>
      <c r="AG119" t="str">
        <f>IFERROR(__xludf.DUMMYFUNCTION("""COMPUTED_VALUE"""),"")</f>
        <v/>
      </c>
      <c r="AH119" t="str">
        <f>IFERROR(__xludf.DUMMYFUNCTION("""COMPUTED_VALUE"""),"No preprint policy")</f>
        <v>No preprint policy</v>
      </c>
      <c r="AI119" t="str">
        <f>IFERROR(__xludf.DUMMYFUNCTION("""COMPUTED_VALUE"""),"")</f>
        <v/>
      </c>
      <c r="AJ119" t="str">
        <f>IFERROR(__xludf.DUMMYFUNCTION("""COMPUTED_VALUE"""),"Not specified")</f>
        <v>Not specified</v>
      </c>
      <c r="AK119" t="str">
        <f>IFERROR(__xludf.DUMMYFUNCTION("""COMPUTED_VALUE"""),"Unsure")</f>
        <v>Unsure</v>
      </c>
      <c r="AL119" t="str">
        <f>IFERROR(__xludf.DUMMYFUNCTION("""COMPUTED_VALUE"""),"")</f>
        <v/>
      </c>
      <c r="AM119" t="str">
        <f>IFERROR(__xludf.DUMMYFUNCTION("""COMPUTED_VALUE"""),"")</f>
        <v/>
      </c>
      <c r="AN119" t="str">
        <f>IFERROR(__xludf.DUMMYFUNCTION("""COMPUTED_VALUE"""),"")</f>
        <v/>
      </c>
      <c r="AO119" t="str">
        <f>IFERROR(__xludf.DUMMYFUNCTION("""COMPUTED_VALUE"""),"")</f>
        <v/>
      </c>
      <c r="AP119" t="str">
        <f>IFERROR(__xludf.DUMMYFUNCTION("""COMPUTED_VALUE"""),"")</f>
        <v/>
      </c>
      <c r="AQ119" t="str">
        <f>IFERROR(__xludf.DUMMYFUNCTION("""COMPUTED_VALUE"""),"")</f>
        <v/>
      </c>
      <c r="AR119" t="str">
        <f>IFERROR(__xludf.DUMMYFUNCTION("""COMPUTED_VALUE"""),"")</f>
        <v/>
      </c>
    </row>
    <row r="120">
      <c r="A120" t="str">
        <f>IFERROR(__xludf.DUMMYFUNCTION("""COMPUTED_VALUE"""),"SR")</f>
        <v>SR</v>
      </c>
      <c r="B120" s="34">
        <f>IFERROR(__xludf.DUMMYFUNCTION("""COMPUTED_VALUE"""),43444.0)</f>
        <v>43444</v>
      </c>
      <c r="C120" t="str">
        <f>IFERROR(__xludf.DUMMYFUNCTION("""COMPUTED_VALUE"""),"JP")</f>
        <v>JP</v>
      </c>
      <c r="D120" s="36">
        <f>IFERROR(__xludf.DUMMYFUNCTION("""COMPUTED_VALUE"""),43566.0)</f>
        <v>43566</v>
      </c>
      <c r="E120" t="str">
        <f>IFERROR(__xludf.DUMMYFUNCTION("""COMPUTED_VALUE"""),"TRH")</f>
        <v>TRH</v>
      </c>
      <c r="F120" s="36">
        <f>IFERROR(__xludf.DUMMYFUNCTION("""COMPUTED_VALUE"""),43583.0)</f>
        <v>43583</v>
      </c>
      <c r="G120" s="36" t="str">
        <f>IFERROR(__xludf.DUMMYFUNCTION("""COMPUTED_VALUE"""),"")</f>
        <v/>
      </c>
      <c r="H120" t="str">
        <f>IFERROR(__xludf.DUMMYFUNCTION("""COMPUTED_VALUE"""),"1471-0048")</f>
        <v>1471-0048</v>
      </c>
      <c r="I120" t="str">
        <f>IFERROR(__xludf.DUMMYFUNCTION("""COMPUTED_VALUE"""),"Nature Reviews Neuroscience")</f>
        <v>Nature Reviews Neuroscience</v>
      </c>
      <c r="J120" t="str">
        <f>IFERROR(__xludf.DUMMYFUNCTION("""COMPUTED_VALUE"""),"")</f>
        <v/>
      </c>
      <c r="K120" t="str">
        <f>IFERROR(__xludf.DUMMYFUNCTION("""COMPUTED_VALUE"""),"")</f>
        <v/>
      </c>
      <c r="L120" t="str">
        <f>IFERROR(__xludf.DUMMYFUNCTION("""COMPUTED_VALUE"""),"Unsure")</f>
        <v>Unsure</v>
      </c>
      <c r="M120" s="78" t="str">
        <f>IFERROR(__xludf.DUMMYFUNCTION("""COMPUTED_VALUE"""),"https://www.nature.com/nrg/for-referees")</f>
        <v>https://www.nature.com/nrg/for-referees</v>
      </c>
      <c r="N120" t="str">
        <f>IFERROR(__xludf.DUMMYFUNCTION("""COMPUTED_VALUE"""),"")</f>
        <v/>
      </c>
      <c r="O120" t="str">
        <f>IFERROR(__xludf.DUMMYFUNCTION("""COMPUTED_VALUE"""),"")</f>
        <v/>
      </c>
      <c r="P120" t="str">
        <f>IFERROR(__xludf.DUMMYFUNCTION("""COMPUTED_VALUE"""),"Unsure")</f>
        <v>Unsure</v>
      </c>
      <c r="Q120" t="str">
        <f>IFERROR(__xludf.DUMMYFUNCTION("""COMPUTED_VALUE"""),"")</f>
        <v/>
      </c>
      <c r="R120" t="str">
        <f>IFERROR(__xludf.DUMMYFUNCTION("""COMPUTED_VALUE"""),"")</f>
        <v/>
      </c>
      <c r="S120" t="str">
        <f>IFERROR(__xludf.DUMMYFUNCTION("""COMPUTED_VALUE"""),"Not specified")</f>
        <v>Not specified</v>
      </c>
      <c r="T120" t="str">
        <f>IFERROR(__xludf.DUMMYFUNCTION("""COMPUTED_VALUE"""),"Not specified")</f>
        <v>Not specified</v>
      </c>
      <c r="U120" t="str">
        <f>IFERROR(__xludf.DUMMYFUNCTION("""COMPUTED_VALUE"""),"Not specified")</f>
        <v>Not specified</v>
      </c>
      <c r="V120" t="str">
        <f>IFERROR(__xludf.DUMMYFUNCTION("""COMPUTED_VALUE"""),"Not specified")</f>
        <v>Not specified</v>
      </c>
      <c r="W120" t="str">
        <f>IFERROR(__xludf.DUMMYFUNCTION("""COMPUTED_VALUE"""),"Not specified")</f>
        <v>Not specified</v>
      </c>
      <c r="X120" t="str">
        <f>IFERROR(__xludf.DUMMYFUNCTION("""COMPUTED_VALUE"""),"Optional - at request of referee")</f>
        <v>Optional - at request of referee</v>
      </c>
      <c r="Y120" t="str">
        <f>IFERROR(__xludf.DUMMYFUNCTION("""COMPUTED_VALUE"""),"Not specified")</f>
        <v>Not specified</v>
      </c>
      <c r="Z120" t="str">
        <f>IFERROR(__xludf.DUMMYFUNCTION("""COMPUTED_VALUE"""),"Not specified")</f>
        <v>Not specified</v>
      </c>
      <c r="AA120" t="str">
        <f>IFERROR(__xludf.DUMMYFUNCTION("""COMPUTED_VALUE"""),"")</f>
        <v/>
      </c>
      <c r="AB120" t="str">
        <f>IFERROR(__xludf.DUMMYFUNCTION("""COMPUTED_VALUE"""),"It is acceptable to consult with laboratory colleagues, but please identify them to the editors.")</f>
        <v>It is acceptable to consult with laboratory colleagues, but please identify them to the editors.</v>
      </c>
      <c r="AC120" s="78" t="str">
        <f>IFERROR(__xludf.DUMMYFUNCTION("""COMPUTED_VALUE"""),"https://www.nature.com/nrg/for-referees")</f>
        <v>https://www.nature.com/nrg/for-referees</v>
      </c>
      <c r="AD120" t="str">
        <f>IFERROR(__xludf.DUMMYFUNCTION("""COMPUTED_VALUE"""),"Yes")</f>
        <v>Yes</v>
      </c>
      <c r="AE120" t="str">
        <f>IFERROR(__xludf.DUMMYFUNCTION("""COMPUTED_VALUE"""),"Unsure")</f>
        <v>Unsure</v>
      </c>
      <c r="AF120" t="str">
        <f>IFERROR(__xludf.DUMMYFUNCTION("""COMPUTED_VALUE"""),"Unsure")</f>
        <v>Unsure</v>
      </c>
      <c r="AG120" t="str">
        <f>IFERROR(__xludf.DUMMYFUNCTION("""COMPUTED_VALUE"""),"")</f>
        <v/>
      </c>
      <c r="AH120" t="str">
        <f>IFERROR(__xludf.DUMMYFUNCTION("""COMPUTED_VALUE"""),"No preprint policy")</f>
        <v>No preprint policy</v>
      </c>
      <c r="AI120" t="str">
        <f>IFERROR(__xludf.DUMMYFUNCTION("""COMPUTED_VALUE"""),"")</f>
        <v/>
      </c>
      <c r="AJ120" t="str">
        <f>IFERROR(__xludf.DUMMYFUNCTION("""COMPUTED_VALUE"""),"Not specified")</f>
        <v>Not specified</v>
      </c>
      <c r="AK120" t="str">
        <f>IFERROR(__xludf.DUMMYFUNCTION("""COMPUTED_VALUE"""),"Unsure")</f>
        <v>Unsure</v>
      </c>
      <c r="AL120" t="str">
        <f>IFERROR(__xludf.DUMMYFUNCTION("""COMPUTED_VALUE"""),"")</f>
        <v/>
      </c>
      <c r="AM120" t="str">
        <f>IFERROR(__xludf.DUMMYFUNCTION("""COMPUTED_VALUE"""),"")</f>
        <v/>
      </c>
      <c r="AN120" t="str">
        <f>IFERROR(__xludf.DUMMYFUNCTION("""COMPUTED_VALUE"""),"")</f>
        <v/>
      </c>
      <c r="AO120" t="str">
        <f>IFERROR(__xludf.DUMMYFUNCTION("""COMPUTED_VALUE"""),"")</f>
        <v/>
      </c>
      <c r="AP120" t="str">
        <f>IFERROR(__xludf.DUMMYFUNCTION("""COMPUTED_VALUE"""),"")</f>
        <v/>
      </c>
      <c r="AQ120" t="str">
        <f>IFERROR(__xludf.DUMMYFUNCTION("""COMPUTED_VALUE"""),"")</f>
        <v/>
      </c>
      <c r="AR120" t="str">
        <f>IFERROR(__xludf.DUMMYFUNCTION("""COMPUTED_VALUE"""),"")</f>
        <v/>
      </c>
    </row>
    <row r="121">
      <c r="A121" t="str">
        <f>IFERROR(__xludf.DUMMYFUNCTION("""COMPUTED_VALUE"""),"SR")</f>
        <v>SR</v>
      </c>
      <c r="B121" s="34">
        <f>IFERROR(__xludf.DUMMYFUNCTION("""COMPUTED_VALUE"""),43440.0)</f>
        <v>43440</v>
      </c>
      <c r="C121" t="str">
        <f>IFERROR(__xludf.DUMMYFUNCTION("""COMPUTED_VALUE"""),"JP")</f>
        <v>JP</v>
      </c>
      <c r="D121" s="36">
        <f>IFERROR(__xludf.DUMMYFUNCTION("""COMPUTED_VALUE"""),43566.0)</f>
        <v>43566</v>
      </c>
      <c r="E121" t="str">
        <f>IFERROR(__xludf.DUMMYFUNCTION("""COMPUTED_VALUE"""),"TRH")</f>
        <v>TRH</v>
      </c>
      <c r="F121" s="36">
        <f>IFERROR(__xludf.DUMMYFUNCTION("""COMPUTED_VALUE"""),43583.0)</f>
        <v>43583</v>
      </c>
      <c r="G121" s="36" t="str">
        <f>IFERROR(__xludf.DUMMYFUNCTION("""COMPUTED_VALUE"""),"")</f>
        <v/>
      </c>
      <c r="H121" t="str">
        <f>IFERROR(__xludf.DUMMYFUNCTION("""COMPUTED_VALUE"""),"1474-1784")</f>
        <v>1474-1784</v>
      </c>
      <c r="I121" t="str">
        <f>IFERROR(__xludf.DUMMYFUNCTION("""COMPUTED_VALUE"""),"Nature Reviews. Drug Discovery")</f>
        <v>Nature Reviews. Drug Discovery</v>
      </c>
      <c r="J121" t="str">
        <f>IFERROR(__xludf.DUMMYFUNCTION("""COMPUTED_VALUE"""),"")</f>
        <v/>
      </c>
      <c r="K121" t="str">
        <f>IFERROR(__xludf.DUMMYFUNCTION("""COMPUTED_VALUE"""),"")</f>
        <v/>
      </c>
      <c r="L121" t="str">
        <f>IFERROR(__xludf.DUMMYFUNCTION("""COMPUTED_VALUE"""),"Unsure")</f>
        <v>Unsure</v>
      </c>
      <c r="M121" s="78" t="str">
        <f>IFERROR(__xludf.DUMMYFUNCTION("""COMPUTED_VALUE"""),"https://www.nature.com/nrg/for-referees")</f>
        <v>https://www.nature.com/nrg/for-referees</v>
      </c>
      <c r="N121" t="str">
        <f>IFERROR(__xludf.DUMMYFUNCTION("""COMPUTED_VALUE"""),"")</f>
        <v/>
      </c>
      <c r="O121" t="str">
        <f>IFERROR(__xludf.DUMMYFUNCTION("""COMPUTED_VALUE"""),"")</f>
        <v/>
      </c>
      <c r="P121" t="str">
        <f>IFERROR(__xludf.DUMMYFUNCTION("""COMPUTED_VALUE"""),"Unsure")</f>
        <v>Unsure</v>
      </c>
      <c r="Q121" t="str">
        <f>IFERROR(__xludf.DUMMYFUNCTION("""COMPUTED_VALUE"""),"")</f>
        <v/>
      </c>
      <c r="R121" t="str">
        <f>IFERROR(__xludf.DUMMYFUNCTION("""COMPUTED_VALUE"""),"")</f>
        <v/>
      </c>
      <c r="S121" t="str">
        <f>IFERROR(__xludf.DUMMYFUNCTION("""COMPUTED_VALUE"""),"Not specified")</f>
        <v>Not specified</v>
      </c>
      <c r="T121" t="str">
        <f>IFERROR(__xludf.DUMMYFUNCTION("""COMPUTED_VALUE"""),"Not specified")</f>
        <v>Not specified</v>
      </c>
      <c r="U121" t="str">
        <f>IFERROR(__xludf.DUMMYFUNCTION("""COMPUTED_VALUE"""),"Not specified")</f>
        <v>Not specified</v>
      </c>
      <c r="V121" t="str">
        <f>IFERROR(__xludf.DUMMYFUNCTION("""COMPUTED_VALUE"""),"Not specified")</f>
        <v>Not specified</v>
      </c>
      <c r="W121" t="str">
        <f>IFERROR(__xludf.DUMMYFUNCTION("""COMPUTED_VALUE"""),"Not specified")</f>
        <v>Not specified</v>
      </c>
      <c r="X121" t="str">
        <f>IFERROR(__xludf.DUMMYFUNCTION("""COMPUTED_VALUE"""),"Optional - at request of referee")</f>
        <v>Optional - at request of referee</v>
      </c>
      <c r="Y121" t="str">
        <f>IFERROR(__xludf.DUMMYFUNCTION("""COMPUTED_VALUE"""),"Not specified")</f>
        <v>Not specified</v>
      </c>
      <c r="Z121" t="str">
        <f>IFERROR(__xludf.DUMMYFUNCTION("""COMPUTED_VALUE"""),"Not specified")</f>
        <v>Not specified</v>
      </c>
      <c r="AA121" t="str">
        <f>IFERROR(__xludf.DUMMYFUNCTION("""COMPUTED_VALUE"""),"")</f>
        <v/>
      </c>
      <c r="AB121" t="str">
        <f>IFERROR(__xludf.DUMMYFUNCTION("""COMPUTED_VALUE"""),"It is acceptable to consult with laboratory colleagues, but please identify them to the editors.")</f>
        <v>It is acceptable to consult with laboratory colleagues, but please identify them to the editors.</v>
      </c>
      <c r="AC121" s="78" t="str">
        <f>IFERROR(__xludf.DUMMYFUNCTION("""COMPUTED_VALUE"""),"https://www.nature.com/nrg/for-referees")</f>
        <v>https://www.nature.com/nrg/for-referees</v>
      </c>
      <c r="AD121" t="str">
        <f>IFERROR(__xludf.DUMMYFUNCTION("""COMPUTED_VALUE"""),"Yes")</f>
        <v>Yes</v>
      </c>
      <c r="AE121" t="str">
        <f>IFERROR(__xludf.DUMMYFUNCTION("""COMPUTED_VALUE"""),"Unsure")</f>
        <v>Unsure</v>
      </c>
      <c r="AF121" t="str">
        <f>IFERROR(__xludf.DUMMYFUNCTION("""COMPUTED_VALUE"""),"Unsure")</f>
        <v>Unsure</v>
      </c>
      <c r="AG121" t="str">
        <f>IFERROR(__xludf.DUMMYFUNCTION("""COMPUTED_VALUE"""),"")</f>
        <v/>
      </c>
      <c r="AH121" t="str">
        <f>IFERROR(__xludf.DUMMYFUNCTION("""COMPUTED_VALUE"""),"No preprint policy")</f>
        <v>No preprint policy</v>
      </c>
      <c r="AI121" t="str">
        <f>IFERROR(__xludf.DUMMYFUNCTION("""COMPUTED_VALUE"""),"")</f>
        <v/>
      </c>
      <c r="AJ121" t="str">
        <f>IFERROR(__xludf.DUMMYFUNCTION("""COMPUTED_VALUE"""),"Not specified")</f>
        <v>Not specified</v>
      </c>
      <c r="AK121" t="str">
        <f>IFERROR(__xludf.DUMMYFUNCTION("""COMPUTED_VALUE"""),"Unsure")</f>
        <v>Unsure</v>
      </c>
      <c r="AL121" t="str">
        <f>IFERROR(__xludf.DUMMYFUNCTION("""COMPUTED_VALUE"""),"")</f>
        <v/>
      </c>
      <c r="AM121" t="str">
        <f>IFERROR(__xludf.DUMMYFUNCTION("""COMPUTED_VALUE"""),"")</f>
        <v/>
      </c>
      <c r="AN121" t="str">
        <f>IFERROR(__xludf.DUMMYFUNCTION("""COMPUTED_VALUE"""),"")</f>
        <v/>
      </c>
      <c r="AO121" t="str">
        <f>IFERROR(__xludf.DUMMYFUNCTION("""COMPUTED_VALUE"""),"")</f>
        <v/>
      </c>
      <c r="AP121" t="str">
        <f>IFERROR(__xludf.DUMMYFUNCTION("""COMPUTED_VALUE"""),"")</f>
        <v/>
      </c>
      <c r="AQ121" t="str">
        <f>IFERROR(__xludf.DUMMYFUNCTION("""COMPUTED_VALUE"""),"")</f>
        <v/>
      </c>
      <c r="AR121" t="str">
        <f>IFERROR(__xludf.DUMMYFUNCTION("""COMPUTED_VALUE"""),"")</f>
        <v/>
      </c>
    </row>
    <row r="122">
      <c r="A122" t="str">
        <f>IFERROR(__xludf.DUMMYFUNCTION("""COMPUTED_VALUE"""),"SR")</f>
        <v>SR</v>
      </c>
      <c r="B122" s="34">
        <f>IFERROR(__xludf.DUMMYFUNCTION("""COMPUTED_VALUE"""),43440.0)</f>
        <v>43440</v>
      </c>
      <c r="C122" t="str">
        <f>IFERROR(__xludf.DUMMYFUNCTION("""COMPUTED_VALUE"""),"JP")</f>
        <v>JP</v>
      </c>
      <c r="D122" s="36">
        <f>IFERROR(__xludf.DUMMYFUNCTION("""COMPUTED_VALUE"""),43566.0)</f>
        <v>43566</v>
      </c>
      <c r="E122" t="str">
        <f>IFERROR(__xludf.DUMMYFUNCTION("""COMPUTED_VALUE"""),"TRH")</f>
        <v>TRH</v>
      </c>
      <c r="F122" s="36">
        <f>IFERROR(__xludf.DUMMYFUNCTION("""COMPUTED_VALUE"""),43583.0)</f>
        <v>43583</v>
      </c>
      <c r="G122" s="36" t="str">
        <f>IFERROR(__xludf.DUMMYFUNCTION("""COMPUTED_VALUE"""),"")</f>
        <v/>
      </c>
      <c r="H122" t="str">
        <f>IFERROR(__xludf.DUMMYFUNCTION("""COMPUTED_VALUE"""),"1471-0080")</f>
        <v>1471-0080</v>
      </c>
      <c r="I122" t="str">
        <f>IFERROR(__xludf.DUMMYFUNCTION("""COMPUTED_VALUE"""),"Nature Reviews. Molecular Cell Biology")</f>
        <v>Nature Reviews. Molecular Cell Biology</v>
      </c>
      <c r="J122" t="str">
        <f>IFERROR(__xludf.DUMMYFUNCTION("""COMPUTED_VALUE"""),"Life Sciences &amp; Earth Sciences")</f>
        <v>Life Sciences &amp; Earth Sciences</v>
      </c>
      <c r="K122" t="str">
        <f>IFERROR(__xludf.DUMMYFUNCTION("""COMPUTED_VALUE"""),"")</f>
        <v/>
      </c>
      <c r="L122" t="str">
        <f>IFERROR(__xludf.DUMMYFUNCTION("""COMPUTED_VALUE"""),"Unsure")</f>
        <v>Unsure</v>
      </c>
      <c r="M122" s="78" t="str">
        <f>IFERROR(__xludf.DUMMYFUNCTION("""COMPUTED_VALUE"""),"https://www.nature.com/nrg/for-referees")</f>
        <v>https://www.nature.com/nrg/for-referees</v>
      </c>
      <c r="N122" t="str">
        <f>IFERROR(__xludf.DUMMYFUNCTION("""COMPUTED_VALUE"""),"")</f>
        <v/>
      </c>
      <c r="O122" t="str">
        <f>IFERROR(__xludf.DUMMYFUNCTION("""COMPUTED_VALUE"""),"")</f>
        <v/>
      </c>
      <c r="P122" t="str">
        <f>IFERROR(__xludf.DUMMYFUNCTION("""COMPUTED_VALUE"""),"Unsure")</f>
        <v>Unsure</v>
      </c>
      <c r="Q122" t="str">
        <f>IFERROR(__xludf.DUMMYFUNCTION("""COMPUTED_VALUE"""),"")</f>
        <v/>
      </c>
      <c r="R122" t="str">
        <f>IFERROR(__xludf.DUMMYFUNCTION("""COMPUTED_VALUE"""),"")</f>
        <v/>
      </c>
      <c r="S122" t="str">
        <f>IFERROR(__xludf.DUMMYFUNCTION("""COMPUTED_VALUE"""),"Not specified")</f>
        <v>Not specified</v>
      </c>
      <c r="T122" t="str">
        <f>IFERROR(__xludf.DUMMYFUNCTION("""COMPUTED_VALUE"""),"Not specified")</f>
        <v>Not specified</v>
      </c>
      <c r="U122" t="str">
        <f>IFERROR(__xludf.DUMMYFUNCTION("""COMPUTED_VALUE"""),"Not specified")</f>
        <v>Not specified</v>
      </c>
      <c r="V122" t="str">
        <f>IFERROR(__xludf.DUMMYFUNCTION("""COMPUTED_VALUE"""),"Not specified")</f>
        <v>Not specified</v>
      </c>
      <c r="W122" t="str">
        <f>IFERROR(__xludf.DUMMYFUNCTION("""COMPUTED_VALUE"""),"Not specified")</f>
        <v>Not specified</v>
      </c>
      <c r="X122" t="str">
        <f>IFERROR(__xludf.DUMMYFUNCTION("""COMPUTED_VALUE"""),"Optional - at request of referee")</f>
        <v>Optional - at request of referee</v>
      </c>
      <c r="Y122" t="str">
        <f>IFERROR(__xludf.DUMMYFUNCTION("""COMPUTED_VALUE"""),"Not specified")</f>
        <v>Not specified</v>
      </c>
      <c r="Z122" t="str">
        <f>IFERROR(__xludf.DUMMYFUNCTION("""COMPUTED_VALUE"""),"Not specified")</f>
        <v>Not specified</v>
      </c>
      <c r="AA122" t="str">
        <f>IFERROR(__xludf.DUMMYFUNCTION("""COMPUTED_VALUE"""),"")</f>
        <v/>
      </c>
      <c r="AB122" t="str">
        <f>IFERROR(__xludf.DUMMYFUNCTION("""COMPUTED_VALUE"""),"It is acceptable to consult with laboratory colleagues, but please identify them to the editors.")</f>
        <v>It is acceptable to consult with laboratory colleagues, but please identify them to the editors.</v>
      </c>
      <c r="AC122" s="78" t="str">
        <f>IFERROR(__xludf.DUMMYFUNCTION("""COMPUTED_VALUE"""),"https://www.nature.com/nrg/for-referees")</f>
        <v>https://www.nature.com/nrg/for-referees</v>
      </c>
      <c r="AD122" t="str">
        <f>IFERROR(__xludf.DUMMYFUNCTION("""COMPUTED_VALUE"""),"Yes")</f>
        <v>Yes</v>
      </c>
      <c r="AE122" t="str">
        <f>IFERROR(__xludf.DUMMYFUNCTION("""COMPUTED_VALUE"""),"Unsure")</f>
        <v>Unsure</v>
      </c>
      <c r="AF122" t="str">
        <f>IFERROR(__xludf.DUMMYFUNCTION("""COMPUTED_VALUE"""),"Unsure")</f>
        <v>Unsure</v>
      </c>
      <c r="AG122" t="str">
        <f>IFERROR(__xludf.DUMMYFUNCTION("""COMPUTED_VALUE"""),"")</f>
        <v/>
      </c>
      <c r="AH122" t="str">
        <f>IFERROR(__xludf.DUMMYFUNCTION("""COMPUTED_VALUE"""),"No preprint policy")</f>
        <v>No preprint policy</v>
      </c>
      <c r="AI122" t="str">
        <f>IFERROR(__xludf.DUMMYFUNCTION("""COMPUTED_VALUE"""),"")</f>
        <v/>
      </c>
      <c r="AJ122" t="str">
        <f>IFERROR(__xludf.DUMMYFUNCTION("""COMPUTED_VALUE"""),"Not specified")</f>
        <v>Not specified</v>
      </c>
      <c r="AK122" t="str">
        <f>IFERROR(__xludf.DUMMYFUNCTION("""COMPUTED_VALUE"""),"Unsure")</f>
        <v>Unsure</v>
      </c>
      <c r="AL122" t="str">
        <f>IFERROR(__xludf.DUMMYFUNCTION("""COMPUTED_VALUE"""),"")</f>
        <v/>
      </c>
      <c r="AM122" t="str">
        <f>IFERROR(__xludf.DUMMYFUNCTION("""COMPUTED_VALUE"""),"")</f>
        <v/>
      </c>
      <c r="AN122" t="str">
        <f>IFERROR(__xludf.DUMMYFUNCTION("""COMPUTED_VALUE"""),"")</f>
        <v/>
      </c>
      <c r="AO122" t="str">
        <f>IFERROR(__xludf.DUMMYFUNCTION("""COMPUTED_VALUE"""),"")</f>
        <v/>
      </c>
      <c r="AP122" t="str">
        <f>IFERROR(__xludf.DUMMYFUNCTION("""COMPUTED_VALUE"""),"")</f>
        <v/>
      </c>
      <c r="AQ122" t="str">
        <f>IFERROR(__xludf.DUMMYFUNCTION("""COMPUTED_VALUE"""),"")</f>
        <v/>
      </c>
      <c r="AR122" t="str">
        <f>IFERROR(__xludf.DUMMYFUNCTION("""COMPUTED_VALUE"""),"")</f>
        <v/>
      </c>
    </row>
    <row r="123">
      <c r="A123" t="str">
        <f>IFERROR(__xludf.DUMMYFUNCTION("""COMPUTED_VALUE"""),"SR")</f>
        <v>SR</v>
      </c>
      <c r="B123" s="34">
        <f>IFERROR(__xludf.DUMMYFUNCTION("""COMPUTED_VALUE"""),43440.0)</f>
        <v>43440</v>
      </c>
      <c r="C123" t="str">
        <f>IFERROR(__xludf.DUMMYFUNCTION("""COMPUTED_VALUE"""),"JP")</f>
        <v>JP</v>
      </c>
      <c r="D123" s="36">
        <f>IFERROR(__xludf.DUMMYFUNCTION("""COMPUTED_VALUE"""),43572.0)</f>
        <v>43572</v>
      </c>
      <c r="E123" t="str">
        <f>IFERROR(__xludf.DUMMYFUNCTION("""COMPUTED_VALUE"""),"TRH")</f>
        <v>TRH</v>
      </c>
      <c r="F123" s="36">
        <f>IFERROR(__xludf.DUMMYFUNCTION("""COMPUTED_VALUE"""),43583.0)</f>
        <v>43583</v>
      </c>
      <c r="G123" t="str">
        <f>IFERROR(__xludf.DUMMYFUNCTION("""COMPUTED_VALUE"""),"")</f>
        <v/>
      </c>
      <c r="H123" t="str">
        <f>IFERROR(__xludf.DUMMYFUNCTION("""COMPUTED_VALUE"""),"")</f>
        <v/>
      </c>
      <c r="I123" t="str">
        <f>IFERROR(__xludf.DUMMYFUNCTION("""COMPUTED_VALUE"""),"Neural Information Processing Systems (NIPS)")</f>
        <v>Neural Information Processing Systems (NIPS)</v>
      </c>
      <c r="J123" t="str">
        <f>IFERROR(__xludf.DUMMYFUNCTION("""COMPUTED_VALUE"""),"Engineering &amp; Computer Science")</f>
        <v>Engineering &amp; Computer Science</v>
      </c>
      <c r="K123" t="str">
        <f>IFERROR(__xludf.DUMMYFUNCTION("""COMPUTED_VALUE"""),"")</f>
        <v/>
      </c>
      <c r="L123" t="str">
        <f>IFERROR(__xludf.DUMMYFUNCTION("""COMPUTED_VALUE"""),"Double blind")</f>
        <v>Double blind</v>
      </c>
      <c r="M123" s="78" t="str">
        <f>IFERROR(__xludf.DUMMYFUNCTION("""COMPUTED_VALUE"""),"https://nips.cc/Conferences/2019/CallForPapers")</f>
        <v>https://nips.cc/Conferences/2019/CallForPapers</v>
      </c>
      <c r="N123" t="str">
        <f>IFERROR(__xludf.DUMMYFUNCTION("""COMPUTED_VALUE"""),"")</f>
        <v/>
      </c>
      <c r="O123" t="str">
        <f>IFERROR(__xludf.DUMMYFUNCTION("""COMPUTED_VALUE"""),"")</f>
        <v/>
      </c>
      <c r="P123" t="str">
        <f>IFERROR(__xludf.DUMMYFUNCTION("""COMPUTED_VALUE"""),"Unsure")</f>
        <v>Unsure</v>
      </c>
      <c r="Q123" t="str">
        <f>IFERROR(__xludf.DUMMYFUNCTION("""COMPUTED_VALUE"""),"")</f>
        <v/>
      </c>
      <c r="R123" t="str">
        <f>IFERROR(__xludf.DUMMYFUNCTION("""COMPUTED_VALUE"""),"")</f>
        <v/>
      </c>
      <c r="S123" t="str">
        <f>IFERROR(__xludf.DUMMYFUNCTION("""COMPUTED_VALUE"""),"Mandatory")</f>
        <v>Mandatory</v>
      </c>
      <c r="T123" t="str">
        <f>IFERROR(__xludf.DUMMYFUNCTION("""COMPUTED_VALUE"""),"Mandatory")</f>
        <v>Mandatory</v>
      </c>
      <c r="U123" t="str">
        <f>IFERROR(__xludf.DUMMYFUNCTION("""COMPUTED_VALUE"""),"Mandatory")</f>
        <v>Mandatory</v>
      </c>
      <c r="V123" t="str">
        <f>IFERROR(__xludf.DUMMYFUNCTION("""COMPUTED_VALUE"""),"Not specified")</f>
        <v>Not specified</v>
      </c>
      <c r="W123" t="str">
        <f>IFERROR(__xludf.DUMMYFUNCTION("""COMPUTED_VALUE"""),"No")</f>
        <v>No</v>
      </c>
      <c r="X123" t="str">
        <f>IFERROR(__xludf.DUMMYFUNCTION("""COMPUTED_VALUE"""),"No")</f>
        <v>No</v>
      </c>
      <c r="Y123" t="str">
        <f>IFERROR(__xludf.DUMMYFUNCTION("""COMPUTED_VALUE"""),"Not specified")</f>
        <v>Not specified</v>
      </c>
      <c r="Z123" t="str">
        <f>IFERROR(__xludf.DUMMYFUNCTION("""COMPUTED_VALUE"""),"Not specified")</f>
        <v>Not specified</v>
      </c>
      <c r="AA123" t="str">
        <f>IFERROR(__xludf.DUMMYFUNCTION("""COMPUTED_VALUE"""),"""The reviewing process will be double blind at the level of reviewers and area chairs (i.e., reviewers and area chairs cannot see author identities) but not at the level of senior area chairs and program chairs.""")</f>
        <v>"The reviewing process will be double blind at the level of reviewers and area chairs (i.e., reviewers and area chairs cannot see author identities) but not at the level of senior area chairs and program chairs."</v>
      </c>
      <c r="AB123" t="str">
        <f>IFERROR(__xludf.DUMMYFUNCTION("""COMPUTED_VALUE"""),"")</f>
        <v/>
      </c>
      <c r="AC123" t="str">
        <f>IFERROR(__xludf.DUMMYFUNCTION("""COMPUTED_VALUE"""),"")</f>
        <v/>
      </c>
      <c r="AD123" t="str">
        <f>IFERROR(__xludf.DUMMYFUNCTION("""COMPUTED_VALUE"""),"Unsure")</f>
        <v>Unsure</v>
      </c>
      <c r="AE123" t="str">
        <f>IFERROR(__xludf.DUMMYFUNCTION("""COMPUTED_VALUE"""),"Unsure")</f>
        <v>Unsure</v>
      </c>
      <c r="AF123" t="str">
        <f>IFERROR(__xludf.DUMMYFUNCTION("""COMPUTED_VALUE"""),"Unsure")</f>
        <v>Unsure</v>
      </c>
      <c r="AG123" s="78" t="str">
        <f>IFERROR(__xludf.DUMMYFUNCTION("""COMPUTED_VALUE"""),"https://nips.cc/Conferences/2019/CallForPapers")</f>
        <v>https://nips.cc/Conferences/2019/CallForPapers</v>
      </c>
      <c r="AH123" t="str">
        <f>IFERROR(__xludf.DUMMYFUNCTION("""COMPUTED_VALUE"""),"Unclear")</f>
        <v>Unclear</v>
      </c>
      <c r="AI123" t="str">
        <f>IFERROR(__xludf.DUMMYFUNCTION("""COMPUTED_VALUE"""),"Preprints: Non-anonymous preprints (on arXiv, social media, websites, etc.) are permitted.  If you choose to use the NeurIPS style for the preprint, you must use the “preprint” option rather than the “final” option. Reviewers will be instructed not to act"&amp;"ively look for such preprints, but encountering them will not constitute a conflict of interest. Authors may submit work to NeurIPS that is already available as a preprint (e.g., on arXiv) without citing it; however, previously published papers by the aut"&amp;"hors on related topics must be cited (with adequate anonymization to preserve double-blind reviewing).")</f>
        <v>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v>
      </c>
      <c r="AJ123" t="str">
        <f>IFERROR(__xludf.DUMMYFUNCTION("""COMPUTED_VALUE"""),"Yes, in the reference list (assumed)")</f>
        <v>Yes, in the reference list (assumed)</v>
      </c>
      <c r="AK123" t="str">
        <f>IFERROR(__xludf.DUMMYFUNCTION("""COMPUTED_VALUE"""),"Unsure")</f>
        <v>Unsure</v>
      </c>
      <c r="AL123" t="str">
        <f>IFERROR(__xludf.DUMMYFUNCTION("""COMPUTED_VALUE"""),"")</f>
        <v/>
      </c>
      <c r="AM123" t="str">
        <f>IFERROR(__xludf.DUMMYFUNCTION("""COMPUTED_VALUE"""),"")</f>
        <v/>
      </c>
      <c r="AN123" t="str">
        <f>IFERROR(__xludf.DUMMYFUNCTION("""COMPUTED_VALUE"""),"")</f>
        <v/>
      </c>
      <c r="AO123" t="str">
        <f>IFERROR(__xludf.DUMMYFUNCTION("""COMPUTED_VALUE"""),"Assuming citation policy from :  Authors may submit work to NeurIPS that is already available as a preprint (e.g., on arXiv) without citing it; however, previously published papers by the authors on related topics must be cited (with adequate anonymizatio"&amp;"n to preserve double-blind reviewing).")</f>
        <v>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v>
      </c>
      <c r="AP123" t="str">
        <f>IFERROR(__xludf.DUMMYFUNCTION("""COMPUTED_VALUE"""),"")</f>
        <v/>
      </c>
      <c r="AQ123" t="str">
        <f>IFERROR(__xludf.DUMMYFUNCTION("""COMPUTED_VALUE"""),"")</f>
        <v/>
      </c>
      <c r="AR123" t="str">
        <f>IFERROR(__xludf.DUMMYFUNCTION("""COMPUTED_VALUE"""),"")</f>
        <v/>
      </c>
    </row>
    <row r="124">
      <c r="A124" t="str">
        <f>IFERROR(__xludf.DUMMYFUNCTION("""COMPUTED_VALUE"""),"SR")</f>
        <v>SR</v>
      </c>
      <c r="B124" s="34">
        <f>IFERROR(__xludf.DUMMYFUNCTION("""COMPUTED_VALUE"""),43440.0)</f>
        <v>43440</v>
      </c>
      <c r="C124" t="str">
        <f>IFERROR(__xludf.DUMMYFUNCTION("""COMPUTED_VALUE"""),"JP")</f>
        <v>JP</v>
      </c>
      <c r="D124" s="36">
        <f>IFERROR(__xludf.DUMMYFUNCTION("""COMPUTED_VALUE"""),43572.0)</f>
        <v>43572</v>
      </c>
      <c r="E124" t="str">
        <f>IFERROR(__xludf.DUMMYFUNCTION("""COMPUTED_VALUE"""),"TRH")</f>
        <v>TRH</v>
      </c>
      <c r="F124" s="36">
        <f>IFERROR(__xludf.DUMMYFUNCTION("""COMPUTED_VALUE"""),43583.0)</f>
        <v>43583</v>
      </c>
      <c r="G124" t="str">
        <f>IFERROR(__xludf.DUMMYFUNCTION("""COMPUTED_VALUE"""),"")</f>
        <v/>
      </c>
      <c r="H124" t="str">
        <f>IFERROR(__xludf.DUMMYFUNCTION("""COMPUTED_VALUE"""),"1053-8119")</f>
        <v>1053-8119</v>
      </c>
      <c r="I124" t="str">
        <f>IFERROR(__xludf.DUMMYFUNCTION("""COMPUTED_VALUE"""),"NeuroImage")</f>
        <v>NeuroImage</v>
      </c>
      <c r="J124" t="str">
        <f>IFERROR(__xludf.DUMMYFUNCTION("""COMPUTED_VALUE"""),"")</f>
        <v/>
      </c>
      <c r="K124" t="str">
        <f>IFERROR(__xludf.DUMMYFUNCTION("""COMPUTED_VALUE"""),"Elsevier")</f>
        <v>Elsevier</v>
      </c>
      <c r="L124" t="str">
        <f>IFERROR(__xludf.DUMMYFUNCTION("""COMPUTED_VALUE"""),"Single blind")</f>
        <v>Single blind</v>
      </c>
      <c r="M124" s="78" t="str">
        <f>IFERROR(__xludf.DUMMYFUNCTION("""COMPUTED_VALUE"""),"https://www.elsevier.com/journals/neuroimage/1053-8119/guide-for-authors")</f>
        <v>https://www.elsevier.com/journals/neuroimage/1053-8119/guide-for-authors</v>
      </c>
      <c r="N124" t="str">
        <f>IFERROR(__xludf.DUMMYFUNCTION("""COMPUTED_VALUE"""),"")</f>
        <v/>
      </c>
      <c r="O124" s="78" t="str">
        <f>IFERROR(__xludf.DUMMYFUNCTION("""COMPUTED_VALUE"""),"https://www.elsevier.com/reviewers/role#RRP")</f>
        <v>https://www.elsevier.com/reviewers/role#RRP</v>
      </c>
      <c r="P124" t="str">
        <f>IFERROR(__xludf.DUMMYFUNCTION("""COMPUTED_VALUE"""),"Unsure")</f>
        <v>Unsure</v>
      </c>
      <c r="Q124"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24" s="78" t="str">
        <f>IFERROR(__xludf.DUMMYFUNCTION("""COMPUTED_VALUE"""),"https://www.elsevier.com/reviewers/what-is-peer-review")</f>
        <v>https://www.elsevier.com/reviewers/what-is-peer-review</v>
      </c>
      <c r="S124" t="str">
        <f>IFERROR(__xludf.DUMMYFUNCTION("""COMPUTED_VALUE"""),"No")</f>
        <v>No</v>
      </c>
      <c r="T124" t="str">
        <f>IFERROR(__xludf.DUMMYFUNCTION("""COMPUTED_VALUE"""),"No")</f>
        <v>No</v>
      </c>
      <c r="U124" t="str">
        <f>IFERROR(__xludf.DUMMYFUNCTION("""COMPUTED_VALUE"""),"No")</f>
        <v>No</v>
      </c>
      <c r="V124" t="str">
        <f>IFERROR(__xludf.DUMMYFUNCTION("""COMPUTED_VALUE"""),"No")</f>
        <v>No</v>
      </c>
      <c r="W124" t="str">
        <f>IFERROR(__xludf.DUMMYFUNCTION("""COMPUTED_VALUE"""),"No")</f>
        <v>No</v>
      </c>
      <c r="X124" t="str">
        <f>IFERROR(__xludf.DUMMYFUNCTION("""COMPUTED_VALUE"""),"No")</f>
        <v>No</v>
      </c>
      <c r="Y124" t="str">
        <f>IFERROR(__xludf.DUMMYFUNCTION("""COMPUTED_VALUE"""),"No")</f>
        <v>No</v>
      </c>
      <c r="Z124" t="str">
        <f>IFERROR(__xludf.DUMMYFUNCTION("""COMPUTED_VALUE"""),"No")</f>
        <v>No</v>
      </c>
      <c r="AA124" t="str">
        <f>IFERROR(__xludf.DUMMYFUNCTION("""COMPUTED_VALUE"""),"")</f>
        <v/>
      </c>
      <c r="AB124"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24" s="78" t="str">
        <f>IFERROR(__xludf.DUMMYFUNCTION("""COMPUTED_VALUE"""),"https://www.elsevier.com/reviewers/how-to-review")</f>
        <v>https://www.elsevier.com/reviewers/how-to-review</v>
      </c>
      <c r="AD124" t="str">
        <f>IFERROR(__xludf.DUMMYFUNCTION("""COMPUTED_VALUE"""),"Unsure")</f>
        <v>Unsure</v>
      </c>
      <c r="AE124" t="str">
        <f>IFERROR(__xludf.DUMMYFUNCTION("""COMPUTED_VALUE"""),"Unsure")</f>
        <v>Unsure</v>
      </c>
      <c r="AF124" t="str">
        <f>IFERROR(__xludf.DUMMYFUNCTION("""COMPUTED_VALUE"""),"Unsure")</f>
        <v>Unsure</v>
      </c>
      <c r="AG124" s="78" t="str">
        <f>IFERROR(__xludf.DUMMYFUNCTION("""COMPUTED_VALUE"""),"https://www.elsevier.com/about/policies/sharing")</f>
        <v>https://www.elsevier.com/about/policies/sharing</v>
      </c>
      <c r="AH124" t="str">
        <f>IFERROR(__xludf.DUMMYFUNCTION("""COMPUTED_VALUE"""),"Unsure")</f>
        <v>Unsure</v>
      </c>
      <c r="AI124" t="str">
        <f>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24" t="str">
        <f>IFERROR(__xludf.DUMMYFUNCTION("""COMPUTED_VALUE"""),"Unsure")</f>
        <v>Unsure</v>
      </c>
      <c r="AK124" t="str">
        <f>IFERROR(__xludf.DUMMYFUNCTION("""COMPUTED_VALUE"""),"Unsure")</f>
        <v>Unsure</v>
      </c>
      <c r="AL124" t="str">
        <f>IFERROR(__xludf.DUMMYFUNCTION("""COMPUTED_VALUE"""),"")</f>
        <v/>
      </c>
      <c r="AM124" t="str">
        <f>IFERROR(__xludf.DUMMYFUNCTION("""COMPUTED_VALUE"""),"")</f>
        <v/>
      </c>
      <c r="AN124" t="str">
        <f>IFERROR(__xludf.DUMMYFUNCTION("""COMPUTED_VALUE"""),"")</f>
        <v/>
      </c>
      <c r="AO124" t="str">
        <f>IFERROR(__xludf.DUMMYFUNCTION("""COMPUTED_VALUE"""),"")</f>
        <v/>
      </c>
      <c r="AP124" t="str">
        <f>IFERROR(__xludf.DUMMYFUNCTION("""COMPUTED_VALUE"""),"")</f>
        <v/>
      </c>
      <c r="AQ124" t="str">
        <f>IFERROR(__xludf.DUMMYFUNCTION("""COMPUTED_VALUE"""),"")</f>
        <v/>
      </c>
      <c r="AR124" t="str">
        <f>IFERROR(__xludf.DUMMYFUNCTION("""COMPUTED_VALUE"""),"")</f>
        <v/>
      </c>
    </row>
    <row r="125">
      <c r="A125" t="str">
        <f>IFERROR(__xludf.DUMMYFUNCTION("""COMPUTED_VALUE"""),"GSM")</f>
        <v>GSM</v>
      </c>
      <c r="B125" s="34">
        <f>IFERROR(__xludf.DUMMYFUNCTION("""COMPUTED_VALUE"""),43114.0)</f>
        <v>43114</v>
      </c>
      <c r="C125" t="str">
        <f>IFERROR(__xludf.DUMMYFUNCTION("""COMPUTED_VALUE"""),"JP")</f>
        <v>JP</v>
      </c>
      <c r="D125" s="36">
        <f>IFERROR(__xludf.DUMMYFUNCTION("""COMPUTED_VALUE"""),43572.0)</f>
        <v>43572</v>
      </c>
      <c r="E125" t="str">
        <f>IFERROR(__xludf.DUMMYFUNCTION("""COMPUTED_VALUE"""),"TRH")</f>
        <v>TRH</v>
      </c>
      <c r="F125" s="36">
        <f>IFERROR(__xludf.DUMMYFUNCTION("""COMPUTED_VALUE"""),43583.0)</f>
        <v>43583</v>
      </c>
      <c r="G125" t="str">
        <f>IFERROR(__xludf.DUMMYFUNCTION("""COMPUTED_VALUE"""),"")</f>
        <v/>
      </c>
      <c r="H125" t="str">
        <f>IFERROR(__xludf.DUMMYFUNCTION("""COMPUTED_VALUE"""),"1097-4199")</f>
        <v>1097-4199</v>
      </c>
      <c r="I125" t="str">
        <f>IFERROR(__xludf.DUMMYFUNCTION("""COMPUTED_VALUE"""),"Neuron")</f>
        <v>Neuron</v>
      </c>
      <c r="J125" t="str">
        <f>IFERROR(__xludf.DUMMYFUNCTION("""COMPUTED_VALUE"""),"Health &amp; Medical Sciences,
Life Sciences &amp; Earth Sciences")</f>
        <v>Health &amp; Medical Sciences,
Life Sciences &amp; Earth Sciences</v>
      </c>
      <c r="K125" t="str">
        <f>IFERROR(__xludf.DUMMYFUNCTION("""COMPUTED_VALUE"""),"Cell Press")</f>
        <v>Cell Press</v>
      </c>
      <c r="L125" t="str">
        <f>IFERROR(__xludf.DUMMYFUNCTION("""COMPUTED_VALUE"""),"Single blind")</f>
        <v>Single blind</v>
      </c>
      <c r="M125" s="78" t="str">
        <f>IFERROR(__xludf.DUMMYFUNCTION("""COMPUTED_VALUE"""),"https://www.cell.com/reviewers")</f>
        <v>https://www.cell.com/reviewers</v>
      </c>
      <c r="N125" t="str">
        <f>IFERROR(__xludf.DUMMYFUNCTION("""COMPUTED_VALUE"""),"")</f>
        <v/>
      </c>
      <c r="O125" t="str">
        <f>IFERROR(__xludf.DUMMYFUNCTION("""COMPUTED_VALUE"""),"")</f>
        <v/>
      </c>
      <c r="P125" t="str">
        <f>IFERROR(__xludf.DUMMYFUNCTION("""COMPUTED_VALUE"""),"Unsure")</f>
        <v>Unsure</v>
      </c>
      <c r="Q125" t="str">
        <f>IFERROR(__xludf.DUMMYFUNCTION("""COMPUTED_VALUE"""),"Transfer of Papers between Cell Press Journals
 We know it can be time consuming to serially submit your paper to multiple journals, restarting the review process each time. Cell Press publishes many journals, and we give you the opportunity to transfer y"&amp;"our paper, along with the reviews and the reviewers' identities, from one journal to another. If you have questions about the suitability of your paper for transfer, please contact the editor of the receiving journal. If you have general questions about t"&amp;"he transfer process, please refer to our FAQs on article transfers. Often, the Editor of the target journal will be able to reach a decision based on the existing reviews. Occasionally, the Editor may seek comments from additional reviewers. If you transf"&amp;"er your paper using our online system, you will have a chance to edit your files before they are sent to the receiving journal. You can always submit your paper to another Cell Press journal without mentioning the first review process. In this case, the m"&amp;"anuscript will be evaluated as a regular new submission.")</f>
        <v>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125" s="78" t="str">
        <f>IFERROR(__xludf.DUMMYFUNCTION("""COMPUTED_VALUE"""),"https://www.cell.com/neuron/authors")</f>
        <v>https://www.cell.com/neuron/authors</v>
      </c>
      <c r="S125" t="str">
        <f>IFERROR(__xludf.DUMMYFUNCTION("""COMPUTED_VALUE"""),"Not specified")</f>
        <v>Not specified</v>
      </c>
      <c r="T125" t="str">
        <f>IFERROR(__xludf.DUMMYFUNCTION("""COMPUTED_VALUE"""),"Not specified")</f>
        <v>Not specified</v>
      </c>
      <c r="U125" t="str">
        <f>IFERROR(__xludf.DUMMYFUNCTION("""COMPUTED_VALUE"""),"Not specified")</f>
        <v>Not specified</v>
      </c>
      <c r="V125" t="str">
        <f>IFERROR(__xludf.DUMMYFUNCTION("""COMPUTED_VALUE"""),"Not specified")</f>
        <v>Not specified</v>
      </c>
      <c r="W125" t="str">
        <f>IFERROR(__xludf.DUMMYFUNCTION("""COMPUTED_VALUE"""),"Not specified")</f>
        <v>Not specified</v>
      </c>
      <c r="X125" t="str">
        <f>IFERROR(__xludf.DUMMYFUNCTION("""COMPUTED_VALUE"""),"No")</f>
        <v>No</v>
      </c>
      <c r="Y125" t="str">
        <f>IFERROR(__xludf.DUMMYFUNCTION("""COMPUTED_VALUE"""),"Not specified")</f>
        <v>Not specified</v>
      </c>
      <c r="Z125" t="str">
        <f>IFERROR(__xludf.DUMMYFUNCTION("""COMPUTED_VALUE"""),"Not specified")</f>
        <v>Not specified</v>
      </c>
      <c r="AA125" t="str">
        <f>IFERROR(__xludf.DUMMYFUNCTION("""COMPUTED_VALUE"""),"")</f>
        <v/>
      </c>
      <c r="AB125" t="str">
        <f>IFERROR(__xludf.DUMMYFUNCTION("""COMPUTED_VALUE"""),"In some instances, reviewers may feel that it would be helpful to obtain additional advice from a colleague. In such cases, we ask that the reviewer contact the editor in advance to ensure that the editor has the opportunity to take additional information"&amp;" into account before permitting communications that have the potential to violate confidentiality. It is not appropriate to discuss unpublished manuscripts at laboratory meetings or journal clubs. Reviewers can collaborate with trainees (graduate students"&amp;" and post-docs) in the evaluation of manuscripts, and we appreciate that such collaboration functions as an important training exercise. However, we ask that reviewers keep the number of collaborators to a minimum and include the identities of all the ind"&amp;"ividuals involved in the “comments to the editors” component of their review. Regardless, the person originally invited to review the manuscript is ultimately responsible for maintaining confidentiality and for the content and accuracy of the report. We e"&amp;"ncourage referees to inform collaborating reviewers about appropriate guidelines and ethics for peer review, as outlined in this document.")</f>
        <v>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125" s="78" t="str">
        <f>IFERROR(__xludf.DUMMYFUNCTION("""COMPUTED_VALUE"""),"https://www.cell.com/reviewers")</f>
        <v>https://www.cell.com/reviewers</v>
      </c>
      <c r="AD125" t="str">
        <f>IFERROR(__xludf.DUMMYFUNCTION("""COMPUTED_VALUE"""),"Yes")</f>
        <v>Yes</v>
      </c>
      <c r="AE125" t="str">
        <f>IFERROR(__xludf.DUMMYFUNCTION("""COMPUTED_VALUE"""),"Unsure")</f>
        <v>Unsure</v>
      </c>
      <c r="AF125" t="str">
        <f>IFERROR(__xludf.DUMMYFUNCTION("""COMPUTED_VALUE"""),"Unsure")</f>
        <v>Unsure</v>
      </c>
      <c r="AG125" s="78" t="str">
        <f>IFERROR(__xludf.DUMMYFUNCTION("""COMPUTED_VALUE"""),"https://www.cell.com/neuron/authors")</f>
        <v>https://www.cell.com/neuron/authors</v>
      </c>
      <c r="AH125" t="str">
        <f>IFERROR(__xludf.DUMMYFUNCTION("""COMPUTED_VALUE"""),"First submission only (before peer review)")</f>
        <v>First submission only (before peer review)</v>
      </c>
      <c r="AI125" t="str">
        <f>IFERROR(__xludf.DUMMYFUNCTION("""COMPUTED_VALUE"""),"Preprint Servers
 We will consider papers previously posted on preprint servers like arXiv, bioRxiv, BioRN, ChemRxiv, or ChemRN. We are very interested to hear from researchers about their motivations for posting and to discuss with them whether it is the"&amp;" best approach for their paper, so we strongly encourage authors who are planning to submit to us to contact the editors first to discuss their specific paper and situation. This policy only applies to the original submitted version of the paper; we do no"&amp;"t support posting of revisions that respond to editorial input and peer review or posting of the final published version to preprint servers. Also, our prepublication publicity policies with regard to coverage in the broader media still apply to studies p"&amp;"osted on preprint servers. For more information about preprint servers and the discussions related to them, please see this blog post.")</f>
        <v>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125" t="str">
        <f>IFERROR(__xludf.DUMMYFUNCTION("""COMPUTED_VALUE"""),"Not specified")</f>
        <v>Not specified</v>
      </c>
      <c r="AK125" t="str">
        <f>IFERROR(__xludf.DUMMYFUNCTION("""COMPUTED_VALUE"""),"Unsure")</f>
        <v>Unsure</v>
      </c>
      <c r="AL125" s="78" t="str">
        <f>IFERROR(__xludf.DUMMYFUNCTION("""COMPUTED_VALUE"""),"our prepublication publicity policies with regard to coverage in the broader media still apply to studies posted on preprint servers.")</f>
        <v>our prepublication publicity policies with regard to coverage in the broader media still apply to studies posted on preprint servers.</v>
      </c>
      <c r="AM125" t="str">
        <f>IFERROR(__xludf.DUMMYFUNCTION("""COMPUTED_VALUE"""),"Not specified")</f>
        <v>Not specified</v>
      </c>
      <c r="AN125" t="str">
        <f>IFERROR(__xludf.DUMMYFUNCTION("""COMPUTED_VALUE"""),"")</f>
        <v/>
      </c>
      <c r="AO125" t="str">
        <f>IFERROR(__xludf.DUMMYFUNCTION("""COMPUTED_VALUE"""),"")</f>
        <v/>
      </c>
      <c r="AP125" t="str">
        <f>IFERROR(__xludf.DUMMYFUNCTION("""COMPUTED_VALUE"""),"")</f>
        <v/>
      </c>
      <c r="AQ125" t="str">
        <f>IFERROR(__xludf.DUMMYFUNCTION("""COMPUTED_VALUE"""),"")</f>
        <v/>
      </c>
      <c r="AR125" t="str">
        <f>IFERROR(__xludf.DUMMYFUNCTION("""COMPUTED_VALUE"""),"")</f>
        <v/>
      </c>
    </row>
    <row r="126">
      <c r="A126" t="str">
        <f>IFERROR(__xludf.DUMMYFUNCTION("""COMPUTED_VALUE"""),"GSM")</f>
        <v>GSM</v>
      </c>
      <c r="B126" s="34">
        <f>IFERROR(__xludf.DUMMYFUNCTION("""COMPUTED_VALUE"""),43114.0)</f>
        <v>43114</v>
      </c>
      <c r="C126" t="str">
        <f>IFERROR(__xludf.DUMMYFUNCTION("""COMPUTED_VALUE"""),"TRH")</f>
        <v>TRH</v>
      </c>
      <c r="D126" s="36">
        <f>IFERROR(__xludf.DUMMYFUNCTION("""COMPUTED_VALUE"""),43576.0)</f>
        <v>43576</v>
      </c>
      <c r="E126" t="str">
        <f>IFERROR(__xludf.DUMMYFUNCTION("""COMPUTED_VALUE"""),"JP")</f>
        <v>JP</v>
      </c>
      <c r="F126" s="36">
        <f>IFERROR(__xludf.DUMMYFUNCTION("""COMPUTED_VALUE"""),43581.0)</f>
        <v>43581</v>
      </c>
      <c r="G126" t="str">
        <f>IFERROR(__xludf.DUMMYFUNCTION("""COMPUTED_VALUE"""),"Since notice says transfer policy only applies to medicine/life sci, I am leaving blank. [OK - trh]")</f>
        <v>Since notice says transfer policy only applies to medicine/life sci, I am leaving blank. [OK - trh]</v>
      </c>
      <c r="H126" t="str">
        <f>IFERROR(__xludf.DUMMYFUNCTION("""COMPUTED_VALUE"""),"1461-7315")</f>
        <v>1461-7315</v>
      </c>
      <c r="I126" t="str">
        <f>IFERROR(__xludf.DUMMYFUNCTION("""COMPUTED_VALUE"""),"New Media and Society")</f>
        <v>New Media and Society</v>
      </c>
      <c r="J126" t="str">
        <f>IFERROR(__xludf.DUMMYFUNCTION("""COMPUTED_VALUE"""),"Social Sciences")</f>
        <v>Social Sciences</v>
      </c>
      <c r="K126" t="str">
        <f>IFERROR(__xludf.DUMMYFUNCTION("""COMPUTED_VALUE"""),"SAGE")</f>
        <v>SAGE</v>
      </c>
      <c r="L126" t="str">
        <f>IFERROR(__xludf.DUMMYFUNCTION("""COMPUTED_VALUE"""),"Double blind")</f>
        <v>Double blind</v>
      </c>
      <c r="M126" s="78" t="str">
        <f>IFERROR(__xludf.DUMMYFUNCTION("""COMPUTED_VALUE"""),"https://us.sagepub.com/en-us/nam/journal/new-media-society#PeerReviewPolicy")</f>
        <v>https://us.sagepub.com/en-us/nam/journal/new-media-society#PeerReviewPolicy</v>
      </c>
      <c r="N126" t="str">
        <f>IFERROR(__xludf.DUMMYFUNCTION("""COMPUTED_VALUE"""),"")</f>
        <v/>
      </c>
      <c r="O126" t="str">
        <f>IFERROR(__xludf.DUMMYFUNCTION("""COMPUTED_VALUE"""),"")</f>
        <v/>
      </c>
      <c r="P126" t="str">
        <f>IFERROR(__xludf.DUMMYFUNCTION("""COMPUTED_VALUE"""),"Unsure")</f>
        <v>Unsure</v>
      </c>
      <c r="Q126" t="str">
        <f>IFERROR(__xludf.DUMMYFUNCTION("""COMPUTED_VALUE"""),"")</f>
        <v/>
      </c>
      <c r="R126" t="str">
        <f>IFERROR(__xludf.DUMMYFUNCTION("""COMPUTED_VALUE"""),"")</f>
        <v/>
      </c>
      <c r="S126" t="str">
        <f>IFERROR(__xludf.DUMMYFUNCTION("""COMPUTED_VALUE"""),"Not specified")</f>
        <v>Not specified</v>
      </c>
      <c r="T126" t="str">
        <f>IFERROR(__xludf.DUMMYFUNCTION("""COMPUTED_VALUE"""),"Not specified")</f>
        <v>Not specified</v>
      </c>
      <c r="U126" t="str">
        <f>IFERROR(__xludf.DUMMYFUNCTION("""COMPUTED_VALUE"""),"Not specified")</f>
        <v>Not specified</v>
      </c>
      <c r="V126" t="str">
        <f>IFERROR(__xludf.DUMMYFUNCTION("""COMPUTED_VALUE"""),"Not specified")</f>
        <v>Not specified</v>
      </c>
      <c r="W126" t="str">
        <f>IFERROR(__xludf.DUMMYFUNCTION("""COMPUTED_VALUE"""),"Not specified")</f>
        <v>Not specified</v>
      </c>
      <c r="X126" t="str">
        <f>IFERROR(__xludf.DUMMYFUNCTION("""COMPUTED_VALUE"""),"No")</f>
        <v>No</v>
      </c>
      <c r="Y126" t="str">
        <f>IFERROR(__xludf.DUMMYFUNCTION("""COMPUTED_VALUE"""),"Not specified")</f>
        <v>Not specified</v>
      </c>
      <c r="Z126" t="str">
        <f>IFERROR(__xludf.DUMMYFUNCTION("""COMPUTED_VALUE"""),"Not specified")</f>
        <v>Not specified</v>
      </c>
      <c r="AA126" t="str">
        <f>IFERROR(__xludf.DUMMYFUNCTION("""COMPUTED_VALUE"""),"")</f>
        <v/>
      </c>
      <c r="AB126" t="str">
        <f>IFERROR(__xludf.DUMMYFUNCTION("""COMPUTED_VALUE"""),"")</f>
        <v/>
      </c>
      <c r="AC126" t="str">
        <f>IFERROR(__xludf.DUMMYFUNCTION("""COMPUTED_VALUE"""),"")</f>
        <v/>
      </c>
      <c r="AD126" t="str">
        <f>IFERROR(__xludf.DUMMYFUNCTION("""COMPUTED_VALUE"""),"Unsure")</f>
        <v>Unsure</v>
      </c>
      <c r="AE126" t="str">
        <f>IFERROR(__xludf.DUMMYFUNCTION("""COMPUTED_VALUE"""),"Unsure")</f>
        <v>Unsure</v>
      </c>
      <c r="AF126" t="str">
        <f>IFERROR(__xludf.DUMMYFUNCTION("""COMPUTED_VALUE"""),"Unsure")</f>
        <v>Unsure</v>
      </c>
      <c r="AG126" t="str">
        <f>IFERROR(__xludf.DUMMYFUNCTION("""COMPUTED_VALUE"""),"")</f>
        <v/>
      </c>
      <c r="AH126" t="str">
        <f>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AI126" t="str">
        <f>IFERROR(__xludf.DUMMYFUNCTION("""COMPUTED_VALUE"""),"")</f>
        <v/>
      </c>
      <c r="AJ126" t="str">
        <f>IFERROR(__xludf.DUMMYFUNCTION("""COMPUTED_VALUE"""),"Not specified")</f>
        <v>Not specified</v>
      </c>
      <c r="AK126" t="str">
        <f>IFERROR(__xludf.DUMMYFUNCTION("""COMPUTED_VALUE"""),"Unsure")</f>
        <v>Unsure</v>
      </c>
      <c r="AL126" t="str">
        <f>IFERROR(__xludf.DUMMYFUNCTION("""COMPUTED_VALUE"""),"")</f>
        <v/>
      </c>
      <c r="AM126" t="str">
        <f>IFERROR(__xludf.DUMMYFUNCTION("""COMPUTED_VALUE"""),"")</f>
        <v/>
      </c>
      <c r="AN126" t="str">
        <f>IFERROR(__xludf.DUMMYFUNCTION("""COMPUTED_VALUE"""),"")</f>
        <v/>
      </c>
      <c r="AO126" t="str">
        <f>IFERROR(__xludf.DUMMYFUNCTION("""COMPUTED_VALUE"""),"")</f>
        <v/>
      </c>
      <c r="AP126" t="str">
        <f>IFERROR(__xludf.DUMMYFUNCTION("""COMPUTED_VALUE"""),"")</f>
        <v/>
      </c>
      <c r="AQ126" t="str">
        <f>IFERROR(__xludf.DUMMYFUNCTION("""COMPUTED_VALUE"""),"")</f>
        <v/>
      </c>
      <c r="AR126" t="str">
        <f>IFERROR(__xludf.DUMMYFUNCTION("""COMPUTED_VALUE"""),"")</f>
        <v/>
      </c>
    </row>
    <row r="127">
      <c r="A127" t="str">
        <f>IFERROR(__xludf.DUMMYFUNCTION("""COMPUTED_VALUE"""),"GSM")</f>
        <v>GSM</v>
      </c>
      <c r="B127" s="34">
        <f>IFERROR(__xludf.DUMMYFUNCTION("""COMPUTED_VALUE"""),43114.0)</f>
        <v>43114</v>
      </c>
      <c r="C127" t="str">
        <f>IFERROR(__xludf.DUMMYFUNCTION("""COMPUTED_VALUE"""),"TRH")</f>
        <v>TRH</v>
      </c>
      <c r="D127" s="36">
        <f>IFERROR(__xludf.DUMMYFUNCTION("""COMPUTED_VALUE"""),43576.0)</f>
        <v>43576</v>
      </c>
      <c r="E127" t="str">
        <f>IFERROR(__xludf.DUMMYFUNCTION("""COMPUTED_VALUE"""),"JP")</f>
        <v>JP</v>
      </c>
      <c r="F127" s="36">
        <f>IFERROR(__xludf.DUMMYFUNCTION("""COMPUTED_VALUE"""),43581.0)</f>
        <v>43581</v>
      </c>
      <c r="G127" t="str">
        <f>IFERROR(__xludf.DUMMYFUNCTION("""COMPUTED_VALUE"""),"")</f>
        <v/>
      </c>
      <c r="H127" t="str">
        <f>IFERROR(__xludf.DUMMYFUNCTION("""COMPUTED_VALUE"""),"1468-0068")</f>
        <v>1468-0068</v>
      </c>
      <c r="I127" t="str">
        <f>IFERROR(__xludf.DUMMYFUNCTION("""COMPUTED_VALUE"""),"Noûs")</f>
        <v>Noûs</v>
      </c>
      <c r="J127" t="str">
        <f>IFERROR(__xludf.DUMMYFUNCTION("""COMPUTED_VALUE"""),"Social Sciences, Humanities, Literature &amp; Arts")</f>
        <v>Social Sciences, Humanities, Literature &amp; Arts</v>
      </c>
      <c r="K127" t="str">
        <f>IFERROR(__xludf.DUMMYFUNCTION("""COMPUTED_VALUE"""),"Wiley")</f>
        <v>Wiley</v>
      </c>
      <c r="L127" t="str">
        <f>IFERROR(__xludf.DUMMYFUNCTION("""COMPUTED_VALUE"""),"Other (Triple blind)")</f>
        <v>Other (Triple blind)</v>
      </c>
      <c r="M127" s="78" t="str">
        <f>IFERROR(__xludf.DUMMYFUNCTION("""COMPUTED_VALUE"""),"https://onlinelibrary.wiley.com/page/journal/14680068/homepage/forauthors.html")</f>
        <v>https://onlinelibrary.wiley.com/page/journal/14680068/homepage/forauthors.html</v>
      </c>
      <c r="N127" t="str">
        <f>IFERROR(__xludf.DUMMYFUNCTION("""COMPUTED_VALUE"""),"")</f>
        <v/>
      </c>
      <c r="O127" s="78" t="str">
        <f>IFERROR(__xludf.DUMMYFUNCTION("""COMPUTED_VALUE"""),"https://authorservices.wiley.com/Reviewers/journal-reviewers/recognition-for-reviewers/index.html")</f>
        <v>https://authorservices.wiley.com/Reviewers/journal-reviewers/recognition-for-reviewers/index.html</v>
      </c>
      <c r="P127" t="str">
        <f>IFERROR(__xludf.DUMMYFUNCTION("""COMPUTED_VALUE"""),"Yes")</f>
        <v>Yes</v>
      </c>
      <c r="Q127" t="str">
        <f>IFERROR(__xludf.DUMMYFUNCTION("""COMPUTED_VALUE"""),"")</f>
        <v/>
      </c>
      <c r="R127" t="str">
        <f>IFERROR(__xludf.DUMMYFUNCTION("""COMPUTED_VALUE"""),"")</f>
        <v/>
      </c>
      <c r="S127" t="str">
        <f>IFERROR(__xludf.DUMMYFUNCTION("""COMPUTED_VALUE"""),"Not specified")</f>
        <v>Not specified</v>
      </c>
      <c r="T127" t="str">
        <f>IFERROR(__xludf.DUMMYFUNCTION("""COMPUTED_VALUE"""),"Not specified")</f>
        <v>Not specified</v>
      </c>
      <c r="U127" t="str">
        <f>IFERROR(__xludf.DUMMYFUNCTION("""COMPUTED_VALUE"""),"Not specified")</f>
        <v>Not specified</v>
      </c>
      <c r="V127" t="str">
        <f>IFERROR(__xludf.DUMMYFUNCTION("""COMPUTED_VALUE"""),"Not specified")</f>
        <v>Not specified</v>
      </c>
      <c r="W127" t="str">
        <f>IFERROR(__xludf.DUMMYFUNCTION("""COMPUTED_VALUE"""),"Not specified")</f>
        <v>Not specified</v>
      </c>
      <c r="X127" t="str">
        <f>IFERROR(__xludf.DUMMYFUNCTION("""COMPUTED_VALUE"""),"No")</f>
        <v>No</v>
      </c>
      <c r="Y127" t="str">
        <f>IFERROR(__xludf.DUMMYFUNCTION("""COMPUTED_VALUE"""),"Not specified")</f>
        <v>Not specified</v>
      </c>
      <c r="Z127" t="str">
        <f>IFERROR(__xludf.DUMMYFUNCTION("""COMPUTED_VALUE"""),"Not specified")</f>
        <v>Not specified</v>
      </c>
      <c r="AA127" t="str">
        <f>IFERROR(__xludf.DUMMYFUNCTION("""COMPUTED_VALUE"""),"")</f>
        <v/>
      </c>
      <c r="AB127" t="str">
        <f>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27" s="78" t="str">
        <f>IFERROR(__xludf.DUMMYFUNCTION("""COMPUTED_VALUE"""),"https://authorservices.wiley.com/Reviewers/journal-reviewers/how-to-perform-a-peer-review/general-and-ethical-guidelines.html")</f>
        <v>https://authorservices.wiley.com/Reviewers/journal-reviewers/how-to-perform-a-peer-review/general-and-ethical-guidelines.html</v>
      </c>
      <c r="AD127" t="str">
        <f>IFERROR(__xludf.DUMMYFUNCTION("""COMPUTED_VALUE"""),"Yes")</f>
        <v>Yes</v>
      </c>
      <c r="AE127" t="str">
        <f>IFERROR(__xludf.DUMMYFUNCTION("""COMPUTED_VALUE"""),"Unsure")</f>
        <v>Unsure</v>
      </c>
      <c r="AF127" t="str">
        <f>IFERROR(__xludf.DUMMYFUNCTION("""COMPUTED_VALUE"""),"Yes")</f>
        <v>Yes</v>
      </c>
      <c r="AG127" s="78" t="str">
        <f>IFERROR(__xludf.DUMMYFUNCTION("""COMPUTED_VALUE"""),"https://authorservices.wiley.com/author-resources/Journal-Authors/open-access/preprints-policy.html")</f>
        <v>https://authorservices.wiley.com/author-resources/Journal-Authors/open-access/preprints-policy.html</v>
      </c>
      <c r="AH127" t="str">
        <f>IFERROR(__xludf.DUMMYFUNCTION("""COMPUTED_VALUE"""),"First submission only (before peer review)")</f>
        <v>First submission only (before peer review)</v>
      </c>
      <c r="AI127" t="str">
        <f>IFERROR(__xludf.DUMMYFUNCTION("""COMPUTED_VALUE"""),"[Journal] will consider for review articles previously available as preprints on non-commercial servers. Authors may also post the submitted version of a manuscript to non-commercial servers at any time. Authors are requested to update any pre-publication"&amp;" versions with a link to the final published article.")</f>
        <v>[Journal]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v>
      </c>
      <c r="AJ127" t="str">
        <f>IFERROR(__xludf.DUMMYFUNCTION("""COMPUTED_VALUE"""),"Yes, in the reference list")</f>
        <v>Yes, in the reference list</v>
      </c>
      <c r="AK127" t="str">
        <f>IFERROR(__xludf.DUMMYFUNCTION("""COMPUTED_VALUE"""),"Yes")</f>
        <v>Yes</v>
      </c>
      <c r="AL127" t="str">
        <f>IFERROR(__xludf.DUMMYFUNCTION("""COMPUTED_VALUE"""),"")</f>
        <v/>
      </c>
      <c r="AM127" t="str">
        <f>IFERROR(__xludf.DUMMYFUNCTION("""COMPUTED_VALUE"""),"")</f>
        <v/>
      </c>
      <c r="AN127" t="str">
        <f>IFERROR(__xludf.DUMMYFUNCTION("""COMPUTED_VALUE"""),"")</f>
        <v/>
      </c>
      <c r="AO127" t="str">
        <f>IFERROR(__xludf.DUMMYFUNCTION("""COMPUTED_VALUE"""),"")</f>
        <v/>
      </c>
      <c r="AP127" t="str">
        <f>IFERROR(__xludf.DUMMYFUNCTION("""COMPUTED_VALUE"""),"")</f>
        <v/>
      </c>
      <c r="AQ127" t="str">
        <f>IFERROR(__xludf.DUMMYFUNCTION("""COMPUTED_VALUE"""),"")</f>
        <v/>
      </c>
      <c r="AR127" t="str">
        <f>IFERROR(__xludf.DUMMYFUNCTION("""COMPUTED_VALUE"""),"")</f>
        <v/>
      </c>
    </row>
    <row r="128">
      <c r="A128" t="str">
        <f>IFERROR(__xludf.DUMMYFUNCTION("""COMPUTED_VALUE"""),"GSM")</f>
        <v>GSM</v>
      </c>
      <c r="B128" s="34">
        <f>IFERROR(__xludf.DUMMYFUNCTION("""COMPUTED_VALUE"""),43114.0)</f>
        <v>43114</v>
      </c>
      <c r="C128" t="str">
        <f>IFERROR(__xludf.DUMMYFUNCTION("""COMPUTED_VALUE"""),"TRH")</f>
        <v>TRH</v>
      </c>
      <c r="D128" s="36">
        <f>IFERROR(__xludf.DUMMYFUNCTION("""COMPUTED_VALUE"""),43576.0)</f>
        <v>43576</v>
      </c>
      <c r="E128" t="str">
        <f>IFERROR(__xludf.DUMMYFUNCTION("""COMPUTED_VALUE"""),"JP")</f>
        <v>JP</v>
      </c>
      <c r="F128" s="36">
        <f>IFERROR(__xludf.DUMMYFUNCTION("""COMPUTED_VALUE"""),43581.0)</f>
        <v>43581</v>
      </c>
      <c r="G128" t="str">
        <f>IFERROR(__xludf.DUMMYFUNCTION("""COMPUTED_VALUE"""),"")</f>
        <v/>
      </c>
      <c r="H128" t="str">
        <f>IFERROR(__xludf.DUMMYFUNCTION("""COMPUTED_VALUE"""),"1362-4962")</f>
        <v>1362-4962</v>
      </c>
      <c r="I128" t="str">
        <f>IFERROR(__xludf.DUMMYFUNCTION("""COMPUTED_VALUE"""),"Nucleic Acids Research")</f>
        <v>Nucleic Acids Research</v>
      </c>
      <c r="J128" t="str">
        <f>IFERROR(__xludf.DUMMYFUNCTION("""COMPUTED_VALUE"""),"Life Sciences &amp; Earth Sciences")</f>
        <v>Life Sciences &amp; Earth Sciences</v>
      </c>
      <c r="K128" t="str">
        <f>IFERROR(__xludf.DUMMYFUNCTION("""COMPUTED_VALUE"""),"Oxford University Press")</f>
        <v>Oxford University Press</v>
      </c>
      <c r="L128" t="str">
        <f>IFERROR(__xludf.DUMMYFUNCTION("""COMPUTED_VALUE"""),"Unsure")</f>
        <v>Unsure</v>
      </c>
      <c r="M128" t="str">
        <f>IFERROR(__xludf.DUMMYFUNCTION("""COMPUTED_VALUE"""),"")</f>
        <v/>
      </c>
      <c r="N128" t="str">
        <f>IFERROR(__xludf.DUMMYFUNCTION("""COMPUTED_VALUE"""),"")</f>
        <v/>
      </c>
      <c r="O128" t="str">
        <f>IFERROR(__xludf.DUMMYFUNCTION("""COMPUTED_VALUE"""),"")</f>
        <v/>
      </c>
      <c r="P128" t="str">
        <f>IFERROR(__xludf.DUMMYFUNCTION("""COMPUTED_VALUE"""),"Unsure")</f>
        <v>Unsure</v>
      </c>
      <c r="Q128" t="str">
        <f>IFERROR(__xludf.DUMMYFUNCTION("""COMPUTED_VALUE"""),"")</f>
        <v/>
      </c>
      <c r="R128" t="str">
        <f>IFERROR(__xludf.DUMMYFUNCTION("""COMPUTED_VALUE"""),"")</f>
        <v/>
      </c>
      <c r="S128" t="str">
        <f>IFERROR(__xludf.DUMMYFUNCTION("""COMPUTED_VALUE"""),"Not specified")</f>
        <v>Not specified</v>
      </c>
      <c r="T128" t="str">
        <f>IFERROR(__xludf.DUMMYFUNCTION("""COMPUTED_VALUE"""),"Not specified")</f>
        <v>Not specified</v>
      </c>
      <c r="U128" t="str">
        <f>IFERROR(__xludf.DUMMYFUNCTION("""COMPUTED_VALUE"""),"Not specified")</f>
        <v>Not specified</v>
      </c>
      <c r="V128" t="str">
        <f>IFERROR(__xludf.DUMMYFUNCTION("""COMPUTED_VALUE"""),"Not specified")</f>
        <v>Not specified</v>
      </c>
      <c r="W128" t="str">
        <f>IFERROR(__xludf.DUMMYFUNCTION("""COMPUTED_VALUE"""),"Not specified")</f>
        <v>Not specified</v>
      </c>
      <c r="X128" t="str">
        <f>IFERROR(__xludf.DUMMYFUNCTION("""COMPUTED_VALUE"""),"Not specified")</f>
        <v>Not specified</v>
      </c>
      <c r="Y128" t="str">
        <f>IFERROR(__xludf.DUMMYFUNCTION("""COMPUTED_VALUE"""),"Not specified")</f>
        <v>Not specified</v>
      </c>
      <c r="Z128" t="str">
        <f>IFERROR(__xludf.DUMMYFUNCTION("""COMPUTED_VALUE"""),"Not specified")</f>
        <v>Not specified</v>
      </c>
      <c r="AA128" t="str">
        <f>IFERROR(__xludf.DUMMYFUNCTION("""COMPUTED_VALUE"""),"")</f>
        <v/>
      </c>
      <c r="AB128" t="str">
        <f>IFERROR(__xludf.DUMMYFUNCTION("""COMPUTED_VALUE"""),"")</f>
        <v/>
      </c>
      <c r="AC128" t="str">
        <f>IFERROR(__xludf.DUMMYFUNCTION("""COMPUTED_VALUE"""),"")</f>
        <v/>
      </c>
      <c r="AD128" t="str">
        <f>IFERROR(__xludf.DUMMYFUNCTION("""COMPUTED_VALUE"""),"Unsure")</f>
        <v>Unsure</v>
      </c>
      <c r="AE128" t="str">
        <f>IFERROR(__xludf.DUMMYFUNCTION("""COMPUTED_VALUE"""),"Unsure")</f>
        <v>Unsure</v>
      </c>
      <c r="AF128" t="str">
        <f>IFERROR(__xludf.DUMMYFUNCTION("""COMPUTED_VALUE"""),"Unsure")</f>
        <v>Unsure</v>
      </c>
      <c r="AG128" s="78" t="str">
        <f>IFERROR(__xludf.DUMMYFUNCTION("""COMPUTED_VALUE"""),"https://academic.oup.com/nar/pages/Policies#Prior%20Publication")</f>
        <v>https://academic.oup.com/nar/pages/Policies#Prior%20Publication</v>
      </c>
      <c r="AH128" t="str">
        <f>IFERROR(__xludf.DUMMYFUNCTION("""COMPUTED_VALUE"""),"First submission only (before peer review)")</f>
        <v>First submission only (before peer review)</v>
      </c>
      <c r="AI128" s="78" t="str">
        <f>IFERROR(__xludf.DUMMYFUNCTION("""COMPUTED_VALUE"""),"NAR allows authors to deposit preprints in community preprint servers such as arXiv.org and BioRxiv.org, provided that entries are updated to acknowledge that the article has been accepted/published by NAR. Our policy towards such archives is kept under r"&amp;"eview, but we currently do not consider articles that have already been posted PLoS Currents. Authors are encouraged to contact the Editorial Office if they are in any doubt about prior submission. Please read our full self-archiving policy.")</f>
        <v>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v>
      </c>
      <c r="AJ128" t="str">
        <f>IFERROR(__xludf.DUMMYFUNCTION("""COMPUTED_VALUE"""),"Yes, in the reference list")</f>
        <v>Yes, in the reference list</v>
      </c>
      <c r="AK128" t="str">
        <f>IFERROR(__xludf.DUMMYFUNCTION("""COMPUTED_VALUE"""),"Unsure")</f>
        <v>Unsure</v>
      </c>
      <c r="AL128" t="str">
        <f>IFERROR(__xludf.DUMMYFUNCTION("""COMPUTED_VALUE"""),"")</f>
        <v/>
      </c>
      <c r="AM128" t="str">
        <f>IFERROR(__xludf.DUMMYFUNCTION("""COMPUTED_VALUE"""),"")</f>
        <v/>
      </c>
      <c r="AN128" t="str">
        <f>IFERROR(__xludf.DUMMYFUNCTION("""COMPUTED_VALUE"""),"")</f>
        <v/>
      </c>
      <c r="AO128" t="str">
        <f>IFERROR(__xludf.DUMMYFUNCTION("""COMPUTED_VALUE"""),"")</f>
        <v/>
      </c>
      <c r="AP128" t="str">
        <f>IFERROR(__xludf.DUMMYFUNCTION("""COMPUTED_VALUE"""),"")</f>
        <v/>
      </c>
      <c r="AQ128" t="str">
        <f>IFERROR(__xludf.DUMMYFUNCTION("""COMPUTED_VALUE"""),"")</f>
        <v/>
      </c>
      <c r="AR128" t="str">
        <f>IFERROR(__xludf.DUMMYFUNCTION("""COMPUTED_VALUE"""),"")</f>
        <v/>
      </c>
    </row>
    <row r="129">
      <c r="A129" t="str">
        <f>IFERROR(__xludf.DUMMYFUNCTION("""COMPUTED_VALUE"""),"GSM")</f>
        <v>GSM</v>
      </c>
      <c r="B129" s="34">
        <f>IFERROR(__xludf.DUMMYFUNCTION("""COMPUTED_VALUE"""),43114.0)</f>
        <v>43114</v>
      </c>
      <c r="C129" t="str">
        <f>IFERROR(__xludf.DUMMYFUNCTION("""COMPUTED_VALUE"""),"TRH")</f>
        <v>TRH</v>
      </c>
      <c r="D129" s="36">
        <f>IFERROR(__xludf.DUMMYFUNCTION("""COMPUTED_VALUE"""),43576.0)</f>
        <v>43576</v>
      </c>
      <c r="E129" t="str">
        <f>IFERROR(__xludf.DUMMYFUNCTION("""COMPUTED_VALUE"""),"JP")</f>
        <v>JP</v>
      </c>
      <c r="F129" s="36">
        <f>IFERROR(__xludf.DUMMYFUNCTION("""COMPUTED_VALUE"""),43581.0)</f>
        <v>43581</v>
      </c>
      <c r="G129" t="str">
        <f>IFERROR(__xludf.DUMMYFUNCTION("""COMPUTED_VALUE"""),"")</f>
        <v/>
      </c>
      <c r="H129" t="str">
        <f>IFERROR(__xludf.DUMMYFUNCTION("""COMPUTED_VALUE"""),"1533-9866")</f>
        <v>1533-9866</v>
      </c>
      <c r="I129" t="str">
        <f>IFERROR(__xludf.DUMMYFUNCTION("""COMPUTED_VALUE"""),"Obstetrical &amp; Gynecological Survey")</f>
        <v>Obstetrical &amp; Gynecological Survey</v>
      </c>
      <c r="J129" t="str">
        <f>IFERROR(__xludf.DUMMYFUNCTION("""COMPUTED_VALUE"""),"")</f>
        <v/>
      </c>
      <c r="K129" t="str">
        <f>IFERROR(__xludf.DUMMYFUNCTION("""COMPUTED_VALUE"""),"Lippincott Williams &amp; Wilkins")</f>
        <v>Lippincott Williams &amp; Wilkins</v>
      </c>
      <c r="L129" t="str">
        <f>IFERROR(__xludf.DUMMYFUNCTION("""COMPUTED_VALUE"""),"Unsure")</f>
        <v>Unsure</v>
      </c>
      <c r="M129" t="str">
        <f>IFERROR(__xludf.DUMMYFUNCTION("""COMPUTED_VALUE"""),"")</f>
        <v/>
      </c>
      <c r="N129" t="str">
        <f>IFERROR(__xludf.DUMMYFUNCTION("""COMPUTED_VALUE"""),"")</f>
        <v/>
      </c>
      <c r="O129" t="str">
        <f>IFERROR(__xludf.DUMMYFUNCTION("""COMPUTED_VALUE"""),"")</f>
        <v/>
      </c>
      <c r="P129" t="str">
        <f>IFERROR(__xludf.DUMMYFUNCTION("""COMPUTED_VALUE"""),"Unsure")</f>
        <v>Unsure</v>
      </c>
      <c r="Q129" t="str">
        <f>IFERROR(__xludf.DUMMYFUNCTION("""COMPUTED_VALUE"""),"")</f>
        <v/>
      </c>
      <c r="R129" t="str">
        <f>IFERROR(__xludf.DUMMYFUNCTION("""COMPUTED_VALUE"""),"")</f>
        <v/>
      </c>
      <c r="S129" t="str">
        <f>IFERROR(__xludf.DUMMYFUNCTION("""COMPUTED_VALUE"""),"Not specified")</f>
        <v>Not specified</v>
      </c>
      <c r="T129" t="str">
        <f>IFERROR(__xludf.DUMMYFUNCTION("""COMPUTED_VALUE"""),"Not specified")</f>
        <v>Not specified</v>
      </c>
      <c r="U129" t="str">
        <f>IFERROR(__xludf.DUMMYFUNCTION("""COMPUTED_VALUE"""),"Not specified")</f>
        <v>Not specified</v>
      </c>
      <c r="V129" t="str">
        <f>IFERROR(__xludf.DUMMYFUNCTION("""COMPUTED_VALUE"""),"Not specified")</f>
        <v>Not specified</v>
      </c>
      <c r="W129" t="str">
        <f>IFERROR(__xludf.DUMMYFUNCTION("""COMPUTED_VALUE"""),"Not specified")</f>
        <v>Not specified</v>
      </c>
      <c r="X129" t="str">
        <f>IFERROR(__xludf.DUMMYFUNCTION("""COMPUTED_VALUE"""),"Not specified")</f>
        <v>Not specified</v>
      </c>
      <c r="Y129" t="str">
        <f>IFERROR(__xludf.DUMMYFUNCTION("""COMPUTED_VALUE"""),"Not specified")</f>
        <v>Not specified</v>
      </c>
      <c r="Z129" t="str">
        <f>IFERROR(__xludf.DUMMYFUNCTION("""COMPUTED_VALUE"""),"Not specified")</f>
        <v>Not specified</v>
      </c>
      <c r="AA129" t="str">
        <f>IFERROR(__xludf.DUMMYFUNCTION("""COMPUTED_VALUE"""),"")</f>
        <v/>
      </c>
      <c r="AB129" t="str">
        <f>IFERROR(__xludf.DUMMYFUNCTION("""COMPUTED_VALUE"""),"")</f>
        <v/>
      </c>
      <c r="AC129" t="str">
        <f>IFERROR(__xludf.DUMMYFUNCTION("""COMPUTED_VALUE"""),"")</f>
        <v/>
      </c>
      <c r="AD129" t="str">
        <f>IFERROR(__xludf.DUMMYFUNCTION("""COMPUTED_VALUE"""),"Unsure")</f>
        <v>Unsure</v>
      </c>
      <c r="AE129" t="str">
        <f>IFERROR(__xludf.DUMMYFUNCTION("""COMPUTED_VALUE"""),"Unsure")</f>
        <v>Unsure</v>
      </c>
      <c r="AF129" t="str">
        <f>IFERROR(__xludf.DUMMYFUNCTION("""COMPUTED_VALUE"""),"Unsure")</f>
        <v>Unsure</v>
      </c>
      <c r="AG129" t="str">
        <f>IFERROR(__xludf.DUMMYFUNCTION("""COMPUTED_VALUE"""),"")</f>
        <v/>
      </c>
      <c r="AH129" t="str">
        <f>IFERROR(__xludf.DUMMYFUNCTION("""COMPUTED_VALUE"""),"No preprint policy")</f>
        <v>No preprint policy</v>
      </c>
      <c r="AI129" t="str">
        <f>IFERROR(__xludf.DUMMYFUNCTION("""COMPUTED_VALUE"""),"")</f>
        <v/>
      </c>
      <c r="AJ129" t="str">
        <f>IFERROR(__xludf.DUMMYFUNCTION("""COMPUTED_VALUE"""),"Yes, but only in the text")</f>
        <v>Yes, but only in the text</v>
      </c>
      <c r="AK129" t="str">
        <f>IFERROR(__xludf.DUMMYFUNCTION("""COMPUTED_VALUE"""),"Unsure")</f>
        <v>Unsure</v>
      </c>
      <c r="AL129" t="str">
        <f>IFERROR(__xludf.DUMMYFUNCTION("""COMPUTED_VALUE"""),"")</f>
        <v/>
      </c>
      <c r="AM129" t="str">
        <f>IFERROR(__xludf.DUMMYFUNCTION("""COMPUTED_VALUE"""),"")</f>
        <v/>
      </c>
      <c r="AN129" t="str">
        <f>IFERROR(__xludf.DUMMYFUNCTION("""COMPUTED_VALUE"""),"")</f>
        <v/>
      </c>
      <c r="AO129" t="str">
        <f>IFERROR(__xludf.DUMMYFUNCTION("""COMPUTED_VALUE"""),"")</f>
        <v/>
      </c>
      <c r="AP129" t="str">
        <f>IFERROR(__xludf.DUMMYFUNCTION("""COMPUTED_VALUE"""),"")</f>
        <v/>
      </c>
      <c r="AQ129" t="str">
        <f>IFERROR(__xludf.DUMMYFUNCTION("""COMPUTED_VALUE"""),"")</f>
        <v/>
      </c>
      <c r="AR129" t="str">
        <f>IFERROR(__xludf.DUMMYFUNCTION("""COMPUTED_VALUE"""),"")</f>
        <v/>
      </c>
    </row>
    <row r="130">
      <c r="A130" t="str">
        <f>IFERROR(__xludf.DUMMYFUNCTION("""COMPUTED_VALUE"""),"GSM")</f>
        <v>GSM</v>
      </c>
      <c r="B130" s="34">
        <f>IFERROR(__xludf.DUMMYFUNCTION("""COMPUTED_VALUE"""),43114.0)</f>
        <v>43114</v>
      </c>
      <c r="C130" t="str">
        <f>IFERROR(__xludf.DUMMYFUNCTION("""COMPUTED_VALUE"""),"TRH")</f>
        <v>TRH</v>
      </c>
      <c r="D130" s="36">
        <f>IFERROR(__xludf.DUMMYFUNCTION("""COMPUTED_VALUE"""),43576.0)</f>
        <v>43576</v>
      </c>
      <c r="E130" t="str">
        <f>IFERROR(__xludf.DUMMYFUNCTION("""COMPUTED_VALUE"""),"JP")</f>
        <v>JP</v>
      </c>
      <c r="F130" s="36">
        <f>IFERROR(__xludf.DUMMYFUNCTION("""COMPUTED_VALUE"""),43581.0)</f>
        <v>43581</v>
      </c>
      <c r="G130" t="str">
        <f>IFERROR(__xludf.DUMMYFUNCTION("""COMPUTED_VALUE"""),"Detailed criteria are similar to what is offered by Cell; should how strict we want to be on criteria re form. Also see ""After consulting with the editor, a reviewer may voluntarily reveal his or her identity to the author."" - https://www.osapublishing."&amp;"org/submit/review/peer_review.cfm#overview // TRH - 1) if its not actually the form, leave it out; (2) fine about open IDs")</f>
        <v>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v>
      </c>
      <c r="H130" t="str">
        <f>IFERROR(__xludf.DUMMYFUNCTION("""COMPUTED_VALUE"""),"1094-4087")</f>
        <v>1094-4087</v>
      </c>
      <c r="I130" t="str">
        <f>IFERROR(__xludf.DUMMYFUNCTION("""COMPUTED_VALUE"""),"Optics Express")</f>
        <v>Optics Express</v>
      </c>
      <c r="J130" t="str">
        <f>IFERROR(__xludf.DUMMYFUNCTION("""COMPUTED_VALUE"""),"Physics &amp; Mathematics")</f>
        <v>Physics &amp; Mathematics</v>
      </c>
      <c r="K130" t="str">
        <f>IFERROR(__xludf.DUMMYFUNCTION("""COMPUTED_VALUE"""),"Optical Society")</f>
        <v>Optical Society</v>
      </c>
      <c r="L130" t="str">
        <f>IFERROR(__xludf.DUMMYFUNCTION("""COMPUTED_VALUE"""),"Single blind")</f>
        <v>Single blind</v>
      </c>
      <c r="M130" s="78" t="str">
        <f>IFERROR(__xludf.DUMMYFUNCTION("""COMPUTED_VALUE"""),"https://www.osapublishing.org/submit/review/peer_review.cfm#overview")</f>
        <v>https://www.osapublishing.org/submit/review/peer_review.cfm#overview</v>
      </c>
      <c r="N130" t="str">
        <f>IFERROR(__xludf.DUMMYFUNCTION("""COMPUTED_VALUE"""),"")</f>
        <v/>
      </c>
      <c r="O130" s="78" t="str">
        <f>IFERROR(__xludf.DUMMYFUNCTION("""COMPUTED_VALUE"""),"https://www.osapublishing.org/oe/submit/review/outstandingreviewers.cfm")</f>
        <v>https://www.osapublishing.org/oe/submit/review/outstandingreviewers.cfm</v>
      </c>
      <c r="P130" t="str">
        <f>IFERROR(__xludf.DUMMYFUNCTION("""COMPUTED_VALUE"""),"Unsure")</f>
        <v>Unsure</v>
      </c>
      <c r="Q130" t="str">
        <f>IFERROR(__xludf.DUMMYFUNCTION("""COMPUTED_VALUE"""),"")</f>
        <v/>
      </c>
      <c r="R130" t="str">
        <f>IFERROR(__xludf.DUMMYFUNCTION("""COMPUTED_VALUE"""),"")</f>
        <v/>
      </c>
      <c r="S130" t="str">
        <f>IFERROR(__xludf.DUMMYFUNCTION("""COMPUTED_VALUE"""),"Not specified")</f>
        <v>Not specified</v>
      </c>
      <c r="T130" t="str">
        <f>IFERROR(__xludf.DUMMYFUNCTION("""COMPUTED_VALUE"""),"Not specified")</f>
        <v>Not specified</v>
      </c>
      <c r="U130" t="str">
        <f>IFERROR(__xludf.DUMMYFUNCTION("""COMPUTED_VALUE"""),"Not specified")</f>
        <v>Not specified</v>
      </c>
      <c r="V130" t="str">
        <f>IFERROR(__xludf.DUMMYFUNCTION("""COMPUTED_VALUE"""),"Not specified")</f>
        <v>Not specified</v>
      </c>
      <c r="W130" t="str">
        <f>IFERROR(__xludf.DUMMYFUNCTION("""COMPUTED_VALUE"""),"Not specified")</f>
        <v>Not specified</v>
      </c>
      <c r="X130" t="str">
        <f>IFERROR(__xludf.DUMMYFUNCTION("""COMPUTED_VALUE"""),"Optional")</f>
        <v>Optional</v>
      </c>
      <c r="Y130" t="str">
        <f>IFERROR(__xludf.DUMMYFUNCTION("""COMPUTED_VALUE"""),"Not specified")</f>
        <v>Not specified</v>
      </c>
      <c r="Z130" t="str">
        <f>IFERROR(__xludf.DUMMYFUNCTION("""COMPUTED_VALUE"""),"Not specified")</f>
        <v>Not specified</v>
      </c>
      <c r="AA130" t="str">
        <f>IFERROR(__xludf.DUMMYFUNCTION("""COMPUTED_VALUE"""),"")</f>
        <v/>
      </c>
      <c r="AB130" t="str">
        <f>IFERROR(__xludf.DUMMYFUNCTION("""COMPUTED_VALUE"""),"A reviewer should recognize that a manuscript under review is a confidential document. Reviewers should not use or disseminate unpublished information, arguments, or interpretations contained in an unpublished manuscript, except with the consent of the au"&amp;"thor. During review, the manuscript should neither be shown to nor discussed with others except, in special cases, to persons from whom specific advice may be sought. In that event, the reviewer maintains responsibility for ensuring confidentiality. The r"&amp;"eviewer should inform the editor of others who make significant contributions to a review.")</f>
        <v>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v>
      </c>
      <c r="AC130" s="78" t="str">
        <f>IFERROR(__xludf.DUMMYFUNCTION("""COMPUTED_VALUE"""),"https://www.osapublishing.org/submit/review/peer_review.cfm#overview")</f>
        <v>https://www.osapublishing.org/submit/review/peer_review.cfm#overview</v>
      </c>
      <c r="AD130" t="str">
        <f>IFERROR(__xludf.DUMMYFUNCTION("""COMPUTED_VALUE"""),"Yes")</f>
        <v>Yes</v>
      </c>
      <c r="AE130" t="str">
        <f>IFERROR(__xludf.DUMMYFUNCTION("""COMPUTED_VALUE"""),"Unsure")</f>
        <v>Unsure</v>
      </c>
      <c r="AF130" t="str">
        <f>IFERROR(__xludf.DUMMYFUNCTION("""COMPUTED_VALUE"""),"Unsure")</f>
        <v>Unsure</v>
      </c>
      <c r="AG130" t="str">
        <f>IFERROR(__xludf.DUMMYFUNCTION("""COMPUTED_VALUE"""),"")</f>
        <v/>
      </c>
      <c r="AH130" t="str">
        <f>IFERROR(__xludf.DUMMYFUNCTION("""COMPUTED_VALUE"""),"No preprint policy")</f>
        <v>No preprint policy</v>
      </c>
      <c r="AI130" t="str">
        <f>IFERROR(__xludf.DUMMYFUNCTION("""COMPUTED_VALUE"""),"")</f>
        <v/>
      </c>
      <c r="AJ130" t="str">
        <f>IFERROR(__xludf.DUMMYFUNCTION("""COMPUTED_VALUE"""),"Not specified")</f>
        <v>Not specified</v>
      </c>
      <c r="AK130" t="str">
        <f>IFERROR(__xludf.DUMMYFUNCTION("""COMPUTED_VALUE"""),"Unsure")</f>
        <v>Unsure</v>
      </c>
      <c r="AL130" t="str">
        <f>IFERROR(__xludf.DUMMYFUNCTION("""COMPUTED_VALUE"""),"")</f>
        <v/>
      </c>
      <c r="AM130" t="str">
        <f>IFERROR(__xludf.DUMMYFUNCTION("""COMPUTED_VALUE"""),"")</f>
        <v/>
      </c>
      <c r="AN130" t="str">
        <f>IFERROR(__xludf.DUMMYFUNCTION("""COMPUTED_VALUE"""),"")</f>
        <v/>
      </c>
      <c r="AO130" t="str">
        <f>IFERROR(__xludf.DUMMYFUNCTION("""COMPUTED_VALUE"""),"")</f>
        <v/>
      </c>
      <c r="AP130" t="str">
        <f>IFERROR(__xludf.DUMMYFUNCTION("""COMPUTED_VALUE"""),"")</f>
        <v/>
      </c>
      <c r="AQ130" t="str">
        <f>IFERROR(__xludf.DUMMYFUNCTION("""COMPUTED_VALUE"""),"")</f>
        <v/>
      </c>
      <c r="AR130" t="str">
        <f>IFERROR(__xludf.DUMMYFUNCTION("""COMPUTED_VALUE"""),"")</f>
        <v/>
      </c>
    </row>
    <row r="131">
      <c r="A131" t="str">
        <f>IFERROR(__xludf.DUMMYFUNCTION("""COMPUTED_VALUE"""),"GSM")</f>
        <v>GSM</v>
      </c>
      <c r="B131" s="34">
        <f>IFERROR(__xludf.DUMMYFUNCTION("""COMPUTED_VALUE"""),43114.0)</f>
        <v>43114</v>
      </c>
      <c r="C131" t="str">
        <f>IFERROR(__xludf.DUMMYFUNCTION("""COMPUTED_VALUE"""),"TRH")</f>
        <v>TRH</v>
      </c>
      <c r="D131" s="36">
        <f>IFERROR(__xludf.DUMMYFUNCTION("""COMPUTED_VALUE"""),43575.0)</f>
        <v>43575</v>
      </c>
      <c r="E131" t="str">
        <f>IFERROR(__xludf.DUMMYFUNCTION("""COMPUTED_VALUE"""),"JP")</f>
        <v>JP</v>
      </c>
      <c r="F131" s="36">
        <f>IFERROR(__xludf.DUMMYFUNCTION("""COMPUTED_VALUE"""),43581.0)</f>
        <v>43581</v>
      </c>
      <c r="G131" t="str">
        <f>IFERROR(__xludf.DUMMYFUNCTION("""COMPUTED_VALUE"""),"")</f>
        <v/>
      </c>
      <c r="H131" t="str">
        <f>IFERROR(__xludf.DUMMYFUNCTION("""COMPUTED_VALUE"""),"1098-4275")</f>
        <v>1098-4275</v>
      </c>
      <c r="I131" t="str">
        <f>IFERROR(__xludf.DUMMYFUNCTION("""COMPUTED_VALUE"""),"Pediatrics")</f>
        <v>Pediatrics</v>
      </c>
      <c r="J131" t="str">
        <f>IFERROR(__xludf.DUMMYFUNCTION("""COMPUTED_VALUE"""),"")</f>
        <v/>
      </c>
      <c r="K131" t="str">
        <f>IFERROR(__xludf.DUMMYFUNCTION("""COMPUTED_VALUE"""),"American Academy of Pediatrics")</f>
        <v>American Academy of Pediatrics</v>
      </c>
      <c r="L131" t="str">
        <f>IFERROR(__xludf.DUMMYFUNCTION("""COMPUTED_VALUE"""),"Unsure (reviewers anon, but not clear if author anon or not)")</f>
        <v>Unsure (reviewers anon, but not clear if author anon or not)</v>
      </c>
      <c r="M131" s="78" t="str">
        <f>IFERROR(__xludf.DUMMYFUNCTION("""COMPUTED_VALUE"""),"http://www.aappublications.org/content/pediatrics-reviewer-guidelines")</f>
        <v>http://www.aappublications.org/content/pediatrics-reviewer-guidelines</v>
      </c>
      <c r="N131" t="str">
        <f>IFERROR(__xludf.DUMMYFUNCTION("""COMPUTED_VALUE"""),"")</f>
        <v/>
      </c>
      <c r="O131" t="str">
        <f>IFERROR(__xludf.DUMMYFUNCTION("""COMPUTED_VALUE"""),"")</f>
        <v/>
      </c>
      <c r="P131" t="str">
        <f>IFERROR(__xludf.DUMMYFUNCTION("""COMPUTED_VALUE"""),"Unsure")</f>
        <v>Unsure</v>
      </c>
      <c r="Q131" t="str">
        <f>IFERROR(__xludf.DUMMYFUNCTION("""COMPUTED_VALUE"""),"Transfers to Hospital Pediatrics: If your manuscript is not accepted by Pediatrics and the editors feel the topic is appropriate for Hospital Pediatrics, you will receive an email indicating that your manuscript is ready to transfer, along with additional"&amp;" instructions on how to proceed. Please note that if your manuscript has been reviewed by Pediatricsreviewers, those reviews will transfer to Hospital Pediatrics along with your manuscript. Your manuscript will undergo additional peer review by Hospital P"&amp;"ediatrics reviewers and editors. If you have any questions about this transfer, please contact the editorial office at PediatricsEditorial@aap.org.")</f>
        <v>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v>
      </c>
      <c r="R131" s="78" t="str">
        <f>IFERROR(__xludf.DUMMYFUNCTION("""COMPUTED_VALUE"""),"http://www.aappublications.org/content/pediatrics-author-guidelines")</f>
        <v>http://www.aappublications.org/content/pediatrics-author-guidelines</v>
      </c>
      <c r="S131" t="str">
        <f>IFERROR(__xludf.DUMMYFUNCTION("""COMPUTED_VALUE"""),"Not specified")</f>
        <v>Not specified</v>
      </c>
      <c r="T131" t="str">
        <f>IFERROR(__xludf.DUMMYFUNCTION("""COMPUTED_VALUE"""),"Not specified")</f>
        <v>Not specified</v>
      </c>
      <c r="U131" t="str">
        <f>IFERROR(__xludf.DUMMYFUNCTION("""COMPUTED_VALUE"""),"Not specified")</f>
        <v>Not specified</v>
      </c>
      <c r="V131" t="str">
        <f>IFERROR(__xludf.DUMMYFUNCTION("""COMPUTED_VALUE"""),"Not specified")</f>
        <v>Not specified</v>
      </c>
      <c r="W131" t="str">
        <f>IFERROR(__xludf.DUMMYFUNCTION("""COMPUTED_VALUE"""),"Not specified")</f>
        <v>Not specified</v>
      </c>
      <c r="X131" t="str">
        <f>IFERROR(__xludf.DUMMYFUNCTION("""COMPUTED_VALUE"""),"No")</f>
        <v>No</v>
      </c>
      <c r="Y131" t="str">
        <f>IFERROR(__xludf.DUMMYFUNCTION("""COMPUTED_VALUE"""),"Not specified")</f>
        <v>Not specified</v>
      </c>
      <c r="Z131" t="str">
        <f>IFERROR(__xludf.DUMMYFUNCTION("""COMPUTED_VALUE"""),"Not specified")</f>
        <v>Not specified</v>
      </c>
      <c r="AA131" t="str">
        <f>IFERROR(__xludf.DUMMYFUNCTION("""COMPUTED_VALUE"""),"")</f>
        <v/>
      </c>
      <c r="AB131" t="str">
        <f>IFERROR(__xludf.DUMMYFUNCTION("""COMPUTED_VALUE"""),"Trainee Reviewers
 Trainees (students, residents) may review for the journal if they have the expertise to review the subject matter of the manuscript. They should be assisted by a senior mentor during the review process, and the mentor must sign off on t"&amp;"he review. Trainees must abide by all reviewer guidelines, including the necessity to recuse themselves if they have a conflict of interest, including intellectual (e.g., having a strong belief that makes it difficult for you to evaluate the reported find"&amp;"ings), financial (e.g., gaining a financial benefit if the work is either published or not published), or personal (e.g., having a personal or professional relationship with one or more of the authors that makes it difficult to fairly evaluate the work).")</f>
        <v>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v>
      </c>
      <c r="AC131" s="78" t="str">
        <f>IFERROR(__xludf.DUMMYFUNCTION("""COMPUTED_VALUE"""),"http://www.aappublications.org/content/pediatrics-reviewer-guidelines")</f>
        <v>http://www.aappublications.org/content/pediatrics-reviewer-guidelines</v>
      </c>
      <c r="AD131" t="str">
        <f>IFERROR(__xludf.DUMMYFUNCTION("""COMPUTED_VALUE"""),"Yes")</f>
        <v>Yes</v>
      </c>
      <c r="AE131" t="str">
        <f>IFERROR(__xludf.DUMMYFUNCTION("""COMPUTED_VALUE"""),"Unsure")</f>
        <v>Unsure</v>
      </c>
      <c r="AF131" t="str">
        <f>IFERROR(__xludf.DUMMYFUNCTION("""COMPUTED_VALUE"""),"Unsure")</f>
        <v>Unsure</v>
      </c>
      <c r="AG131" t="str">
        <f>IFERROR(__xludf.DUMMYFUNCTION("""COMPUTED_VALUE"""),"")</f>
        <v/>
      </c>
      <c r="AH131" t="str">
        <f>IFERROR(__xludf.DUMMYFUNCTION("""COMPUTED_VALUE"""),"No preprint policy")</f>
        <v>No preprint policy</v>
      </c>
      <c r="AI131" t="str">
        <f>IFERROR(__xludf.DUMMYFUNCTION("""COMPUTED_VALUE"""),"")</f>
        <v/>
      </c>
      <c r="AJ131" t="str">
        <f>IFERROR(__xludf.DUMMYFUNCTION("""COMPUTED_VALUE"""),"Not specified")</f>
        <v>Not specified</v>
      </c>
      <c r="AK131" t="str">
        <f>IFERROR(__xludf.DUMMYFUNCTION("""COMPUTED_VALUE"""),"Unsure")</f>
        <v>Unsure</v>
      </c>
      <c r="AL131" t="str">
        <f>IFERROR(__xludf.DUMMYFUNCTION("""COMPUTED_VALUE"""),"")</f>
        <v/>
      </c>
      <c r="AM131" t="str">
        <f>IFERROR(__xludf.DUMMYFUNCTION("""COMPUTED_VALUE"""),"")</f>
        <v/>
      </c>
      <c r="AN131" t="str">
        <f>IFERROR(__xludf.DUMMYFUNCTION("""COMPUTED_VALUE"""),"")</f>
        <v/>
      </c>
      <c r="AO131" t="str">
        <f>IFERROR(__xludf.DUMMYFUNCTION("""COMPUTED_VALUE"""),"")</f>
        <v/>
      </c>
      <c r="AP131" t="str">
        <f>IFERROR(__xludf.DUMMYFUNCTION("""COMPUTED_VALUE"""),"")</f>
        <v/>
      </c>
      <c r="AQ131" t="str">
        <f>IFERROR(__xludf.DUMMYFUNCTION("""COMPUTED_VALUE"""),"")</f>
        <v/>
      </c>
      <c r="AR131" t="str">
        <f>IFERROR(__xludf.DUMMYFUNCTION("""COMPUTED_VALUE"""),"")</f>
        <v/>
      </c>
    </row>
    <row r="132">
      <c r="A132" t="str">
        <f>IFERROR(__xludf.DUMMYFUNCTION("""COMPUTED_VALUE"""),"GSM")</f>
        <v>GSM</v>
      </c>
      <c r="B132" s="34">
        <f>IFERROR(__xludf.DUMMYFUNCTION("""COMPUTED_VALUE"""),43114.0)</f>
        <v>43114</v>
      </c>
      <c r="C132" t="str">
        <f>IFERROR(__xludf.DUMMYFUNCTION("""COMPUTED_VALUE"""),"TRH")</f>
        <v>TRH</v>
      </c>
      <c r="D132" s="36">
        <f>IFERROR(__xludf.DUMMYFUNCTION("""COMPUTED_VALUE"""),43575.0)</f>
        <v>43575</v>
      </c>
      <c r="E132" t="str">
        <f>IFERROR(__xludf.DUMMYFUNCTION("""COMPUTED_VALUE"""),"JP")</f>
        <v>JP</v>
      </c>
      <c r="F132" s="36">
        <f>IFERROR(__xludf.DUMMYFUNCTION("""COMPUTED_VALUE"""),43581.0)</f>
        <v>43581</v>
      </c>
      <c r="G132" t="str">
        <f>IFERROR(__xludf.DUMMYFUNCTION("""COMPUTED_VALUE"""),"")</f>
        <v/>
      </c>
      <c r="H132" t="str">
        <f>IFERROR(__xludf.DUMMYFUNCTION("""COMPUTED_VALUE"""),"1573-0883")</f>
        <v>1573-0883</v>
      </c>
      <c r="I132" t="str">
        <f>IFERROR(__xludf.DUMMYFUNCTION("""COMPUTED_VALUE"""),"Philosophical Studies")</f>
        <v>Philosophical Studies</v>
      </c>
      <c r="J132" t="str">
        <f>IFERROR(__xludf.DUMMYFUNCTION("""COMPUTED_VALUE"""),"Humanities, Literature &amp; Arts")</f>
        <v>Humanities, Literature &amp; Arts</v>
      </c>
      <c r="K132" t="str">
        <f>IFERROR(__xludf.DUMMYFUNCTION("""COMPUTED_VALUE"""),"Springer Nature")</f>
        <v>Springer Nature</v>
      </c>
      <c r="L132" t="str">
        <f>IFERROR(__xludf.DUMMYFUNCTION("""COMPUTED_VALUE"""),"Double blind")</f>
        <v>Double blind</v>
      </c>
      <c r="M132" s="78" t="str">
        <f>IFERROR(__xludf.DUMMYFUNCTION("""COMPUTED_VALUE"""),"https://www.springer.com/philosophy/journal/11098")</f>
        <v>https://www.springer.com/philosophy/journal/11098</v>
      </c>
      <c r="N132" t="str">
        <f>IFERROR(__xludf.DUMMYFUNCTION("""COMPUTED_VALUE"""),"")</f>
        <v/>
      </c>
      <c r="O132" t="str">
        <f>IFERROR(__xludf.DUMMYFUNCTION("""COMPUTED_VALUE"""),"")</f>
        <v/>
      </c>
      <c r="P132" t="str">
        <f>IFERROR(__xludf.DUMMYFUNCTION("""COMPUTED_VALUE"""),"Unsure")</f>
        <v>Unsure</v>
      </c>
      <c r="Q132" t="str">
        <f>IFERROR(__xludf.DUMMYFUNCTION("""COMPUTED_VALUE"""),"")</f>
        <v/>
      </c>
      <c r="R132" t="str">
        <f>IFERROR(__xludf.DUMMYFUNCTION("""COMPUTED_VALUE"""),"")</f>
        <v/>
      </c>
      <c r="S132" t="str">
        <f>IFERROR(__xludf.DUMMYFUNCTION("""COMPUTED_VALUE"""),"Not specified")</f>
        <v>Not specified</v>
      </c>
      <c r="T132" t="str">
        <f>IFERROR(__xludf.DUMMYFUNCTION("""COMPUTED_VALUE"""),"Not specified")</f>
        <v>Not specified</v>
      </c>
      <c r="U132" t="str">
        <f>IFERROR(__xludf.DUMMYFUNCTION("""COMPUTED_VALUE"""),"Not specified")</f>
        <v>Not specified</v>
      </c>
      <c r="V132" t="str">
        <f>IFERROR(__xludf.DUMMYFUNCTION("""COMPUTED_VALUE"""),"Not specified")</f>
        <v>Not specified</v>
      </c>
      <c r="W132" t="str">
        <f>IFERROR(__xludf.DUMMYFUNCTION("""COMPUTED_VALUE"""),"Not specified")</f>
        <v>Not specified</v>
      </c>
      <c r="X132" t="str">
        <f>IFERROR(__xludf.DUMMYFUNCTION("""COMPUTED_VALUE"""),"No")</f>
        <v>No</v>
      </c>
      <c r="Y132" t="str">
        <f>IFERROR(__xludf.DUMMYFUNCTION("""COMPUTED_VALUE"""),"Not specified")</f>
        <v>Not specified</v>
      </c>
      <c r="Z132" t="str">
        <f>IFERROR(__xludf.DUMMYFUNCTION("""COMPUTED_VALUE"""),"Not specified")</f>
        <v>Not specified</v>
      </c>
      <c r="AA132" t="str">
        <f>IFERROR(__xludf.DUMMYFUNCTION("""COMPUTED_VALUE"""),"")</f>
        <v/>
      </c>
      <c r="AB132" t="str">
        <f>IFERROR(__xludf.DUMMYFUNCTION("""COMPUTED_VALUE"""),"")</f>
        <v/>
      </c>
      <c r="AC132" t="str">
        <f>IFERROR(__xludf.DUMMYFUNCTION("""COMPUTED_VALUE"""),"")</f>
        <v/>
      </c>
      <c r="AD132" t="str">
        <f>IFERROR(__xludf.DUMMYFUNCTION("""COMPUTED_VALUE"""),"Unsure")</f>
        <v>Unsure</v>
      </c>
      <c r="AE132" t="str">
        <f>IFERROR(__xludf.DUMMYFUNCTION("""COMPUTED_VALUE"""),"Unsure")</f>
        <v>Unsure</v>
      </c>
      <c r="AF132" t="str">
        <f>IFERROR(__xludf.DUMMYFUNCTION("""COMPUTED_VALUE"""),"Unsure")</f>
        <v>Unsure</v>
      </c>
      <c r="AG132" t="str">
        <f>IFERROR(__xludf.DUMMYFUNCTION("""COMPUTED_VALUE"""),"")</f>
        <v/>
      </c>
      <c r="AH132" t="str">
        <f>IFERROR(__xludf.DUMMYFUNCTION("""COMPUTED_VALUE"""),"No preprint policy")</f>
        <v>No preprint policy</v>
      </c>
      <c r="AI132" t="str">
        <f>IFERROR(__xludf.DUMMYFUNCTION("""COMPUTED_VALUE"""),"")</f>
        <v/>
      </c>
      <c r="AJ132" t="str">
        <f>IFERROR(__xludf.DUMMYFUNCTION("""COMPUTED_VALUE"""),"Yes, but only in the text (not the reference list) - Author instructions https://www.springer.com/philosophy/journal/11098")</f>
        <v>Yes, but only in the text (not the reference list) - Author instructions https://www.springer.com/philosophy/journal/11098</v>
      </c>
      <c r="AK132" t="str">
        <f>IFERROR(__xludf.DUMMYFUNCTION("""COMPUTED_VALUE"""),"Unsure")</f>
        <v>Unsure</v>
      </c>
      <c r="AL132" t="str">
        <f>IFERROR(__xludf.DUMMYFUNCTION("""COMPUTED_VALUE"""),"")</f>
        <v/>
      </c>
      <c r="AM132" t="str">
        <f>IFERROR(__xludf.DUMMYFUNCTION("""COMPUTED_VALUE"""),"")</f>
        <v/>
      </c>
      <c r="AN132" t="str">
        <f>IFERROR(__xludf.DUMMYFUNCTION("""COMPUTED_VALUE"""),"")</f>
        <v/>
      </c>
      <c r="AO132" t="str">
        <f>IFERROR(__xludf.DUMMYFUNCTION("""COMPUTED_VALUE"""),"")</f>
        <v/>
      </c>
      <c r="AP132" s="78" t="str">
        <f>IFERROR(__xludf.DUMMYFUNCTION("""COMPUTED_VALUE"""),"https://www.springer.com/philosophy/journal/11098")</f>
        <v>https://www.springer.com/philosophy/journal/11098</v>
      </c>
      <c r="AQ132" t="str">
        <f>IFERROR(__xludf.DUMMYFUNCTION("""COMPUTED_VALUE"""),"")</f>
        <v/>
      </c>
      <c r="AR132" t="str">
        <f>IFERROR(__xludf.DUMMYFUNCTION("""COMPUTED_VALUE"""),"")</f>
        <v/>
      </c>
    </row>
    <row r="133">
      <c r="A133" t="str">
        <f>IFERROR(__xludf.DUMMYFUNCTION("""COMPUTED_VALUE"""),"GSM")</f>
        <v>GSM</v>
      </c>
      <c r="B133" s="34">
        <f>IFERROR(__xludf.DUMMYFUNCTION("""COMPUTED_VALUE"""),43114.0)</f>
        <v>43114</v>
      </c>
      <c r="C133" t="str">
        <f>IFERROR(__xludf.DUMMYFUNCTION("""COMPUTED_VALUE"""),"TRH")</f>
        <v>TRH</v>
      </c>
      <c r="D133" s="36">
        <f>IFERROR(__xludf.DUMMYFUNCTION("""COMPUTED_VALUE"""),43575.0)</f>
        <v>43575</v>
      </c>
      <c r="E133" t="str">
        <f>IFERROR(__xludf.DUMMYFUNCTION("""COMPUTED_VALUE"""),"JP")</f>
        <v>JP</v>
      </c>
      <c r="F133" s="36">
        <f>IFERROR(__xludf.DUMMYFUNCTION("""COMPUTED_VALUE"""),43581.0)</f>
        <v>43581</v>
      </c>
      <c r="G133" t="str">
        <f>IFERROR(__xludf.DUMMYFUNCTION("""COMPUTED_VALUE"""),"")</f>
        <v/>
      </c>
      <c r="H133" t="str">
        <f>IFERROR(__xludf.DUMMYFUNCTION("""COMPUTED_VALUE"""),"1550-235X")</f>
        <v>1550-235X</v>
      </c>
      <c r="I133" t="str">
        <f>IFERROR(__xludf.DUMMYFUNCTION("""COMPUTED_VALUE"""),"Physical Review B")</f>
        <v>Physical Review B</v>
      </c>
      <c r="J133" t="str">
        <f>IFERROR(__xludf.DUMMYFUNCTION("""COMPUTED_VALUE"""),"Physics &amp; Mathematics")</f>
        <v>Physics &amp; Mathematics</v>
      </c>
      <c r="K133" t="str">
        <f>IFERROR(__xludf.DUMMYFUNCTION("""COMPUTED_VALUE"""),"American Physical Society")</f>
        <v>American Physical Society</v>
      </c>
      <c r="L133" t="str">
        <f>IFERROR(__xludf.DUMMYFUNCTION("""COMPUTED_VALUE"""),"Single blind")</f>
        <v>Single blind</v>
      </c>
      <c r="M133" s="78" t="str">
        <f>IFERROR(__xludf.DUMMYFUNCTION("""COMPUTED_VALUE"""),"https://journals.aps.org/prb/referees/guidelines-for-referees")</f>
        <v>https://journals.aps.org/prb/referees/guidelines-for-referees</v>
      </c>
      <c r="N133" t="str">
        <f>IFERROR(__xludf.DUMMYFUNCTION("""COMPUTED_VALUE"""),"")</f>
        <v/>
      </c>
      <c r="O133" t="str">
        <f>IFERROR(__xludf.DUMMYFUNCTION("""COMPUTED_VALUE"""),"")</f>
        <v/>
      </c>
      <c r="P133" t="str">
        <f>IFERROR(__xludf.DUMMYFUNCTION("""COMPUTED_VALUE"""),"Unsure")</f>
        <v>Unsure</v>
      </c>
      <c r="Q133" t="str">
        <f>IFERROR(__xludf.DUMMYFUNCTION("""COMPUTED_VALUE"""),"If a manuscript submitted to Physical Review B is on a topic not within its purview, but may be suitable for another Physical Review journal, the editors may transfer the paper to the appropriate journal and inform the author(s) of that transfer.")</f>
        <v>If a manuscript submitted to Physical Review B is on a topic not within its purview, but may be suitable for another Physical Review journal, the editors may transfer the paper to the appropriate journal and inform the author(s) of that transfer.</v>
      </c>
      <c r="R133" s="78" t="str">
        <f>IFERROR(__xludf.DUMMYFUNCTION("""COMPUTED_VALUE"""),"https://journals.aps.org/prb/authors/editorial-policies-practices#guide")</f>
        <v>https://journals.aps.org/prb/authors/editorial-policies-practices#guide</v>
      </c>
      <c r="S133" t="str">
        <f>IFERROR(__xludf.DUMMYFUNCTION("""COMPUTED_VALUE"""),"No")</f>
        <v>No</v>
      </c>
      <c r="T133" t="str">
        <f>IFERROR(__xludf.DUMMYFUNCTION("""COMPUTED_VALUE"""),"No")</f>
        <v>No</v>
      </c>
      <c r="U133" t="str">
        <f>IFERROR(__xludf.DUMMYFUNCTION("""COMPUTED_VALUE"""),"No")</f>
        <v>No</v>
      </c>
      <c r="V133" t="str">
        <f>IFERROR(__xludf.DUMMYFUNCTION("""COMPUTED_VALUE"""),"Not specified")</f>
        <v>Not specified</v>
      </c>
      <c r="W133" t="str">
        <f>IFERROR(__xludf.DUMMYFUNCTION("""COMPUTED_VALUE"""),"No")</f>
        <v>No</v>
      </c>
      <c r="X133" t="str">
        <f>IFERROR(__xludf.DUMMYFUNCTION("""COMPUTED_VALUE"""),"No")</f>
        <v>No</v>
      </c>
      <c r="Y133" t="str">
        <f>IFERROR(__xludf.DUMMYFUNCTION("""COMPUTED_VALUE"""),"Not specified")</f>
        <v>Not specified</v>
      </c>
      <c r="Z133" t="str">
        <f>IFERROR(__xludf.DUMMYFUNCTION("""COMPUTED_VALUE"""),"Not specified")</f>
        <v>Not specified</v>
      </c>
      <c r="AA133" t="str">
        <f>IFERROR(__xludf.DUMMYFUNCTION("""COMPUTED_VALUE"""),"")</f>
        <v/>
      </c>
      <c r="AB133" t="str">
        <f>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3" s="78" t="str">
        <f>IFERROR(__xludf.DUMMYFUNCTION("""COMPUTED_VALUE"""),"https://journals.aps.org/prb/authors/editorial-policies-practices#anonymity")</f>
        <v>https://journals.aps.org/prb/authors/editorial-policies-practices#anonymity</v>
      </c>
      <c r="AD133" t="str">
        <f>IFERROR(__xludf.DUMMYFUNCTION("""COMPUTED_VALUE"""),"Yes")</f>
        <v>Yes</v>
      </c>
      <c r="AE133" t="str">
        <f>IFERROR(__xludf.DUMMYFUNCTION("""COMPUTED_VALUE"""),"Unsure")</f>
        <v>Unsure</v>
      </c>
      <c r="AF133" t="str">
        <f>IFERROR(__xludf.DUMMYFUNCTION("""COMPUTED_VALUE"""),"Unsure")</f>
        <v>Unsure</v>
      </c>
      <c r="AG133" t="str">
        <f>IFERROR(__xludf.DUMMYFUNCTION("""COMPUTED_VALUE"""),"")</f>
        <v/>
      </c>
      <c r="AH133" t="str">
        <f>IFERROR(__xludf.DUMMYFUNCTION("""COMPUTED_VALUE"""),"No preprint policy")</f>
        <v>No preprint policy</v>
      </c>
      <c r="AI133" t="str">
        <f>IFERROR(__xludf.DUMMYFUNCTION("""COMPUTED_VALUE"""),"")</f>
        <v/>
      </c>
      <c r="AJ133" t="str">
        <f>IFERROR(__xludf.DUMMYFUNCTION("""COMPUTED_VALUE"""),"Yes, in the reference list (Authors may cite unpublished work, such as e-prints, preprints, internal reports, or results that have been reported only orally at meetings (even though an abstract may have been published).) https://journals.aps.org/prb/autho"&amp;"rs/editorial-policies-practices")</f>
        <v>Yes, in the reference list (Authors may cite unpublished work, such as e-prints, preprints, internal reports, or results that have been reported only orally at meetings (even though an abstract may have been published).) https://journals.aps.org/prb/authors/editorial-policies-practices</v>
      </c>
      <c r="AK133" t="str">
        <f>IFERROR(__xludf.DUMMYFUNCTION("""COMPUTED_VALUE"""),"")</f>
        <v/>
      </c>
      <c r="AL133" t="str">
        <f>IFERROR(__xludf.DUMMYFUNCTION("""COMPUTED_VALUE"""),"")</f>
        <v/>
      </c>
      <c r="AM133" t="str">
        <f>IFERROR(__xludf.DUMMYFUNCTION("""COMPUTED_VALUE"""),"")</f>
        <v/>
      </c>
      <c r="AN133" t="str">
        <f>IFERROR(__xludf.DUMMYFUNCTION("""COMPUTED_VALUE"""),"")</f>
        <v/>
      </c>
      <c r="AO133" t="str">
        <f>IFERROR(__xludf.DUMMYFUNCTION("""COMPUTED_VALUE"""),"")</f>
        <v/>
      </c>
      <c r="AP133" t="str">
        <f>IFERROR(__xludf.DUMMYFUNCTION("""COMPUTED_VALUE"""),"")</f>
        <v/>
      </c>
      <c r="AQ133" t="str">
        <f>IFERROR(__xludf.DUMMYFUNCTION("""COMPUTED_VALUE"""),"")</f>
        <v/>
      </c>
      <c r="AR133" t="str">
        <f>IFERROR(__xludf.DUMMYFUNCTION("""COMPUTED_VALUE"""),"")</f>
        <v/>
      </c>
    </row>
    <row r="134">
      <c r="A134" t="str">
        <f>IFERROR(__xludf.DUMMYFUNCTION("""COMPUTED_VALUE"""),"GSM")</f>
        <v>GSM</v>
      </c>
      <c r="B134" s="34">
        <f>IFERROR(__xludf.DUMMYFUNCTION("""COMPUTED_VALUE"""),43114.0)</f>
        <v>43114</v>
      </c>
      <c r="C134" t="str">
        <f>IFERROR(__xludf.DUMMYFUNCTION("""COMPUTED_VALUE"""),"TRH")</f>
        <v>TRH</v>
      </c>
      <c r="D134" s="36">
        <f>IFERROR(__xludf.DUMMYFUNCTION("""COMPUTED_VALUE"""),43575.0)</f>
        <v>43575</v>
      </c>
      <c r="E134" t="str">
        <f>IFERROR(__xludf.DUMMYFUNCTION("""COMPUTED_VALUE"""),"JP")</f>
        <v>JP</v>
      </c>
      <c r="F134" s="36">
        <f>IFERROR(__xludf.DUMMYFUNCTION("""COMPUTED_VALUE"""),43581.0)</f>
        <v>43581</v>
      </c>
      <c r="G134" t="str">
        <f>IFERROR(__xludf.DUMMYFUNCTION("""COMPUTED_VALUE"""),"Changed url in preprint citation policies")</f>
        <v>Changed url in preprint citation policies</v>
      </c>
      <c r="H134" t="str">
        <f>IFERROR(__xludf.DUMMYFUNCTION("""COMPUTED_VALUE"""),"1550- 2368")</f>
        <v>1550- 2368</v>
      </c>
      <c r="I134" t="str">
        <f>IFERROR(__xludf.DUMMYFUNCTION("""COMPUTED_VALUE"""),"Physical Review D")</f>
        <v>Physical Review D</v>
      </c>
      <c r="J134" t="str">
        <f>IFERROR(__xludf.DUMMYFUNCTION("""COMPUTED_VALUE"""),"Physics &amp; Mathematics")</f>
        <v>Physics &amp; Mathematics</v>
      </c>
      <c r="K134" t="str">
        <f>IFERROR(__xludf.DUMMYFUNCTION("""COMPUTED_VALUE"""),"American Physical Society")</f>
        <v>American Physical Society</v>
      </c>
      <c r="L134" t="str">
        <f>IFERROR(__xludf.DUMMYFUNCTION("""COMPUTED_VALUE"""),"Single blind")</f>
        <v>Single blind</v>
      </c>
      <c r="M134" s="78" t="str">
        <f>IFERROR(__xludf.DUMMYFUNCTION("""COMPUTED_VALUE"""),"https://journals.aps.org/prd/authors/editorial-policies-practices#anonymity")</f>
        <v>https://journals.aps.org/prd/authors/editorial-policies-practices#anonymity</v>
      </c>
      <c r="N134" t="str">
        <f>IFERROR(__xludf.DUMMYFUNCTION("""COMPUTED_VALUE"""),"")</f>
        <v/>
      </c>
      <c r="O134" t="str">
        <f>IFERROR(__xludf.DUMMYFUNCTION("""COMPUTED_VALUE"""),"")</f>
        <v/>
      </c>
      <c r="P134" t="str">
        <f>IFERROR(__xludf.DUMMYFUNCTION("""COMPUTED_VALUE"""),"Unsure")</f>
        <v>Unsure</v>
      </c>
      <c r="Q134" t="str">
        <f>IFERROR(__xludf.DUMMYFUNCTION("""COMPUTED_VALUE"""),"If a manuscript submitted to Physical Review D is on a topic not within its purview, but may be suitable for another Physical Review journal, the editors may transfer the paper to the appropriate journal and inform the author(s) of that transfer.")</f>
        <v>If a manuscript submitted to Physical Review D is on a topic not within its purview, but may be suitable for another Physical Review journal, the editors may transfer the paper to the appropriate journal and inform the author(s) of that transfer.</v>
      </c>
      <c r="R134" s="78" t="str">
        <f>IFERROR(__xludf.DUMMYFUNCTION("""COMPUTED_VALUE"""),"https://journals.aps.org/prd/authors/editorial-policies-practices#sub")</f>
        <v>https://journals.aps.org/prd/authors/editorial-policies-practices#sub</v>
      </c>
      <c r="S134" t="str">
        <f>IFERROR(__xludf.DUMMYFUNCTION("""COMPUTED_VALUE"""),"No")</f>
        <v>No</v>
      </c>
      <c r="T134" t="str">
        <f>IFERROR(__xludf.DUMMYFUNCTION("""COMPUTED_VALUE"""),"No")</f>
        <v>No</v>
      </c>
      <c r="U134" t="str">
        <f>IFERROR(__xludf.DUMMYFUNCTION("""COMPUTED_VALUE"""),"No")</f>
        <v>No</v>
      </c>
      <c r="V134" t="str">
        <f>IFERROR(__xludf.DUMMYFUNCTION("""COMPUTED_VALUE"""),"Not specified")</f>
        <v>Not specified</v>
      </c>
      <c r="W134" t="str">
        <f>IFERROR(__xludf.DUMMYFUNCTION("""COMPUTED_VALUE"""),"No")</f>
        <v>No</v>
      </c>
      <c r="X134" t="str">
        <f>IFERROR(__xludf.DUMMYFUNCTION("""COMPUTED_VALUE"""),"No")</f>
        <v>No</v>
      </c>
      <c r="Y134" t="str">
        <f>IFERROR(__xludf.DUMMYFUNCTION("""COMPUTED_VALUE"""),"Not specified")</f>
        <v>Not specified</v>
      </c>
      <c r="Z134" t="str">
        <f>IFERROR(__xludf.DUMMYFUNCTION("""COMPUTED_VALUE"""),"Not specified")</f>
        <v>Not specified</v>
      </c>
      <c r="AA134" t="str">
        <f>IFERROR(__xludf.DUMMYFUNCTION("""COMPUTED_VALUE"""),"")</f>
        <v/>
      </c>
      <c r="AB134" t="str">
        <f>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4" s="78" t="str">
        <f>IFERROR(__xludf.DUMMYFUNCTION("""COMPUTED_VALUE"""),"https://journals.aps.org/prd/authors/editorial-policies-practices#anonymity")</f>
        <v>https://journals.aps.org/prd/authors/editorial-policies-practices#anonymity</v>
      </c>
      <c r="AD134" t="str">
        <f>IFERROR(__xludf.DUMMYFUNCTION("""COMPUTED_VALUE"""),"Yes")</f>
        <v>Yes</v>
      </c>
      <c r="AE134" t="str">
        <f>IFERROR(__xludf.DUMMYFUNCTION("""COMPUTED_VALUE"""),"Unsure")</f>
        <v>Unsure</v>
      </c>
      <c r="AF134" t="str">
        <f>IFERROR(__xludf.DUMMYFUNCTION("""COMPUTED_VALUE"""),"Unsure")</f>
        <v>Unsure</v>
      </c>
      <c r="AG134" t="str">
        <f>IFERROR(__xludf.DUMMYFUNCTION("""COMPUTED_VALUE"""),"")</f>
        <v/>
      </c>
      <c r="AH134" t="str">
        <f>IFERROR(__xludf.DUMMYFUNCTION("""COMPUTED_VALUE"""),"No preprint policy")</f>
        <v>No preprint policy</v>
      </c>
      <c r="AI134" t="str">
        <f>IFERROR(__xludf.DUMMYFUNCTION("""COMPUTED_VALUE"""),"")</f>
        <v/>
      </c>
      <c r="AJ134" t="str">
        <f>IFERROR(__xludf.DUMMYFUNCTION("""COMPUTED_VALUE"""),"Yes, in the reference list (Authors may cite unpublished work, such as e-prints, preprints, internal reports, or results that have been reported only orally at meetings (even though an abstract may have been published).) https://journals.aps.org/prd/autho"&amp;"rs/editorial-policies-practices")</f>
        <v>Yes, in the reference list (Authors may cite unpublished work, such as e-prints, preprints, internal reports, or results that have been reported only orally at meetings (even though an abstract may have been published).) https://journals.aps.org/prd/authors/editorial-policies-practices</v>
      </c>
      <c r="AK134" t="str">
        <f>IFERROR(__xludf.DUMMYFUNCTION("""COMPUTED_VALUE"""),"")</f>
        <v/>
      </c>
      <c r="AL134" t="str">
        <f>IFERROR(__xludf.DUMMYFUNCTION("""COMPUTED_VALUE"""),"")</f>
        <v/>
      </c>
      <c r="AM134" t="str">
        <f>IFERROR(__xludf.DUMMYFUNCTION("""COMPUTED_VALUE"""),"")</f>
        <v/>
      </c>
      <c r="AN134" t="str">
        <f>IFERROR(__xludf.DUMMYFUNCTION("""COMPUTED_VALUE"""),"")</f>
        <v/>
      </c>
      <c r="AO134" t="str">
        <f>IFERROR(__xludf.DUMMYFUNCTION("""COMPUTED_VALUE"""),"")</f>
        <v/>
      </c>
      <c r="AP134" t="str">
        <f>IFERROR(__xludf.DUMMYFUNCTION("""COMPUTED_VALUE"""),"")</f>
        <v/>
      </c>
      <c r="AQ134" t="str">
        <f>IFERROR(__xludf.DUMMYFUNCTION("""COMPUTED_VALUE"""),"")</f>
        <v/>
      </c>
      <c r="AR134" t="str">
        <f>IFERROR(__xludf.DUMMYFUNCTION("""COMPUTED_VALUE"""),"")</f>
        <v/>
      </c>
    </row>
    <row r="135">
      <c r="A135" t="str">
        <f>IFERROR(__xludf.DUMMYFUNCTION("""COMPUTED_VALUE"""),"GSM")</f>
        <v>GSM</v>
      </c>
      <c r="B135" s="34">
        <f>IFERROR(__xludf.DUMMYFUNCTION("""COMPUTED_VALUE"""),43114.0)</f>
        <v>43114</v>
      </c>
      <c r="C135" t="str">
        <f>IFERROR(__xludf.DUMMYFUNCTION("""COMPUTED_VALUE"""),"SH")</f>
        <v>SH</v>
      </c>
      <c r="D135" s="36">
        <f>IFERROR(__xludf.DUMMYFUNCTION("""COMPUTED_VALUE"""),43575.0)</f>
        <v>43575</v>
      </c>
      <c r="E135" t="str">
        <f>IFERROR(__xludf.DUMMYFUNCTION("""COMPUTED_VALUE"""),"TRH")</f>
        <v>TRH</v>
      </c>
      <c r="F135" s="36">
        <f>IFERROR(__xludf.DUMMYFUNCTION("""COMPUTED_VALUE"""),43581.0)</f>
        <v>43581</v>
      </c>
      <c r="G135" s="36" t="str">
        <f>IFERROR(__xludf.DUMMYFUNCTION("""COMPUTED_VALUE"""),"")</f>
        <v/>
      </c>
      <c r="H135" t="str">
        <f>IFERROR(__xludf.DUMMYFUNCTION("""COMPUTED_VALUE"""),"1079-7114")</f>
        <v>1079-7114</v>
      </c>
      <c r="I135" t="str">
        <f>IFERROR(__xludf.DUMMYFUNCTION("""COMPUTED_VALUE"""),"Physical Review Letters")</f>
        <v>Physical Review Letters</v>
      </c>
      <c r="J135" t="str">
        <f>IFERROR(__xludf.DUMMYFUNCTION("""COMPUTED_VALUE"""),"Physics &amp; Mathematics")</f>
        <v>Physics &amp; Mathematics</v>
      </c>
      <c r="K135" t="str">
        <f>IFERROR(__xludf.DUMMYFUNCTION("""COMPUTED_VALUE"""),"American Physical Society")</f>
        <v>American Physical Society</v>
      </c>
      <c r="L135" t="str">
        <f>IFERROR(__xludf.DUMMYFUNCTION("""COMPUTED_VALUE"""),"Single blind")</f>
        <v>Single blind</v>
      </c>
      <c r="M135" s="78" t="str">
        <f>IFERROR(__xludf.DUMMYFUNCTION("""COMPUTED_VALUE"""),"https://journals.aps.org/prl/authors/editorial-policies-practices#anonymity")</f>
        <v>https://journals.aps.org/prl/authors/editorial-policies-practices#anonymity</v>
      </c>
      <c r="N135" s="78" t="str">
        <f>IFERROR(__xludf.DUMMYFUNCTION("""COMPUTED_VALUE"""),"https://journals.aps.org/referees/referee-response-physical-review-letters")</f>
        <v>https://journals.aps.org/referees/referee-response-physical-review-letters</v>
      </c>
      <c r="O135" t="str">
        <f>IFERROR(__xludf.DUMMYFUNCTION("""COMPUTED_VALUE"""),"")</f>
        <v/>
      </c>
      <c r="P135" t="str">
        <f>IFERROR(__xludf.DUMMYFUNCTION("""COMPUTED_VALUE"""),"Unsure")</f>
        <v>Unsure</v>
      </c>
      <c r="Q135" t="str">
        <f>IFERROR(__xludf.DUMMYFUNCTION("""COMPUTED_VALUE"""),"")</f>
        <v/>
      </c>
      <c r="R135" t="str">
        <f>IFERROR(__xludf.DUMMYFUNCTION("""COMPUTED_VALUE"""),"")</f>
        <v/>
      </c>
      <c r="S135" t="str">
        <f>IFERROR(__xludf.DUMMYFUNCTION("""COMPUTED_VALUE"""),"No")</f>
        <v>No</v>
      </c>
      <c r="T135" t="str">
        <f>IFERROR(__xludf.DUMMYFUNCTION("""COMPUTED_VALUE"""),"No")</f>
        <v>No</v>
      </c>
      <c r="U135" t="str">
        <f>IFERROR(__xludf.DUMMYFUNCTION("""COMPUTED_VALUE"""),"No")</f>
        <v>No</v>
      </c>
      <c r="V135" t="str">
        <f>IFERROR(__xludf.DUMMYFUNCTION("""COMPUTED_VALUE"""),"No")</f>
        <v>No</v>
      </c>
      <c r="W135" t="str">
        <f>IFERROR(__xludf.DUMMYFUNCTION("""COMPUTED_VALUE"""),"No")</f>
        <v>No</v>
      </c>
      <c r="X135" t="str">
        <f>IFERROR(__xludf.DUMMYFUNCTION("""COMPUTED_VALUE"""),"No")</f>
        <v>No</v>
      </c>
      <c r="Y135" t="str">
        <f>IFERROR(__xludf.DUMMYFUNCTION("""COMPUTED_VALUE"""),"Not specified")</f>
        <v>Not specified</v>
      </c>
      <c r="Z135" t="str">
        <f>IFERROR(__xludf.DUMMYFUNCTION("""COMPUTED_VALUE"""),"Not specified")</f>
        <v>Not specified</v>
      </c>
      <c r="AA135" t="str">
        <f>IFERROR(__xludf.DUMMYFUNCTION("""COMPUTED_VALUE"""),"")</f>
        <v/>
      </c>
      <c r="AB135" t="str">
        <f>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5" s="78" t="str">
        <f>IFERROR(__xludf.DUMMYFUNCTION("""COMPUTED_VALUE"""),"https://journals.aps.org/prl/authors/editorial-policies-practices#anonymity")</f>
        <v>https://journals.aps.org/prl/authors/editorial-policies-practices#anonymity</v>
      </c>
      <c r="AD135" t="str">
        <f>IFERROR(__xludf.DUMMYFUNCTION("""COMPUTED_VALUE"""),"Yes")</f>
        <v>Yes</v>
      </c>
      <c r="AE135" t="str">
        <f>IFERROR(__xludf.DUMMYFUNCTION("""COMPUTED_VALUE"""),"Unsure")</f>
        <v>Unsure</v>
      </c>
      <c r="AF135" t="str">
        <f>IFERROR(__xludf.DUMMYFUNCTION("""COMPUTED_VALUE"""),"Unsure")</f>
        <v>Unsure</v>
      </c>
      <c r="AG135" t="str">
        <f>IFERROR(__xludf.DUMMYFUNCTION("""COMPUTED_VALUE"""),"")</f>
        <v/>
      </c>
      <c r="AH135" t="str">
        <f>IFERROR(__xludf.DUMMYFUNCTION("""COMPUTED_VALUE"""),"No preprint policy")</f>
        <v>No preprint policy</v>
      </c>
      <c r="AI135" t="str">
        <f>IFERROR(__xludf.DUMMYFUNCTION("""COMPUTED_VALUE"""),"")</f>
        <v/>
      </c>
      <c r="AJ135" t="str">
        <f>IFERROR(__xludf.DUMMYFUNCTION("""COMPUTED_VALUE"""),"Unsure")</f>
        <v>Unsure</v>
      </c>
      <c r="AK135" t="str">
        <f>IFERROR(__xludf.DUMMYFUNCTION("""COMPUTED_VALUE"""),"Unsure")</f>
        <v>Unsure</v>
      </c>
      <c r="AL135" t="str">
        <f>IFERROR(__xludf.DUMMYFUNCTION("""COMPUTED_VALUE"""),"")</f>
        <v/>
      </c>
      <c r="AM135" t="str">
        <f>IFERROR(__xludf.DUMMYFUNCTION("""COMPUTED_VALUE"""),"")</f>
        <v/>
      </c>
      <c r="AN135" t="str">
        <f>IFERROR(__xludf.DUMMYFUNCTION("""COMPUTED_VALUE"""),"")</f>
        <v/>
      </c>
      <c r="AO135" t="str">
        <f>IFERROR(__xludf.DUMMYFUNCTION("""COMPUTED_VALUE"""),"")</f>
        <v/>
      </c>
      <c r="AP135" t="str">
        <f>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v>
      </c>
      <c r="AQ135">
        <f>IFERROR(__xludf.DUMMYFUNCTION("""COMPUTED_VALUE"""),10.0)</f>
        <v>10</v>
      </c>
      <c r="AR135" t="str">
        <f>IFERROR(__xludf.DUMMYFUNCTION("""COMPUTED_VALUE"""),"")</f>
        <v/>
      </c>
    </row>
    <row r="136">
      <c r="A136" t="str">
        <f>IFERROR(__xludf.DUMMYFUNCTION("""COMPUTED_VALUE"""),"GSM")</f>
        <v>GSM</v>
      </c>
      <c r="B136" s="34">
        <f>IFERROR(__xludf.DUMMYFUNCTION("""COMPUTED_VALUE"""),43114.0)</f>
        <v>43114</v>
      </c>
      <c r="C136" t="str">
        <f>IFERROR(__xludf.DUMMYFUNCTION("""COMPUTED_VALUE"""),"SH")</f>
        <v>SH</v>
      </c>
      <c r="D136" s="36">
        <f>IFERROR(__xludf.DUMMYFUNCTION("""COMPUTED_VALUE"""),43575.0)</f>
        <v>43575</v>
      </c>
      <c r="E136" t="str">
        <f>IFERROR(__xludf.DUMMYFUNCTION("""COMPUTED_VALUE"""),"TRH")</f>
        <v>TRH</v>
      </c>
      <c r="F136" s="36">
        <f>IFERROR(__xludf.DUMMYFUNCTION("""COMPUTED_VALUE"""),43581.0)</f>
        <v>43581</v>
      </c>
      <c r="G136" s="36" t="str">
        <f>IFERROR(__xludf.DUMMYFUNCTION("""COMPUTED_VALUE"""),"")</f>
        <v/>
      </c>
      <c r="H136" t="str">
        <f>IFERROR(__xludf.DUMMYFUNCTION("""COMPUTED_VALUE"""),"2160-3308")</f>
        <v>2160-3308</v>
      </c>
      <c r="I136" t="str">
        <f>IFERROR(__xludf.DUMMYFUNCTION("""COMPUTED_VALUE"""),"Physical Review X")</f>
        <v>Physical Review X</v>
      </c>
      <c r="J136" t="str">
        <f>IFERROR(__xludf.DUMMYFUNCTION("""COMPUTED_VALUE"""),"Physics &amp; Mathematics")</f>
        <v>Physics &amp; Mathematics</v>
      </c>
      <c r="K136" t="str">
        <f>IFERROR(__xludf.DUMMYFUNCTION("""COMPUTED_VALUE"""),"American Physical Society")</f>
        <v>American Physical Society</v>
      </c>
      <c r="L136" t="str">
        <f>IFERROR(__xludf.DUMMYFUNCTION("""COMPUTED_VALUE"""),"Single blind")</f>
        <v>Single blind</v>
      </c>
      <c r="M136" s="78" t="str">
        <f>IFERROR(__xludf.DUMMYFUNCTION("""COMPUTED_VALUE"""),"https://journals.aps.org/prx/authors/editorial-policies-practices")</f>
        <v>https://journals.aps.org/prx/authors/editorial-policies-practices</v>
      </c>
      <c r="N136" s="78" t="str">
        <f>IFERROR(__xludf.DUMMYFUNCTION("""COMPUTED_VALUE"""),"https://journals.aps.org/prx/referees/referee-response-physical-review-x")</f>
        <v>https://journals.aps.org/prx/referees/referee-response-physical-review-x</v>
      </c>
      <c r="O136" t="str">
        <f>IFERROR(__xludf.DUMMYFUNCTION("""COMPUTED_VALUE"""),"")</f>
        <v/>
      </c>
      <c r="P136" t="str">
        <f>IFERROR(__xludf.DUMMYFUNCTION("""COMPUTED_VALUE"""),"Unsure")</f>
        <v>Unsure</v>
      </c>
      <c r="Q136" t="str">
        <f>IFERROR(__xludf.DUMMYFUNCTION("""COMPUTED_VALUE"""),"Relationship to the other Physical Review journals
 Although a member of the Physical Review family of journals, Physical Review X is editorially independent of the other journals. Its editors make their own decisions on manuscripts under consideration by"&amp;" the journal.
 Procedurally, the Physical Review family journals, including Physical Review Letters and Physical Review X, allow transfer of a manuscript from one journal to another to take place, provided that the topic of the manuscript fits within the "&amp;"scope of the latter journal. However, the editors of that journal will make their own decision on the disposition of the transferred manuscript.
 Under this general policy, the editors of Physical Review X may reject the transferred manuscript without ext"&amp;"ernal review if they judge that the manuscript does not fulfill the journal's stringent acceptance criteria. Since the scope of Physical Review X is intended to be broader than what is currently covered by the other Physical Review journals, it is natural"&amp;" that Physical Review X may reconsider papers that have been rejected by the other Physical Review journals primarily for the reason of unmatched scope. In such cases, the editors of Physical Review X may seek external review of the transferred manuscript"&amp;" before reaching a final decision. In rare occasions and if the manuscript has been thoroughly vetted technically by the journal from which it is transferred, the editors of Physical Review X may accept the transferred manuscript for publication without a"&amp;"dditional external review, typically after consultation with the journal's editorial board.")</f>
        <v>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v>
      </c>
      <c r="R136" s="78" t="str">
        <f>IFERROR(__xludf.DUMMYFUNCTION("""COMPUTED_VALUE"""),"https://journals.aps.org/prx/authors/editorial-policies-practices")</f>
        <v>https://journals.aps.org/prx/authors/editorial-policies-practices</v>
      </c>
      <c r="S136" t="str">
        <f>IFERROR(__xludf.DUMMYFUNCTION("""COMPUTED_VALUE"""),"No")</f>
        <v>No</v>
      </c>
      <c r="T136" t="str">
        <f>IFERROR(__xludf.DUMMYFUNCTION("""COMPUTED_VALUE"""),"No")</f>
        <v>No</v>
      </c>
      <c r="U136" t="str">
        <f>IFERROR(__xludf.DUMMYFUNCTION("""COMPUTED_VALUE"""),"No")</f>
        <v>No</v>
      </c>
      <c r="V136" t="str">
        <f>IFERROR(__xludf.DUMMYFUNCTION("""COMPUTED_VALUE"""),"No")</f>
        <v>No</v>
      </c>
      <c r="W136" t="str">
        <f>IFERROR(__xludf.DUMMYFUNCTION("""COMPUTED_VALUE"""),"No")</f>
        <v>No</v>
      </c>
      <c r="X136" t="str">
        <f>IFERROR(__xludf.DUMMYFUNCTION("""COMPUTED_VALUE"""),"No")</f>
        <v>No</v>
      </c>
      <c r="Y136" t="str">
        <f>IFERROR(__xludf.DUMMYFUNCTION("""COMPUTED_VALUE"""),"Not specified")</f>
        <v>Not specified</v>
      </c>
      <c r="Z136" t="str">
        <f>IFERROR(__xludf.DUMMYFUNCTION("""COMPUTED_VALUE"""),"Not specified")</f>
        <v>Not specified</v>
      </c>
      <c r="AA136" t="str">
        <f>IFERROR(__xludf.DUMMYFUNCTION("""COMPUTED_VALUE"""),"")</f>
        <v/>
      </c>
      <c r="AB136" t="str">
        <f>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6" s="78" t="str">
        <f>IFERROR(__xludf.DUMMYFUNCTION("""COMPUTED_VALUE"""),"https://journals.aps.org/prx/authors/editorial-policies-practices")</f>
        <v>https://journals.aps.org/prx/authors/editorial-policies-practices</v>
      </c>
      <c r="AD136" t="str">
        <f>IFERROR(__xludf.DUMMYFUNCTION("""COMPUTED_VALUE"""),"Yes")</f>
        <v>Yes</v>
      </c>
      <c r="AE136" t="str">
        <f>IFERROR(__xludf.DUMMYFUNCTION("""COMPUTED_VALUE"""),"Unsure")</f>
        <v>Unsure</v>
      </c>
      <c r="AF136" t="str">
        <f>IFERROR(__xludf.DUMMYFUNCTION("""COMPUTED_VALUE"""),"Unsure")</f>
        <v>Unsure</v>
      </c>
      <c r="AG136" t="str">
        <f>IFERROR(__xludf.DUMMYFUNCTION("""COMPUTED_VALUE"""),"")</f>
        <v/>
      </c>
      <c r="AH136" t="str">
        <f>IFERROR(__xludf.DUMMYFUNCTION("""COMPUTED_VALUE"""),"No preprint policy")</f>
        <v>No preprint policy</v>
      </c>
      <c r="AI136" t="str">
        <f>IFERROR(__xludf.DUMMYFUNCTION("""COMPUTED_VALUE"""),"")</f>
        <v/>
      </c>
      <c r="AJ136" t="str">
        <f>IFERROR(__xludf.DUMMYFUNCTION("""COMPUTED_VALUE"""),"Yes, in the reference list")</f>
        <v>Yes, in the reference list</v>
      </c>
      <c r="AK136" t="str">
        <f>IFERROR(__xludf.DUMMYFUNCTION("""COMPUTED_VALUE"""),"Unsure")</f>
        <v>Unsure</v>
      </c>
      <c r="AL136" t="str">
        <f>IFERROR(__xludf.DUMMYFUNCTION("""COMPUTED_VALUE"""),"")</f>
        <v/>
      </c>
      <c r="AM136" t="str">
        <f>IFERROR(__xludf.DUMMYFUNCTION("""COMPUTED_VALUE"""),"")</f>
        <v/>
      </c>
      <c r="AN136" t="str">
        <f>IFERROR(__xludf.DUMMYFUNCTION("""COMPUTED_VALUE"""),"")</f>
        <v/>
      </c>
      <c r="AO136" t="str">
        <f>IFERROR(__xludf.DUMMYFUNCTION("""COMPUTED_VALUE"""),"")</f>
        <v/>
      </c>
      <c r="AP136" t="str">
        <f>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 // Preprint citation: ""When citations are made to internal reports, other items not available in the published literature, or unpublished work, it is the responsibility of the author to provide sufficient information to enable th"&amp;"e reader to obtain a copy of the cited material. Citations to papers published in peer-reviewed journals are considered primary references. Citations to e-print archives should not be used in place of primary references. Citations to classified reports or"&amp;" other documents with restricted circulation should be avoided. All citations, including those cited in figure and table captions, should be listed in the reference section.""")</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v>
      </c>
      <c r="AQ136">
        <f>IFERROR(__xludf.DUMMYFUNCTION("""COMPUTED_VALUE"""),10.0)</f>
        <v>10</v>
      </c>
      <c r="AR136" t="str">
        <f>IFERROR(__xludf.DUMMYFUNCTION("""COMPUTED_VALUE"""),"")</f>
        <v/>
      </c>
    </row>
    <row r="137">
      <c r="A137" t="str">
        <f>IFERROR(__xludf.DUMMYFUNCTION("""COMPUTED_VALUE"""),"GSM")</f>
        <v>GSM</v>
      </c>
      <c r="B137" s="34">
        <f>IFERROR(__xludf.DUMMYFUNCTION("""COMPUTED_VALUE"""),43114.0)</f>
        <v>43114</v>
      </c>
      <c r="C137" t="str">
        <f>IFERROR(__xludf.DUMMYFUNCTION("""COMPUTED_VALUE"""),"SH")</f>
        <v>SH</v>
      </c>
      <c r="D137" s="36">
        <f>IFERROR(__xludf.DUMMYFUNCTION("""COMPUTED_VALUE"""),43575.0)</f>
        <v>43575</v>
      </c>
      <c r="E137" t="str">
        <f>IFERROR(__xludf.DUMMYFUNCTION("""COMPUTED_VALUE"""),"TRH")</f>
        <v>TRH</v>
      </c>
      <c r="F137" s="36">
        <f>IFERROR(__xludf.DUMMYFUNCTION("""COMPUTED_VALUE"""),43581.0)</f>
        <v>43581</v>
      </c>
      <c r="G137" s="36" t="str">
        <f>IFERROR(__xludf.DUMMYFUNCTION("""COMPUTED_VALUE"""),"")</f>
        <v/>
      </c>
      <c r="H137" t="str">
        <f>IFERROR(__xludf.DUMMYFUNCTION("""COMPUTED_VALUE"""),"0375-9601")</f>
        <v>0375-9601</v>
      </c>
      <c r="I137" t="str">
        <f>IFERROR(__xludf.DUMMYFUNCTION("""COMPUTED_VALUE"""),"Physics Letters B")</f>
        <v>Physics Letters B</v>
      </c>
      <c r="J137" t="str">
        <f>IFERROR(__xludf.DUMMYFUNCTION("""COMPUTED_VALUE"""),"Physics &amp; Mathematics")</f>
        <v>Physics &amp; Mathematics</v>
      </c>
      <c r="K137" t="str">
        <f>IFERROR(__xludf.DUMMYFUNCTION("""COMPUTED_VALUE"""),"Elsevier")</f>
        <v>Elsevier</v>
      </c>
      <c r="L137" t="str">
        <f>IFERROR(__xludf.DUMMYFUNCTION("""COMPUTED_VALUE"""),"Single blind")</f>
        <v>Single blind</v>
      </c>
      <c r="M137" s="78" t="str">
        <f>IFERROR(__xludf.DUMMYFUNCTION("""COMPUTED_VALUE"""),"https://www.elsevier.com/journals/physics-letters-b/0370-2693/guide-for-authors")</f>
        <v>https://www.elsevier.com/journals/physics-letters-b/0370-2693/guide-for-authors</v>
      </c>
      <c r="N137" t="str">
        <f>IFERROR(__xludf.DUMMYFUNCTION("""COMPUTED_VALUE"""),"")</f>
        <v/>
      </c>
      <c r="O137" t="str">
        <f>IFERROR(__xludf.DUMMYFUNCTION("""COMPUTED_VALUE"""),"")</f>
        <v/>
      </c>
      <c r="P137" t="str">
        <f>IFERROR(__xludf.DUMMYFUNCTION("""COMPUTED_VALUE"""),"Unsure")</f>
        <v>Unsure</v>
      </c>
      <c r="Q137" t="str">
        <f>IFERROR(__xludf.DUMMYFUNCTION("""COMPUTED_VALUE"""),"Article transfer service 
 This journal is part of our Article Transfer Service. This means that if the Editor feels your article is more suitable in one of our other participating journals, then you may be asked to consider transferring the article to on"&amp;"e of those. If you agree, your article will be transferred automatically on your behalf with no need to reformat. Please note that your article will be reviewed again by the new journal. More information.")</f>
        <v>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37" s="78" t="str">
        <f>IFERROR(__xludf.DUMMYFUNCTION("""COMPUTED_VALUE"""),"https://www.elsevier.com/journals/physics-letters-b/0370-2693/guide-for-authors")</f>
        <v>https://www.elsevier.com/journals/physics-letters-b/0370-2693/guide-for-authors</v>
      </c>
      <c r="S137" t="str">
        <f>IFERROR(__xludf.DUMMYFUNCTION("""COMPUTED_VALUE"""),"Not specified")</f>
        <v>Not specified</v>
      </c>
      <c r="T137" t="str">
        <f>IFERROR(__xludf.DUMMYFUNCTION("""COMPUTED_VALUE"""),"Not specified")</f>
        <v>Not specified</v>
      </c>
      <c r="U137" t="str">
        <f>IFERROR(__xludf.DUMMYFUNCTION("""COMPUTED_VALUE"""),"Not specified")</f>
        <v>Not specified</v>
      </c>
      <c r="V137" t="str">
        <f>IFERROR(__xludf.DUMMYFUNCTION("""COMPUTED_VALUE"""),"Not specified")</f>
        <v>Not specified</v>
      </c>
      <c r="W137" t="str">
        <f>IFERROR(__xludf.DUMMYFUNCTION("""COMPUTED_VALUE"""),"Not specified")</f>
        <v>Not specified</v>
      </c>
      <c r="X137" t="str">
        <f>IFERROR(__xludf.DUMMYFUNCTION("""COMPUTED_VALUE"""),"Not specified")</f>
        <v>Not specified</v>
      </c>
      <c r="Y137" t="str">
        <f>IFERROR(__xludf.DUMMYFUNCTION("""COMPUTED_VALUE"""),"Not specified")</f>
        <v>Not specified</v>
      </c>
      <c r="Z137" t="str">
        <f>IFERROR(__xludf.DUMMYFUNCTION("""COMPUTED_VALUE"""),"Not specified")</f>
        <v>Not specified</v>
      </c>
      <c r="AA137" t="str">
        <f>IFERROR(__xludf.DUMMYFUNCTION("""COMPUTED_VALUE"""),"")</f>
        <v/>
      </c>
      <c r="AB137" t="str">
        <f>IFERROR(__xludf.DUMMYFUNCTION("""COMPUTED_VALUE"""),"")</f>
        <v/>
      </c>
      <c r="AC137" t="str">
        <f>IFERROR(__xludf.DUMMYFUNCTION("""COMPUTED_VALUE"""),"")</f>
        <v/>
      </c>
      <c r="AD137" t="str">
        <f>IFERROR(__xludf.DUMMYFUNCTION("""COMPUTED_VALUE"""),"Unsure")</f>
        <v>Unsure</v>
      </c>
      <c r="AE137" t="str">
        <f>IFERROR(__xludf.DUMMYFUNCTION("""COMPUTED_VALUE"""),"Unsure")</f>
        <v>Unsure</v>
      </c>
      <c r="AF137" t="str">
        <f>IFERROR(__xludf.DUMMYFUNCTION("""COMPUTED_VALUE"""),"Unsure")</f>
        <v>Unsure</v>
      </c>
      <c r="AG137" s="78" t="str">
        <f>IFERROR(__xludf.DUMMYFUNCTION("""COMPUTED_VALUE"""),"https://www.elsevier.com/journals/physics-letters-b/0370-2693/guide-for-authors")</f>
        <v>https://www.elsevier.com/journals/physics-letters-b/0370-2693/guide-for-authors</v>
      </c>
      <c r="AH137" t="str">
        <f>IFERROR(__xludf.DUMMYFUNCTION("""COMPUTED_VALUE"""),"First submission only (before peer review)")</f>
        <v>First submission only (before peer review)</v>
      </c>
      <c r="AI137" t="str">
        <f>IFERROR(__xludf.DUMMYFUNCTION("""COMPUTED_VALUE"""),"")</f>
        <v/>
      </c>
      <c r="AJ137" t="str">
        <f>IFERROR(__xludf.DUMMYFUNCTION("""COMPUTED_VALUE"""),"Not specified")</f>
        <v>Not specified</v>
      </c>
      <c r="AK137" t="str">
        <f>IFERROR(__xludf.DUMMYFUNCTION("""COMPUTED_VALUE"""),"Yes")</f>
        <v>Yes</v>
      </c>
      <c r="AL137" t="str">
        <f>IFERROR(__xludf.DUMMYFUNCTION("""COMPUTED_VALUE"""),"")</f>
        <v/>
      </c>
      <c r="AM137" t="str">
        <f>IFERROR(__xludf.DUMMYFUNCTION("""COMPUTED_VALUE"""),"")</f>
        <v/>
      </c>
      <c r="AN137" t="str">
        <f>IFERROR(__xludf.DUMMYFUNCTION("""COMPUTED_VALUE"""),"")</f>
        <v/>
      </c>
      <c r="AO137" t="str">
        <f>IFERROR(__xludf.DUMMYFUNCTION("""COMPUTED_VALUE"""),"")</f>
        <v/>
      </c>
      <c r="AP137" t="str">
        <f>IFERROR(__xludf.DUMMYFUNCTION("""COMPUTED_VALUE"""),"")</f>
        <v/>
      </c>
      <c r="AQ137">
        <f>IFERROR(__xludf.DUMMYFUNCTION("""COMPUTED_VALUE"""),5.0)</f>
        <v>5</v>
      </c>
      <c r="AR137" t="str">
        <f>IFERROR(__xludf.DUMMYFUNCTION("""COMPUTED_VALUE"""),"")</f>
        <v/>
      </c>
    </row>
    <row r="138">
      <c r="A138" t="str">
        <f>IFERROR(__xludf.DUMMYFUNCTION("""COMPUTED_VALUE"""),"GSM")</f>
        <v>GSM</v>
      </c>
      <c r="B138" s="34">
        <f>IFERROR(__xludf.DUMMYFUNCTION("""COMPUTED_VALUE"""),43114.0)</f>
        <v>43114</v>
      </c>
      <c r="C138" t="str">
        <f>IFERROR(__xludf.DUMMYFUNCTION("""COMPUTED_VALUE"""),"SH")</f>
        <v>SH</v>
      </c>
      <c r="D138" s="36">
        <f>IFERROR(__xludf.DUMMYFUNCTION("""COMPUTED_VALUE"""),43575.0)</f>
        <v>43575</v>
      </c>
      <c r="E138" t="str">
        <f>IFERROR(__xludf.DUMMYFUNCTION("""COMPUTED_VALUE"""),"TRH")</f>
        <v>TRH</v>
      </c>
      <c r="F138" s="36">
        <f>IFERROR(__xludf.DUMMYFUNCTION("""COMPUTED_VALUE"""),43581.0)</f>
        <v>43581</v>
      </c>
      <c r="G138" s="36" t="str">
        <f>IFERROR(__xludf.DUMMYFUNCTION("""COMPUTED_VALUE"""),"")</f>
        <v/>
      </c>
      <c r="H138" t="str">
        <f>IFERROR(__xludf.DUMMYFUNCTION("""COMPUTED_VALUE"""),"1932-6203")</f>
        <v>1932-6203</v>
      </c>
      <c r="I138" t="str">
        <f>IFERROR(__xludf.DUMMYFUNCTION("""COMPUTED_VALUE"""),"PLoS One")</f>
        <v>PLoS One</v>
      </c>
      <c r="J138" t="str">
        <f>IFERROR(__xludf.DUMMYFUNCTION("""COMPUTED_VALUE"""),"Health &amp; Medical Sciences,
Life Sciences &amp; Earth Sciences")</f>
        <v>Health &amp; Medical Sciences,
Life Sciences &amp; Earth Sciences</v>
      </c>
      <c r="K138" t="str">
        <f>IFERROR(__xludf.DUMMYFUNCTION("""COMPUTED_VALUE"""),"PLoS")</f>
        <v>PLoS</v>
      </c>
      <c r="L138" t="str">
        <f>IFERROR(__xludf.DUMMYFUNCTION("""COMPUTED_VALUE"""),"Single blind")</f>
        <v>Single blind</v>
      </c>
      <c r="M138" s="78" t="str">
        <f>IFERROR(__xludf.DUMMYFUNCTION("""COMPUTED_VALUE"""),"https://journals.plos.org/plosone/s/editorial-and-peer-review-process")</f>
        <v>https://journals.plos.org/plosone/s/editorial-and-peer-review-process</v>
      </c>
      <c r="N138" t="str">
        <f>IFERROR(__xludf.DUMMYFUNCTION("""COMPUTED_VALUE"""),"")</f>
        <v/>
      </c>
      <c r="O138" t="str">
        <f>IFERROR(__xludf.DUMMYFUNCTION("""COMPUTED_VALUE"""),"")</f>
        <v/>
      </c>
      <c r="P138" t="str">
        <f>IFERROR(__xludf.DUMMYFUNCTION("""COMPUTED_VALUE"""),"Unsure")</f>
        <v>Unsure</v>
      </c>
      <c r="Q138" t="str">
        <f>IFERROR(__xludf.DUMMYFUNCTION("""COMPUTED_VALUE"""),"Authors can request that submissions (with referee reports, if relevant) rejected from one PLOS journal be transferred to another PLOS journal for further consideration there. Manuscripts will never be transferred between the journals without an author’s "&amp;"consent.
 We trust that reviewers for any PLOS journal are willing to have their reviews considered by the editors of another PLOS journal.")</f>
        <v>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v>
      </c>
      <c r="R138" s="78" t="str">
        <f>IFERROR(__xludf.DUMMYFUNCTION("""COMPUTED_VALUE"""),"https://journals.plos.org/plosone/s/editorial-and-peer-review-process")</f>
        <v>https://journals.plos.org/plosone/s/editorial-and-peer-review-process</v>
      </c>
      <c r="S138" t="str">
        <f>IFERROR(__xludf.DUMMYFUNCTION("""COMPUTED_VALUE"""),"Not specified")</f>
        <v>Not specified</v>
      </c>
      <c r="T138" t="str">
        <f>IFERROR(__xludf.DUMMYFUNCTION("""COMPUTED_VALUE"""),"Not specified")</f>
        <v>Not specified</v>
      </c>
      <c r="U138" t="str">
        <f>IFERROR(__xludf.DUMMYFUNCTION("""COMPUTED_VALUE"""),"Not specified")</f>
        <v>Not specified</v>
      </c>
      <c r="V138" t="str">
        <f>IFERROR(__xludf.DUMMYFUNCTION("""COMPUTED_VALUE"""),"Not specified")</f>
        <v>Not specified</v>
      </c>
      <c r="W138" t="str">
        <f>IFERROR(__xludf.DUMMYFUNCTION("""COMPUTED_VALUE"""),"Not specified")</f>
        <v>Not specified</v>
      </c>
      <c r="X138" t="str">
        <f>IFERROR(__xludf.DUMMYFUNCTION("""COMPUTED_VALUE"""),"Optional")</f>
        <v>Optional</v>
      </c>
      <c r="Y138" t="str">
        <f>IFERROR(__xludf.DUMMYFUNCTION("""COMPUTED_VALUE"""),"Not specified")</f>
        <v>Not specified</v>
      </c>
      <c r="Z138" t="str">
        <f>IFERROR(__xludf.DUMMYFUNCTION("""COMPUTED_VALUE"""),"Not specified")</f>
        <v>Not specified</v>
      </c>
      <c r="AA138" t="str">
        <f>IFERROR(__xludf.DUMMYFUNCTION("""COMPUTED_VALUE"""),"")</f>
        <v/>
      </c>
      <c r="AB138" t="str">
        <f>IFERROR(__xludf.DUMMYFUNCTION("""COMPUTED_VALUE"""),"Reviewers are required to treat all submitted manuscripts in strict confidence and should not share information about submissions with any other parties unless previously agreed with the editor. The involvement of a third party in the review must be decla"&amp;"red at the time of the submission of the review.")</f>
        <v>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v>
      </c>
      <c r="AC138" s="78" t="str">
        <f>IFERROR(__xludf.DUMMYFUNCTION("""COMPUTED_VALUE"""),"https://journals.plos.org/plosone/s/reviewer-guidelines")</f>
        <v>https://journals.plos.org/plosone/s/reviewer-guidelines</v>
      </c>
      <c r="AD138" t="str">
        <f>IFERROR(__xludf.DUMMYFUNCTION("""COMPUTED_VALUE"""),"Yes")</f>
        <v>Yes</v>
      </c>
      <c r="AE138" t="str">
        <f>IFERROR(__xludf.DUMMYFUNCTION("""COMPUTED_VALUE"""),"Unsure")</f>
        <v>Unsure</v>
      </c>
      <c r="AF138" t="str">
        <f>IFERROR(__xludf.DUMMYFUNCTION("""COMPUTED_VALUE"""),"Unsure")</f>
        <v>Unsure</v>
      </c>
      <c r="AG138" s="78" t="str">
        <f>IFERROR(__xludf.DUMMYFUNCTION("""COMPUTED_VALUE"""),"https://journals.plos.org/plosone/s/preprints")</f>
        <v>https://journals.plos.org/plosone/s/preprints</v>
      </c>
      <c r="AH138" t="str">
        <f>IFERROR(__xludf.DUMMYFUNCTION("""COMPUTED_VALUE"""),"First submission only (before peer review)")</f>
        <v>First submission only (before peer review)</v>
      </c>
      <c r="AI138" t="str">
        <f>IFERROR(__xludf.DUMMYFUNCTION("""COMPUTED_VALUE"""),"E.g. bioRxiv")</f>
        <v>E.g. bioRxiv</v>
      </c>
      <c r="AJ138" t="str">
        <f>IFERROR(__xludf.DUMMYFUNCTION("""COMPUTED_VALUE"""),"Yes, in reference list")</f>
        <v>Yes, in reference list</v>
      </c>
      <c r="AK138" t="str">
        <f>IFERROR(__xludf.DUMMYFUNCTION("""COMPUTED_VALUE"""),"Yes")</f>
        <v>Yes</v>
      </c>
      <c r="AL138" t="str">
        <f>IFERROR(__xludf.DUMMYFUNCTION("""COMPUTED_VALUE"""),"")</f>
        <v/>
      </c>
      <c r="AM138" t="str">
        <f>IFERROR(__xludf.DUMMYFUNCTION("""COMPUTED_VALUE"""),"")</f>
        <v/>
      </c>
      <c r="AN138" t="str">
        <f>IFERROR(__xludf.DUMMYFUNCTION("""COMPUTED_VALUE"""),"")</f>
        <v/>
      </c>
      <c r="AO138" t="str">
        <f>IFERROR(__xludf.DUMMYFUNCTION("""COMPUTED_VALUE"""),"""PLOS encourages editors to consider comments and feedback available on the preprint record to inform their editorial decision, and where relevant, editors may incorporate those comments in their editorial feedback to authors.""")</f>
        <v>"PLOS encourages editors to consider comments and feedback available on the preprint record to inform their editorial decision, and where relevant, editors may incorporate those comments in their editorial feedback to authors."</v>
      </c>
      <c r="AP138" t="str">
        <f>IFERROR(__xludf.DUMMYFUNCTION("""COMPUTED_VALUE"""),"Re. preprint citation: Any and all available works can be cited in the reference list. Acceptable sources include: .. Published or accepted manuscripts ... Manuscripts on preprint servers, providing the manuscript has a citable DOI or arXiv URL.""")</f>
        <v>Re. preprint citation: Any and all available works can be cited in the reference list. Acceptable sources include: .. Published or accepted manuscripts ... Manuscripts on preprint servers, providing the manuscript has a citable DOI or arXiv URL."</v>
      </c>
      <c r="AQ138">
        <f>IFERROR(__xludf.DUMMYFUNCTION("""COMPUTED_VALUE"""),10.0)</f>
        <v>10</v>
      </c>
      <c r="AR138" t="str">
        <f>IFERROR(__xludf.DUMMYFUNCTION("""COMPUTED_VALUE"""),"")</f>
        <v/>
      </c>
    </row>
    <row r="139">
      <c r="A139" t="str">
        <f>IFERROR(__xludf.DUMMYFUNCTION("""COMPUTED_VALUE"""),"GSM")</f>
        <v>GSM</v>
      </c>
      <c r="B139" s="34">
        <f>IFERROR(__xludf.DUMMYFUNCTION("""COMPUTED_VALUE"""),43114.0)</f>
        <v>43114</v>
      </c>
      <c r="C139" t="str">
        <f>IFERROR(__xludf.DUMMYFUNCTION("""COMPUTED_VALUE"""),"NP")</f>
        <v>NP</v>
      </c>
      <c r="D139" s="36">
        <f>IFERROR(__xludf.DUMMYFUNCTION("""COMPUTED_VALUE"""),43575.0)</f>
        <v>43575</v>
      </c>
      <c r="E139" t="str">
        <f>IFERROR(__xludf.DUMMYFUNCTION("""COMPUTED_VALUE"""),"JP")</f>
        <v>JP</v>
      </c>
      <c r="F139" s="36">
        <f>IFERROR(__xludf.DUMMYFUNCTION("""COMPUTED_VALUE"""),43581.0)</f>
        <v>43581</v>
      </c>
      <c r="G139" t="str">
        <f>IFERROR(__xludf.DUMMYFUNCTION("""COMPUTED_VALUE"""),"Added url for additional peer review info; replaced acceptable servers w quote; moved peer review credit url from notes to field")</f>
        <v>Added url for additional peer review info; replaced acceptable servers w quote; moved peer review credit url from notes to field</v>
      </c>
      <c r="H139" t="str">
        <f>IFERROR(__xludf.DUMMYFUNCTION("""COMPUTED_VALUE"""),"1091-6490")</f>
        <v>1091-6490</v>
      </c>
      <c r="I139" t="str">
        <f>IFERROR(__xludf.DUMMYFUNCTION("""COMPUTED_VALUE"""),"Proceedings of the National Academy of Sciences")</f>
        <v>Proceedings of the National Academy of Sciences</v>
      </c>
      <c r="J139" t="str">
        <f>IFERROR(__xludf.DUMMYFUNCTION("""COMPUTED_VALUE"""),"Health &amp; Medical Sciences,
Life Sciences &amp; Earth Sciences")</f>
        <v>Health &amp; Medical Sciences,
Life Sciences &amp; Earth Sciences</v>
      </c>
      <c r="K139" t="str">
        <f>IFERROR(__xludf.DUMMYFUNCTION("""COMPUTED_VALUE"""),"National Academy of Sciences")</f>
        <v>National Academy of Sciences</v>
      </c>
      <c r="L139" t="str">
        <f>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M139" s="78" t="str">
        <f>IFERROR(__xludf.DUMMYFUNCTION("""COMPUTED_VALUE"""),"https://www.pnas.org/page/authors/reviewers")</f>
        <v>https://www.pnas.org/page/authors/reviewers</v>
      </c>
      <c r="N139" t="str">
        <f>IFERROR(__xludf.DUMMYFUNCTION("""COMPUTED_VALUE"""),"")</f>
        <v/>
      </c>
      <c r="O139" s="78" t="str">
        <f>IFERROR(__xludf.DUMMYFUNCTION("""COMPUTED_VALUE"""),"https://www.pnas.org/content/115/52/E12466")</f>
        <v>https://www.pnas.org/content/115/52/E12466</v>
      </c>
      <c r="P139" t="str">
        <f>IFERROR(__xludf.DUMMYFUNCTION("""COMPUTED_VALUE"""),"Unsure")</f>
        <v>Unsure</v>
      </c>
      <c r="Q139" t="str">
        <f>IFERROR(__xludf.DUMMYFUNCTION("""COMPUTED_VALUE"""),"Not specified")</f>
        <v>Not specified</v>
      </c>
      <c r="R139" t="str">
        <f>IFERROR(__xludf.DUMMYFUNCTION("""COMPUTED_VALUE"""),"Not specified")</f>
        <v>Not specified</v>
      </c>
      <c r="S139" t="str">
        <f>IFERROR(__xludf.DUMMYFUNCTION("""COMPUTED_VALUE"""),"Not specified")</f>
        <v>Not specified</v>
      </c>
      <c r="T139" t="str">
        <f>IFERROR(__xludf.DUMMYFUNCTION("""COMPUTED_VALUE"""),"Not specified")</f>
        <v>Not specified</v>
      </c>
      <c r="U139" t="str">
        <f>IFERROR(__xludf.DUMMYFUNCTION("""COMPUTED_VALUE"""),"Not specified")</f>
        <v>Not specified</v>
      </c>
      <c r="V139" t="str">
        <f>IFERROR(__xludf.DUMMYFUNCTION("""COMPUTED_VALUE"""),"Not specified")</f>
        <v>Not specified</v>
      </c>
      <c r="W139" t="str">
        <f>IFERROR(__xludf.DUMMYFUNCTION("""COMPUTED_VALUE"""),"Conditional")</f>
        <v>Conditional</v>
      </c>
      <c r="X139" t="str">
        <f>IFERROR(__xludf.DUMMYFUNCTION("""COMPUTED_VALUE"""),"Conditional")</f>
        <v>Conditional</v>
      </c>
      <c r="Y139" t="str">
        <f>IFERROR(__xludf.DUMMYFUNCTION("""COMPUTED_VALUE"""),"Not specified")</f>
        <v>Not specified</v>
      </c>
      <c r="Z139" t="str">
        <f>IFERROR(__xludf.DUMMYFUNCTION("""COMPUTED_VALUE"""),"Not specified")</f>
        <v>Not specified</v>
      </c>
      <c r="AA139" t="str">
        <f>IFERROR(__xludf.DUMMYFUNCTION("""COMPUTED_VALUE"""),"The review process is conducted anonymously for all submissions, except NAS members’ own contributions where the reviewers are known to the member author and their names are published. - https://www.pnas.org/page/authors/reviewers")</f>
        <v>The review process is conducted anonymously for all submissions, except NAS members’ own contributions where the reviewers are known to the member author and their names are published. - https://www.pnas.org/page/authors/reviewers</v>
      </c>
      <c r="AB139" t="str">
        <f>IFERROR(__xludf.DUMMYFUNCTION("""COMPUTED_VALUE"""),"Material under review is a privileged communication that should not be shared or discussed with anyone outside the designated review process unless necessary and approved by the editor. If you wish to consult a colleague for assistance with the review, pl"&amp;"ease ensure they are free of any conflicts of interest and agree to abide by journal policies.")</f>
        <v>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v>
      </c>
      <c r="AC139" s="78" t="str">
        <f>IFERROR(__xludf.DUMMYFUNCTION("""COMPUTED_VALUE"""),"https://www.pnas.org/page/authors/reviewers")</f>
        <v>https://www.pnas.org/page/authors/reviewers</v>
      </c>
      <c r="AD139" t="str">
        <f>IFERROR(__xludf.DUMMYFUNCTION("""COMPUTED_VALUE"""),"Yes")</f>
        <v>Yes</v>
      </c>
      <c r="AE139" t="str">
        <f>IFERROR(__xludf.DUMMYFUNCTION("""COMPUTED_VALUE"""),"Unsure")</f>
        <v>Unsure</v>
      </c>
      <c r="AF139" t="str">
        <f>IFERROR(__xludf.DUMMYFUNCTION("""COMPUTED_VALUE"""),"Unsure")</f>
        <v>Unsure</v>
      </c>
      <c r="AG139" t="str">
        <f>IFERROR(__xludf.DUMMYFUNCTION("""COMPUTED_VALUE"""),"https://www.pnas.org/page/authors/journal-policies &amp; https://www.pnas.org/content/114/48/12630")</f>
        <v>https://www.pnas.org/page/authors/journal-policies &amp; https://www.pnas.org/content/114/48/12630</v>
      </c>
      <c r="AH139" t="str">
        <f>IFERROR(__xludf.DUMMYFUNCTION("""COMPUTED_VALUE"""),"Unsure (preprints are allowed, but it's not clear what version")</f>
        <v>Unsure (preprints are allowed, but it's not clear what version</v>
      </c>
      <c r="AI139" t="str">
        <f>IFERROR(__xludf.DUMMYFUNCTION("""COMPUTED_VALUE"""),"Posting on Preprint Servers, such as arXiv or bioRxiv, is permitted.")</f>
        <v>Posting on Preprint Servers, such as arXiv or bioRxiv, is permitted.</v>
      </c>
      <c r="AJ139" t="str">
        <f>IFERROR(__xludf.DUMMYFUNCTION("""COMPUTED_VALUE"""),"Not specified")</f>
        <v>Not specified</v>
      </c>
      <c r="AK139" t="str">
        <f>IFERROR(__xludf.DUMMYFUNCTION("""COMPUTED_VALUE"""),"Unsure")</f>
        <v>Unsure</v>
      </c>
      <c r="AL139" t="str">
        <f>IFERROR(__xludf.DUMMYFUNCTION("""COMPUTED_VALUE"""),"we may distribute advance copies of accepted manuscripts under embargo to the news media before online publication in the journal, we ask that authors inform us if a version of their submission has ever appeared on a publicly accessible preprint server. T"&amp;"his helps us to ensure equitable dissemination of information to journalists.")</f>
        <v>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v>
      </c>
      <c r="AM139" t="str">
        <f>IFERROR(__xludf.DUMMYFUNCTION("""COMPUTED_VALUE"""),"[https://www.pnas.org/content/96/8/4215] We have never refused to consider a manuscript based on the license that an author has chosen for its preprint, options for which include Creative Commons (CC) licenses.")</f>
        <v>[https://www.pnas.org/content/96/8/4215] We have never refused to consider a manuscript based on the license that an author has chosen for its preprint, options for which include Creative Commons (CC) licenses.</v>
      </c>
      <c r="AN139" t="str">
        <f>IFERROR(__xludf.DUMMYFUNCTION("""COMPUTED_VALUE"""),"[https://www.pnas.org/content/96/8/4215] Precisely because a preprint is not a publication, it does not guarantee priority. Dissemination of your results in any form before publication carries with it the risk that others will publish them first, or super"&amp;"sede them. Either will definitely prejudice subsequent publication. Free exchange of unpublished work should be followed by timely publication.")</f>
        <v>[https://www.pnas.org/content/96/8/4215]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v>
      </c>
      <c r="AO139" t="str">
        <f>IFERROR(__xludf.DUMMYFUNCTION("""COMPUTED_VALUE"""),"")</f>
        <v/>
      </c>
      <c r="AP139" t="str">
        <f>IFERROR(__xludf.DUMMYFUNCTION("""COMPUTED_VALUE"""),"")</f>
        <v/>
      </c>
      <c r="AQ139" t="str">
        <f>IFERROR(__xludf.DUMMYFUNCTION("""COMPUTED_VALUE"""),"")</f>
        <v/>
      </c>
      <c r="AR139" t="str">
        <f>IFERROR(__xludf.DUMMYFUNCTION("""COMPUTED_VALUE"""),"")</f>
        <v/>
      </c>
    </row>
    <row r="140">
      <c r="A140" t="str">
        <f>IFERROR(__xludf.DUMMYFUNCTION("""COMPUTED_VALUE"""),"GSM")</f>
        <v>GSM</v>
      </c>
      <c r="B140" s="34">
        <f>IFERROR(__xludf.DUMMYFUNCTION("""COMPUTED_VALUE"""),43114.0)</f>
        <v>43114</v>
      </c>
      <c r="C140" t="str">
        <f>IFERROR(__xludf.DUMMYFUNCTION("""COMPUTED_VALUE"""),"NP")</f>
        <v>NP</v>
      </c>
      <c r="D140" s="36">
        <f>IFERROR(__xludf.DUMMYFUNCTION("""COMPUTED_VALUE"""),43575.0)</f>
        <v>43575</v>
      </c>
      <c r="E140" t="str">
        <f>IFERROR(__xludf.DUMMYFUNCTION("""COMPUTED_VALUE"""),"JP")</f>
        <v>JP</v>
      </c>
      <c r="F140" s="36">
        <f>IFERROR(__xludf.DUMMYFUNCTION("""COMPUTED_VALUE"""),43581.0)</f>
        <v>43581</v>
      </c>
      <c r="G140" t="str">
        <f>IFERROR(__xludf.DUMMYFUNCTION("""COMPUTED_VALUE"""),"Revised preprint policies according to comments; one of the links now redirects to a blanket preprint policy for SAGE")</f>
        <v>Revised preprint policies according to comments; one of the links now redirects to a blanket preprint policy for SAGE</v>
      </c>
      <c r="H140" t="str">
        <f>IFERROR(__xludf.DUMMYFUNCTION("""COMPUTED_VALUE"""),"1477-0288")</f>
        <v>1477-0288</v>
      </c>
      <c r="I140" t="str">
        <f>IFERROR(__xludf.DUMMYFUNCTION("""COMPUTED_VALUE"""),"Progress in Human Geography")</f>
        <v>Progress in Human Geography</v>
      </c>
      <c r="J140" t="str">
        <f>IFERROR(__xludf.DUMMYFUNCTION("""COMPUTED_VALUE"""),"Social Sciences")</f>
        <v>Social Sciences</v>
      </c>
      <c r="K140" t="str">
        <f>IFERROR(__xludf.DUMMYFUNCTION("""COMPUTED_VALUE"""),"SAGE")</f>
        <v>SAGE</v>
      </c>
      <c r="L140" t="str">
        <f>IFERROR(__xludf.DUMMYFUNCTION("""COMPUTED_VALUE"""),"Double blind")</f>
        <v>Double blind</v>
      </c>
      <c r="M140" s="78" t="str">
        <f>IFERROR(__xludf.DUMMYFUNCTION("""COMPUTED_VALUE"""),"https://uk.sagepub.com/en-gb/eur/journal/progress-human-geography#EditorialPolicies")</f>
        <v>https://uk.sagepub.com/en-gb/eur/journal/progress-human-geography#EditorialPolicies</v>
      </c>
      <c r="N140" t="str">
        <f>IFERROR(__xludf.DUMMYFUNCTION("""COMPUTED_VALUE"""),"")</f>
        <v/>
      </c>
      <c r="O140" s="78" t="str">
        <f>IFERROR(__xludf.DUMMYFUNCTION("""COMPUTED_VALUE"""),"https://uk.sagepub.com/en-gb/eur/get-credit-for-your-reviews")</f>
        <v>https://uk.sagepub.com/en-gb/eur/get-credit-for-your-reviews</v>
      </c>
      <c r="P140" t="str">
        <f>IFERROR(__xludf.DUMMYFUNCTION("""COMPUTED_VALUE"""),"Yes")</f>
        <v>Yes</v>
      </c>
      <c r="Q140" t="str">
        <f>IFERROR(__xludf.DUMMYFUNCTION("""COMPUTED_VALUE"""),"")</f>
        <v/>
      </c>
      <c r="R140" t="str">
        <f>IFERROR(__xludf.DUMMYFUNCTION("""COMPUTED_VALUE"""),"")</f>
        <v/>
      </c>
      <c r="S140" t="str">
        <f>IFERROR(__xludf.DUMMYFUNCTION("""COMPUTED_VALUE"""),"Not specified")</f>
        <v>Not specified</v>
      </c>
      <c r="T140" t="str">
        <f>IFERROR(__xludf.DUMMYFUNCTION("""COMPUTED_VALUE"""),"Not specified")</f>
        <v>Not specified</v>
      </c>
      <c r="U140" t="str">
        <f>IFERROR(__xludf.DUMMYFUNCTION("""COMPUTED_VALUE"""),"Not specified")</f>
        <v>Not specified</v>
      </c>
      <c r="V140" t="str">
        <f>IFERROR(__xludf.DUMMYFUNCTION("""COMPUTED_VALUE"""),"Not specified")</f>
        <v>Not specified</v>
      </c>
      <c r="W140" t="str">
        <f>IFERROR(__xludf.DUMMYFUNCTION("""COMPUTED_VALUE"""),"Not specified")</f>
        <v>Not specified</v>
      </c>
      <c r="X140" t="str">
        <f>IFERROR(__xludf.DUMMYFUNCTION("""COMPUTED_VALUE"""),"Not specified")</f>
        <v>Not specified</v>
      </c>
      <c r="Y140" t="str">
        <f>IFERROR(__xludf.DUMMYFUNCTION("""COMPUTED_VALUE"""),"Not specified")</f>
        <v>Not specified</v>
      </c>
      <c r="Z140" t="str">
        <f>IFERROR(__xludf.DUMMYFUNCTION("""COMPUTED_VALUE"""),"Not specified")</f>
        <v>Not specified</v>
      </c>
      <c r="AA140" t="str">
        <f>IFERROR(__xludf.DUMMYFUNCTION("""COMPUTED_VALUE"""),"")</f>
        <v/>
      </c>
      <c r="AB140" t="str">
        <f>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v>
      </c>
      <c r="AC140" s="78" t="str">
        <f>IFERROR(__xludf.DUMMYFUNCTION("""COMPUTED_VALUE"""),"https://uk.sagepub.com/en-gb/eur/how-to-review-articles")</f>
        <v>https://uk.sagepub.com/en-gb/eur/how-to-review-articles</v>
      </c>
      <c r="AD140" t="str">
        <f>IFERROR(__xludf.DUMMYFUNCTION("""COMPUTED_VALUE"""),"Yes")</f>
        <v>Yes</v>
      </c>
      <c r="AE140" t="str">
        <f>IFERROR(__xludf.DUMMYFUNCTION("""COMPUTED_VALUE"""),"Unsure")</f>
        <v>Unsure</v>
      </c>
      <c r="AF140" t="str">
        <f>IFERROR(__xludf.DUMMYFUNCTION("""COMPUTED_VALUE"""),"Unsure")</f>
        <v>Unsure</v>
      </c>
      <c r="AG140" t="str">
        <f>IFERROR(__xludf.DUMMYFUNCTION("""COMPUTED_VALUE"""),"https://us.sagepub.com/en-us/nam/preprintsfaq
https://journals.sagepub.com/pb-assets/Journals-Accepting-PrePrints.pdf
")</f>
        <v>https://us.sagepub.com/en-us/nam/preprintsfaq
https://journals.sagepub.com/pb-assets/Journals-Accepting-PrePrints.pdf
</v>
      </c>
      <c r="AH140" t="str">
        <f>IFERROR(__xludf.DUMMYFUNCTION("""COMPUTED_VALUE"""),"Unsure (preprints are allowed, but it's not clear what version)")</f>
        <v>Unsure (preprints are allowed, but it's not clear what version)</v>
      </c>
      <c r="AI140" t="str">
        <f>IFERROR(__xludf.DUMMYFUNCTION("""COMPUTED_VALUE"""),"")</f>
        <v/>
      </c>
      <c r="AJ140" t="str">
        <f>IFERROR(__xludf.DUMMYFUNCTION("""COMPUTED_VALUE"""),"Not specified")</f>
        <v>Not specified</v>
      </c>
      <c r="AK140" t="str">
        <f>IFERROR(__xludf.DUMMYFUNCTION("""COMPUTED_VALUE"""),"Unsure")</f>
        <v>Unsure</v>
      </c>
      <c r="AL140" t="str">
        <f>IFERROR(__xludf.DUMMYFUNCTION("""COMPUTED_VALUE"""),"")</f>
        <v/>
      </c>
      <c r="AM140" t="str">
        <f>IFERROR(__xludf.DUMMYFUNCTION("""COMPUTED_VALUE"""),"")</f>
        <v/>
      </c>
      <c r="AN140" t="str">
        <f>IFERROR(__xludf.DUMMYFUNCTION("""COMPUTED_VALUE"""),"")</f>
        <v/>
      </c>
      <c r="AO140" t="str">
        <f>IFERROR(__xludf.DUMMYFUNCTION("""COMPUTED_VALUE"""),"")</f>
        <v/>
      </c>
      <c r="AP140" t="str">
        <f>IFERROR(__xludf.DUMMYFUNCTION("""COMPUTED_VALUE"""),"")</f>
        <v/>
      </c>
      <c r="AQ140" t="str">
        <f>IFERROR(__xludf.DUMMYFUNCTION("""COMPUTED_VALUE"""),"")</f>
        <v/>
      </c>
      <c r="AR140" t="str">
        <f>IFERROR(__xludf.DUMMYFUNCTION("""COMPUTED_VALUE"""),"")</f>
        <v/>
      </c>
    </row>
    <row r="141">
      <c r="A141" t="str">
        <f>IFERROR(__xludf.DUMMYFUNCTION("""COMPUTED_VALUE"""),"GSM")</f>
        <v>GSM</v>
      </c>
      <c r="B141" s="34">
        <f>IFERROR(__xludf.DUMMYFUNCTION("""COMPUTED_VALUE"""),43114.0)</f>
        <v>43114</v>
      </c>
      <c r="C141" t="str">
        <f>IFERROR(__xludf.DUMMYFUNCTION("""COMPUTED_VALUE"""),"NP")</f>
        <v>NP</v>
      </c>
      <c r="D141" s="36">
        <f>IFERROR(__xludf.DUMMYFUNCTION("""COMPUTED_VALUE"""),43576.0)</f>
        <v>43576</v>
      </c>
      <c r="E141" t="str">
        <f>IFERROR(__xludf.DUMMYFUNCTION("""COMPUTED_VALUE"""),"JP")</f>
        <v>JP</v>
      </c>
      <c r="F141" s="36">
        <f>IFERROR(__xludf.DUMMYFUNCTION("""COMPUTED_VALUE"""),43581.0)</f>
        <v>43581</v>
      </c>
      <c r="G141" t="str">
        <f>IFERROR(__xludf.DUMMYFUNCTION("""COMPUTED_VALUE"""),"")</f>
        <v/>
      </c>
      <c r="H141" t="str">
        <f>IFERROR(__xludf.DUMMYFUNCTION("""COMPUTED_VALUE"""),"1537-5331")</f>
        <v>1537-5331</v>
      </c>
      <c r="I141" t="str">
        <f>IFERROR(__xludf.DUMMYFUNCTION("""COMPUTED_VALUE"""),"Public Opinion Quarterly")</f>
        <v>Public Opinion Quarterly</v>
      </c>
      <c r="J141" t="str">
        <f>IFERROR(__xludf.DUMMYFUNCTION("""COMPUTED_VALUE"""),"Humanities, Literature &amp; Arts")</f>
        <v>Humanities, Literature &amp; Arts</v>
      </c>
      <c r="K141" t="str">
        <f>IFERROR(__xludf.DUMMYFUNCTION("""COMPUTED_VALUE"""),"Oxford University Press")</f>
        <v>Oxford University Press</v>
      </c>
      <c r="L141" t="str">
        <f>IFERROR(__xludf.DUMMYFUNCTION("""COMPUTED_VALUE"""),"Double blind")</f>
        <v>Double blind</v>
      </c>
      <c r="M141" s="78" t="str">
        <f>IFERROR(__xludf.DUMMYFUNCTION("""COMPUTED_VALUE"""),"https://academic.oup.com/poq/pages/general_instructions")</f>
        <v>https://academic.oup.com/poq/pages/general_instructions</v>
      </c>
      <c r="N141" t="str">
        <f>IFERROR(__xludf.DUMMYFUNCTION("""COMPUTED_VALUE"""),"")</f>
        <v/>
      </c>
      <c r="O141" t="str">
        <f>IFERROR(__xludf.DUMMYFUNCTION("""COMPUTED_VALUE"""),"")</f>
        <v/>
      </c>
      <c r="P141" t="str">
        <f>IFERROR(__xludf.DUMMYFUNCTION("""COMPUTED_VALUE"""),"Unsure")</f>
        <v>Unsure</v>
      </c>
      <c r="Q141" t="str">
        <f>IFERROR(__xludf.DUMMYFUNCTION("""COMPUTED_VALUE"""),"")</f>
        <v/>
      </c>
      <c r="R141" t="str">
        <f>IFERROR(__xludf.DUMMYFUNCTION("""COMPUTED_VALUE"""),"")</f>
        <v/>
      </c>
      <c r="S141" t="str">
        <f>IFERROR(__xludf.DUMMYFUNCTION("""COMPUTED_VALUE"""),"Not specified")</f>
        <v>Not specified</v>
      </c>
      <c r="T141" t="str">
        <f>IFERROR(__xludf.DUMMYFUNCTION("""COMPUTED_VALUE"""),"Not specified")</f>
        <v>Not specified</v>
      </c>
      <c r="U141" t="str">
        <f>IFERROR(__xludf.DUMMYFUNCTION("""COMPUTED_VALUE"""),"Not specified")</f>
        <v>Not specified</v>
      </c>
      <c r="V141" t="str">
        <f>IFERROR(__xludf.DUMMYFUNCTION("""COMPUTED_VALUE"""),"Not specified")</f>
        <v>Not specified</v>
      </c>
      <c r="W141" t="str">
        <f>IFERROR(__xludf.DUMMYFUNCTION("""COMPUTED_VALUE"""),"Not specified")</f>
        <v>Not specified</v>
      </c>
      <c r="X141" t="str">
        <f>IFERROR(__xludf.DUMMYFUNCTION("""COMPUTED_VALUE"""),"Not specified")</f>
        <v>Not specified</v>
      </c>
      <c r="Y141" t="str">
        <f>IFERROR(__xludf.DUMMYFUNCTION("""COMPUTED_VALUE"""),"Not specified")</f>
        <v>Not specified</v>
      </c>
      <c r="Z141" t="str">
        <f>IFERROR(__xludf.DUMMYFUNCTION("""COMPUTED_VALUE"""),"Not specified")</f>
        <v>Not specified</v>
      </c>
      <c r="AA141" t="str">
        <f>IFERROR(__xludf.DUMMYFUNCTION("""COMPUTED_VALUE"""),"")</f>
        <v/>
      </c>
      <c r="AB141" t="str">
        <f>IFERROR(__xludf.DUMMYFUNCTION("""COMPUTED_VALUE"""),"")</f>
        <v/>
      </c>
      <c r="AC141" t="str">
        <f>IFERROR(__xludf.DUMMYFUNCTION("""COMPUTED_VALUE"""),"")</f>
        <v/>
      </c>
      <c r="AD141" t="str">
        <f>IFERROR(__xludf.DUMMYFUNCTION("""COMPUTED_VALUE"""),"Unsure")</f>
        <v>Unsure</v>
      </c>
      <c r="AE141" t="str">
        <f>IFERROR(__xludf.DUMMYFUNCTION("""COMPUTED_VALUE"""),"Unsure")</f>
        <v>Unsure</v>
      </c>
      <c r="AF141" t="str">
        <f>IFERROR(__xludf.DUMMYFUNCTION("""COMPUTED_VALUE"""),"Unsure")</f>
        <v>Unsure</v>
      </c>
      <c r="AG141" s="78" t="str">
        <f>IFERROR(__xludf.DUMMYFUNCTION("""COMPUTED_VALUE"""),"https://academic.oup.com/journals/pages/access_purchase/rights_and_permissions/self_archiving_policy_a")</f>
        <v>https://academic.oup.com/journals/pages/access_purchase/rights_and_permissions/self_archiving_policy_a</v>
      </c>
      <c r="AH141" t="str">
        <f>IFERROR(__xludf.DUMMYFUNCTION("""COMPUTED_VALUE"""),"First submission only (before peer review)")</f>
        <v>First submission only (before peer review)</v>
      </c>
      <c r="AI141" t="str">
        <f>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41" t="str">
        <f>IFERROR(__xludf.DUMMYFUNCTION("""COMPUTED_VALUE"""),"Not specified")</f>
        <v>Not specified</v>
      </c>
      <c r="AK141" t="str">
        <f>IFERROR(__xludf.DUMMYFUNCTION("""COMPUTED_VALUE"""),"Unsure")</f>
        <v>Unsure</v>
      </c>
      <c r="AL141" t="str">
        <f>IFERROR(__xludf.DUMMYFUNCTION("""COMPUTED_VALUE"""),"")</f>
        <v/>
      </c>
      <c r="AM141" t="str">
        <f>IFERROR(__xludf.DUMMYFUNCTION("""COMPUTED_VALUE"""),"")</f>
        <v/>
      </c>
      <c r="AN141" t="str">
        <f>IFERROR(__xludf.DUMMYFUNCTION("""COMPUTED_VALUE"""),"")</f>
        <v/>
      </c>
      <c r="AO141" t="str">
        <f>IFERROR(__xludf.DUMMYFUNCTION("""COMPUTED_VALUE"""),"")</f>
        <v/>
      </c>
      <c r="AP141" t="str">
        <f>IFERROR(__xludf.DUMMYFUNCTION("""COMPUTED_VALUE"""),"")</f>
        <v/>
      </c>
      <c r="AQ141" t="str">
        <f>IFERROR(__xludf.DUMMYFUNCTION("""COMPUTED_VALUE"""),"")</f>
        <v/>
      </c>
      <c r="AR141" t="str">
        <f>IFERROR(__xludf.DUMMYFUNCTION("""COMPUTED_VALUE"""),"")</f>
        <v/>
      </c>
    </row>
    <row r="142">
      <c r="A142" t="str">
        <f>IFERROR(__xludf.DUMMYFUNCTION("""COMPUTED_VALUE"""),"SR")</f>
        <v>SR</v>
      </c>
      <c r="B142" s="34">
        <f>IFERROR(__xludf.DUMMYFUNCTION("""COMPUTED_VALUE"""),43444.0)</f>
        <v>43444</v>
      </c>
      <c r="C142" t="str">
        <f>IFERROR(__xludf.DUMMYFUNCTION("""COMPUTED_VALUE"""),"NP")</f>
        <v>NP</v>
      </c>
      <c r="D142" s="36">
        <f>IFERROR(__xludf.DUMMYFUNCTION("""COMPUTED_VALUE"""),43576.0)</f>
        <v>43576</v>
      </c>
      <c r="E142" t="str">
        <f>IFERROR(__xludf.DUMMYFUNCTION("""COMPUTED_VALUE"""),"JP")</f>
        <v>JP</v>
      </c>
      <c r="F142" s="36">
        <f>IFERROR(__xludf.DUMMYFUNCTION("""COMPUTED_VALUE"""),43581.0)</f>
        <v>43581</v>
      </c>
      <c r="G142" t="str">
        <f>IFERROR(__xludf.DUMMYFUNCTION("""COMPUTED_VALUE"""),"")</f>
        <v/>
      </c>
      <c r="H142" t="str">
        <f>IFERROR(__xludf.DUMMYFUNCTION("""COMPUTED_VALUE"""),"1360-0591")</f>
        <v>1360-0591</v>
      </c>
      <c r="I142" t="str">
        <f>IFERROR(__xludf.DUMMYFUNCTION("""COMPUTED_VALUE"""),"Regional Studies")</f>
        <v>Regional Studies</v>
      </c>
      <c r="J142" t="str">
        <f>IFERROR(__xludf.DUMMYFUNCTION("""COMPUTED_VALUE"""),"Social Sciences")</f>
        <v>Social Sciences</v>
      </c>
      <c r="K142" t="str">
        <f>IFERROR(__xludf.DUMMYFUNCTION("""COMPUTED_VALUE"""),"Taylor &amp; Francis")</f>
        <v>Taylor &amp; Francis</v>
      </c>
      <c r="L142" t="str">
        <f>IFERROR(__xludf.DUMMYFUNCTION("""COMPUTED_VALUE"""),"Double blind")</f>
        <v>Double blind</v>
      </c>
      <c r="M142" s="78" t="str">
        <f>IFERROR(__xludf.DUMMYFUNCTION("""COMPUTED_VALUE"""),"https://www.tandfonline.com/action/authorSubmission?show=instructions&amp;journalCode=cres20")</f>
        <v>https://www.tandfonline.com/action/authorSubmission?show=instructions&amp;journalCode=cres20</v>
      </c>
      <c r="N142" t="str">
        <f>IFERROR(__xludf.DUMMYFUNCTION("""COMPUTED_VALUE"""),"")</f>
        <v/>
      </c>
      <c r="O142" t="str">
        <f>IFERROR(__xludf.DUMMYFUNCTION("""COMPUTED_VALUE"""),"")</f>
        <v/>
      </c>
      <c r="P142" t="str">
        <f>IFERROR(__xludf.DUMMYFUNCTION("""COMPUTED_VALUE"""),"Unsure")</f>
        <v>Unsure</v>
      </c>
      <c r="Q142" t="str">
        <f>IFERROR(__xludf.DUMMYFUNCTION("""COMPUTED_VALUE"""),"")</f>
        <v/>
      </c>
      <c r="R142" t="str">
        <f>IFERROR(__xludf.DUMMYFUNCTION("""COMPUTED_VALUE"""),"")</f>
        <v/>
      </c>
      <c r="S142" t="str">
        <f>IFERROR(__xludf.DUMMYFUNCTION("""COMPUTED_VALUE"""),"Not specified")</f>
        <v>Not specified</v>
      </c>
      <c r="T142" t="str">
        <f>IFERROR(__xludf.DUMMYFUNCTION("""COMPUTED_VALUE"""),"Not specified")</f>
        <v>Not specified</v>
      </c>
      <c r="U142" t="str">
        <f>IFERROR(__xludf.DUMMYFUNCTION("""COMPUTED_VALUE"""),"Not specified")</f>
        <v>Not specified</v>
      </c>
      <c r="V142" t="str">
        <f>IFERROR(__xludf.DUMMYFUNCTION("""COMPUTED_VALUE"""),"Not specified")</f>
        <v>Not specified</v>
      </c>
      <c r="W142" t="str">
        <f>IFERROR(__xludf.DUMMYFUNCTION("""COMPUTED_VALUE"""),"Not specified")</f>
        <v>Not specified</v>
      </c>
      <c r="X142" t="str">
        <f>IFERROR(__xludf.DUMMYFUNCTION("""COMPUTED_VALUE"""),"Not specified")</f>
        <v>Not specified</v>
      </c>
      <c r="Y142" t="str">
        <f>IFERROR(__xludf.DUMMYFUNCTION("""COMPUTED_VALUE"""),"Not specified")</f>
        <v>Not specified</v>
      </c>
      <c r="Z142" t="str">
        <f>IFERROR(__xludf.DUMMYFUNCTION("""COMPUTED_VALUE"""),"Not specified")</f>
        <v>Not specified</v>
      </c>
      <c r="AA142" t="str">
        <f>IFERROR(__xludf.DUMMYFUNCTION("""COMPUTED_VALUE"""),"")</f>
        <v/>
      </c>
      <c r="AB142" t="str">
        <f>IFERROR(__xludf.DUMMYFUNCTION("""COMPUTED_VALUE"""),"")</f>
        <v/>
      </c>
      <c r="AC142" t="str">
        <f>IFERROR(__xludf.DUMMYFUNCTION("""COMPUTED_VALUE"""),"")</f>
        <v/>
      </c>
      <c r="AD142" t="str">
        <f>IFERROR(__xludf.DUMMYFUNCTION("""COMPUTED_VALUE"""),"Unsure")</f>
        <v>Unsure</v>
      </c>
      <c r="AE142" t="str">
        <f>IFERROR(__xludf.DUMMYFUNCTION("""COMPUTED_VALUE"""),"Unsure")</f>
        <v>Unsure</v>
      </c>
      <c r="AF142" t="str">
        <f>IFERROR(__xludf.DUMMYFUNCTION("""COMPUTED_VALUE"""),"Unsure")</f>
        <v>Unsure</v>
      </c>
      <c r="AG142" t="str">
        <f>IFERROR(__xludf.DUMMYFUNCTION("""COMPUTED_VALUE"""),"")</f>
        <v/>
      </c>
      <c r="AH142" t="str">
        <f>IFERROR(__xludf.DUMMYFUNCTION("""COMPUTED_VALUE"""),"No preprint policy")</f>
        <v>No preprint policy</v>
      </c>
      <c r="AI142" t="str">
        <f>IFERROR(__xludf.DUMMYFUNCTION("""COMPUTED_VALUE"""),"")</f>
        <v/>
      </c>
      <c r="AJ142" t="str">
        <f>IFERROR(__xludf.DUMMYFUNCTION("""COMPUTED_VALUE"""),"Not specified")</f>
        <v>Not specified</v>
      </c>
      <c r="AK142" t="str">
        <f>IFERROR(__xludf.DUMMYFUNCTION("""COMPUTED_VALUE"""),"Unsure")</f>
        <v>Unsure</v>
      </c>
      <c r="AL142" t="str">
        <f>IFERROR(__xludf.DUMMYFUNCTION("""COMPUTED_VALUE"""),"")</f>
        <v/>
      </c>
      <c r="AM142" t="str">
        <f>IFERROR(__xludf.DUMMYFUNCTION("""COMPUTED_VALUE"""),"")</f>
        <v/>
      </c>
      <c r="AN142" t="str">
        <f>IFERROR(__xludf.DUMMYFUNCTION("""COMPUTED_VALUE"""),"")</f>
        <v/>
      </c>
      <c r="AO142" t="str">
        <f>IFERROR(__xludf.DUMMYFUNCTION("""COMPUTED_VALUE"""),"")</f>
        <v/>
      </c>
      <c r="AP142" t="str">
        <f>IFERROR(__xludf.DUMMYFUNCTION("""COMPUTED_VALUE"""),"")</f>
        <v/>
      </c>
      <c r="AQ142" t="str">
        <f>IFERROR(__xludf.DUMMYFUNCTION("""COMPUTED_VALUE"""),"")</f>
        <v/>
      </c>
      <c r="AR142" t="str">
        <f>IFERROR(__xludf.DUMMYFUNCTION("""COMPUTED_VALUE"""),"")</f>
        <v/>
      </c>
    </row>
    <row r="143">
      <c r="A143" t="str">
        <f>IFERROR(__xludf.DUMMYFUNCTION("""COMPUTED_VALUE"""),"SR")</f>
        <v>SR</v>
      </c>
      <c r="B143" s="34">
        <f>IFERROR(__xludf.DUMMYFUNCTION("""COMPUTED_VALUE"""),43444.0)</f>
        <v>43444</v>
      </c>
      <c r="C143" t="str">
        <f>IFERROR(__xludf.DUMMYFUNCTION("""COMPUTED_VALUE"""),"JP")</f>
        <v>JP</v>
      </c>
      <c r="D143" s="36">
        <f>IFERROR(__xludf.DUMMYFUNCTION("""COMPUTED_VALUE"""),43566.0)</f>
        <v>43566</v>
      </c>
      <c r="E143" t="str">
        <f>IFERROR(__xludf.DUMMYFUNCTION("""COMPUTED_VALUE"""),"TRH")</f>
        <v>TRH</v>
      </c>
      <c r="F143" s="36">
        <f>IFERROR(__xludf.DUMMYFUNCTION("""COMPUTED_VALUE"""),43581.0)</f>
        <v>43581</v>
      </c>
      <c r="G143" s="36" t="str">
        <f>IFERROR(__xludf.DUMMYFUNCTION("""COMPUTED_VALUE"""),"")</f>
        <v/>
      </c>
      <c r="H143" t="str">
        <f>IFERROR(__xludf.DUMMYFUNCTION("""COMPUTED_VALUE"""),"1364-0321")</f>
        <v>1364-0321</v>
      </c>
      <c r="I143" t="str">
        <f>IFERROR(__xludf.DUMMYFUNCTION("""COMPUTED_VALUE"""),"Renewable and Sustainable Energy Reviews")</f>
        <v>Renewable and Sustainable Energy Reviews</v>
      </c>
      <c r="J143" t="str">
        <f>IFERROR(__xludf.DUMMYFUNCTION("""COMPUTED_VALUE"""),"Engineering &amp; Computer Science")</f>
        <v>Engineering &amp; Computer Science</v>
      </c>
      <c r="K143" t="str">
        <f>IFERROR(__xludf.DUMMYFUNCTION("""COMPUTED_VALUE"""),"Elsevier")</f>
        <v>Elsevier</v>
      </c>
      <c r="L143" t="str">
        <f>IFERROR(__xludf.DUMMYFUNCTION("""COMPUTED_VALUE"""),"Single blind")</f>
        <v>Single blind</v>
      </c>
      <c r="M143" s="78" t="str">
        <f>IFERROR(__xludf.DUMMYFUNCTION("""COMPUTED_VALUE"""),"https://www.elsevier.com/journals/renewable-and-sustainable-energy-reviews/1364-0321/guide-for-authors")</f>
        <v>https://www.elsevier.com/journals/renewable-and-sustainable-energy-reviews/1364-0321/guide-for-authors</v>
      </c>
      <c r="N143" t="str">
        <f>IFERROR(__xludf.DUMMYFUNCTION("""COMPUTED_VALUE"""),"")</f>
        <v/>
      </c>
      <c r="O143" s="78" t="str">
        <f>IFERROR(__xludf.DUMMYFUNCTION("""COMPUTED_VALUE"""),"https://www.elsevier.com/reviewers/role#RRP")</f>
        <v>https://www.elsevier.com/reviewers/role#RRP</v>
      </c>
      <c r="P143" t="str">
        <f>IFERROR(__xludf.DUMMYFUNCTION("""COMPUTED_VALUE"""),"Unsure")</f>
        <v>Unsure</v>
      </c>
      <c r="Q143"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3" s="78" t="str">
        <f>IFERROR(__xludf.DUMMYFUNCTION("""COMPUTED_VALUE"""),"https://www.elsevier.com/reviewers/what-is-peer-review")</f>
        <v>https://www.elsevier.com/reviewers/what-is-peer-review</v>
      </c>
      <c r="S143" t="str">
        <f>IFERROR(__xludf.DUMMYFUNCTION("""COMPUTED_VALUE"""),"Not specified")</f>
        <v>Not specified</v>
      </c>
      <c r="T143" t="str">
        <f>IFERROR(__xludf.DUMMYFUNCTION("""COMPUTED_VALUE"""),"Not specified")</f>
        <v>Not specified</v>
      </c>
      <c r="U143" t="str">
        <f>IFERROR(__xludf.DUMMYFUNCTION("""COMPUTED_VALUE"""),"Not specified")</f>
        <v>Not specified</v>
      </c>
      <c r="V143" t="str">
        <f>IFERROR(__xludf.DUMMYFUNCTION("""COMPUTED_VALUE"""),"Not specified")</f>
        <v>Not specified</v>
      </c>
      <c r="W143" t="str">
        <f>IFERROR(__xludf.DUMMYFUNCTION("""COMPUTED_VALUE"""),"Not specified")</f>
        <v>Not specified</v>
      </c>
      <c r="X143" t="str">
        <f>IFERROR(__xludf.DUMMYFUNCTION("""COMPUTED_VALUE"""),"Not specified")</f>
        <v>Not specified</v>
      </c>
      <c r="Y143" t="str">
        <f>IFERROR(__xludf.DUMMYFUNCTION("""COMPUTED_VALUE"""),"Not specified")</f>
        <v>Not specified</v>
      </c>
      <c r="Z143" t="str">
        <f>IFERROR(__xludf.DUMMYFUNCTION("""COMPUTED_VALUE"""),"Not specified")</f>
        <v>Not specified</v>
      </c>
      <c r="AA143" t="str">
        <f>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3"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3" s="78" t="str">
        <f>IFERROR(__xludf.DUMMYFUNCTION("""COMPUTED_VALUE"""),"https://www.elsevier.com/reviewers/how-to-review")</f>
        <v>https://www.elsevier.com/reviewers/how-to-review</v>
      </c>
      <c r="AD143" t="str">
        <f>IFERROR(__xludf.DUMMYFUNCTION("""COMPUTED_VALUE"""),"Unsure")</f>
        <v>Unsure</v>
      </c>
      <c r="AE143" t="str">
        <f>IFERROR(__xludf.DUMMYFUNCTION("""COMPUTED_VALUE"""),"Unsure")</f>
        <v>Unsure</v>
      </c>
      <c r="AF143" t="str">
        <f>IFERROR(__xludf.DUMMYFUNCTION("""COMPUTED_VALUE"""),"Unsure")</f>
        <v>Unsure</v>
      </c>
      <c r="AG143" t="str">
        <f>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3" t="str">
        <f>IFERROR(__xludf.DUMMYFUNCTION("""COMPUTED_VALUE"""),"Unsure (preprints are allowed, but it's not clear what version)")</f>
        <v>Unsure (preprints are allowed, but it's not clear what version)</v>
      </c>
      <c r="AI143" t="str">
        <f>IFERROR(__xludf.DUMMYFUNCTION("""COMPUTED_VALUE"""),"")</f>
        <v/>
      </c>
      <c r="AJ143" t="str">
        <f>IFERROR(__xludf.DUMMYFUNCTION("""COMPUTED_VALUE"""),"Not specified")</f>
        <v>Not specified</v>
      </c>
      <c r="AK143" t="str">
        <f>IFERROR(__xludf.DUMMYFUNCTION("""COMPUTED_VALUE"""),"Unsure")</f>
        <v>Unsure</v>
      </c>
      <c r="AL143" t="str">
        <f>IFERROR(__xludf.DUMMYFUNCTION("""COMPUTED_VALUE"""),"")</f>
        <v/>
      </c>
      <c r="AM143" t="str">
        <f>IFERROR(__xludf.DUMMYFUNCTION("""COMPUTED_VALUE"""),"")</f>
        <v/>
      </c>
      <c r="AN143" t="str">
        <f>IFERROR(__xludf.DUMMYFUNCTION("""COMPUTED_VALUE"""),"")</f>
        <v/>
      </c>
      <c r="AO143" t="str">
        <f>IFERROR(__xludf.DUMMYFUNCTION("""COMPUTED_VALUE"""),"")</f>
        <v/>
      </c>
      <c r="AP143" t="str">
        <f>IFERROR(__xludf.DUMMYFUNCTION("""COMPUTED_VALUE"""),"The journal Renewable &amp; Sustainable Energy Reviews is published by Elsevier, so presumably many of Elsevier's general policies apply. However, no journal specific materials are offered on their website.")</f>
        <v>The journal Renewable &amp; Sustainable Energy Reviews is published by Elsevier, so presumably many of Elsevier's general policies apply. However, no journal specific materials are offered on their website.</v>
      </c>
      <c r="AQ143" t="str">
        <f>IFERROR(__xludf.DUMMYFUNCTION("""COMPUTED_VALUE"""),"20 mins")</f>
        <v>20 mins</v>
      </c>
      <c r="AR143" t="str">
        <f>IFERROR(__xludf.DUMMYFUNCTION("""COMPUTED_VALUE"""),"")</f>
        <v/>
      </c>
    </row>
    <row r="144">
      <c r="A144" t="str">
        <f>IFERROR(__xludf.DUMMYFUNCTION("""COMPUTED_VALUE"""),"SR")</f>
        <v>SR</v>
      </c>
      <c r="B144" s="34">
        <f>IFERROR(__xludf.DUMMYFUNCTION("""COMPUTED_VALUE"""),43444.0)</f>
        <v>43444</v>
      </c>
      <c r="C144" t="str">
        <f>IFERROR(__xludf.DUMMYFUNCTION("""COMPUTED_VALUE"""),"JP")</f>
        <v>JP</v>
      </c>
      <c r="D144" s="36">
        <f>IFERROR(__xludf.DUMMYFUNCTION("""COMPUTED_VALUE"""),43566.0)</f>
        <v>43566</v>
      </c>
      <c r="E144" t="str">
        <f>IFERROR(__xludf.DUMMYFUNCTION("""COMPUTED_VALUE"""),"TRH")</f>
        <v>TRH</v>
      </c>
      <c r="F144" s="36">
        <f>IFERROR(__xludf.DUMMYFUNCTION("""COMPUTED_VALUE"""),43581.0)</f>
        <v>43581</v>
      </c>
      <c r="G144" s="36" t="str">
        <f>IFERROR(__xludf.DUMMYFUNCTION("""COMPUTED_VALUE"""),"")</f>
        <v/>
      </c>
      <c r="H144" t="str">
        <f>IFERROR(__xludf.DUMMYFUNCTION("""COMPUTED_VALUE"""),"0048-7333")</f>
        <v>0048-7333</v>
      </c>
      <c r="I144" t="str">
        <f>IFERROR(__xludf.DUMMYFUNCTION("""COMPUTED_VALUE"""),"Research Policy")</f>
        <v>Research Policy</v>
      </c>
      <c r="J144" t="str">
        <f>IFERROR(__xludf.DUMMYFUNCTION("""COMPUTED_VALUE"""),"Social Sciences")</f>
        <v>Social Sciences</v>
      </c>
      <c r="K144" t="str">
        <f>IFERROR(__xludf.DUMMYFUNCTION("""COMPUTED_VALUE"""),"Elsevier")</f>
        <v>Elsevier</v>
      </c>
      <c r="L144" t="str">
        <f>IFERROR(__xludf.DUMMYFUNCTION("""COMPUTED_VALUE"""),"Double blind")</f>
        <v>Double blind</v>
      </c>
      <c r="M144" s="78" t="str">
        <f>IFERROR(__xludf.DUMMYFUNCTION("""COMPUTED_VALUE"""),"https://www.elsevier.com/journals/research-policy/0048-7333/guide-for-authors")</f>
        <v>https://www.elsevier.com/journals/research-policy/0048-7333/guide-for-authors</v>
      </c>
      <c r="N144" t="str">
        <f>IFERROR(__xludf.DUMMYFUNCTION("""COMPUTED_VALUE"""),"")</f>
        <v/>
      </c>
      <c r="O144" s="78" t="str">
        <f>IFERROR(__xludf.DUMMYFUNCTION("""COMPUTED_VALUE"""),"https://www.elsevier.com/reviewers/role#RRP")</f>
        <v>https://www.elsevier.com/reviewers/role#RRP</v>
      </c>
      <c r="P144" t="str">
        <f>IFERROR(__xludf.DUMMYFUNCTION("""COMPUTED_VALUE"""),"Unsure")</f>
        <v>Unsure</v>
      </c>
      <c r="Q144"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4" s="78" t="str">
        <f>IFERROR(__xludf.DUMMYFUNCTION("""COMPUTED_VALUE"""),"https://www.elsevier.com/reviewers/what-is-peer-review")</f>
        <v>https://www.elsevier.com/reviewers/what-is-peer-review</v>
      </c>
      <c r="S144" t="str">
        <f>IFERROR(__xludf.DUMMYFUNCTION("""COMPUTED_VALUE"""),"Not specified")</f>
        <v>Not specified</v>
      </c>
      <c r="T144" t="str">
        <f>IFERROR(__xludf.DUMMYFUNCTION("""COMPUTED_VALUE"""),"Not specified")</f>
        <v>Not specified</v>
      </c>
      <c r="U144" t="str">
        <f>IFERROR(__xludf.DUMMYFUNCTION("""COMPUTED_VALUE"""),"Not specified")</f>
        <v>Not specified</v>
      </c>
      <c r="V144" t="str">
        <f>IFERROR(__xludf.DUMMYFUNCTION("""COMPUTED_VALUE"""),"Not specified")</f>
        <v>Not specified</v>
      </c>
      <c r="W144" t="str">
        <f>IFERROR(__xludf.DUMMYFUNCTION("""COMPUTED_VALUE"""),"Not specified")</f>
        <v>Not specified</v>
      </c>
      <c r="X144" t="str">
        <f>IFERROR(__xludf.DUMMYFUNCTION("""COMPUTED_VALUE"""),"Not specified")</f>
        <v>Not specified</v>
      </c>
      <c r="Y144" t="str">
        <f>IFERROR(__xludf.DUMMYFUNCTION("""COMPUTED_VALUE"""),"Not specified")</f>
        <v>Not specified</v>
      </c>
      <c r="Z144" t="str">
        <f>IFERROR(__xludf.DUMMYFUNCTION("""COMPUTED_VALUE"""),"Not specified")</f>
        <v>Not specified</v>
      </c>
      <c r="AA144" t="str">
        <f>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4"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4" s="78" t="str">
        <f>IFERROR(__xludf.DUMMYFUNCTION("""COMPUTED_VALUE"""),"https://www.elsevier.com/reviewers/how-to-review")</f>
        <v>https://www.elsevier.com/reviewers/how-to-review</v>
      </c>
      <c r="AD144" t="str">
        <f>IFERROR(__xludf.DUMMYFUNCTION("""COMPUTED_VALUE"""),"Unsure")</f>
        <v>Unsure</v>
      </c>
      <c r="AE144" t="str">
        <f>IFERROR(__xludf.DUMMYFUNCTION("""COMPUTED_VALUE"""),"Unsure")</f>
        <v>Unsure</v>
      </c>
      <c r="AF144" t="str">
        <f>IFERROR(__xludf.DUMMYFUNCTION("""COMPUTED_VALUE"""),"Unsure")</f>
        <v>Unsure</v>
      </c>
      <c r="AG144" t="str">
        <f>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4" t="str">
        <f>IFERROR(__xludf.DUMMYFUNCTION("""COMPUTED_VALUE"""),"First submission only (before peer review)")</f>
        <v>First submission only (before peer review)</v>
      </c>
      <c r="AI144" t="str">
        <f>IFERROR(__xludf.DUMMYFUNCTION("""COMPUTED_VALUE"""),"")</f>
        <v/>
      </c>
      <c r="AJ144" t="str">
        <f>IFERROR(__xludf.DUMMYFUNCTION("""COMPUTED_VALUE"""),"Not specified")</f>
        <v>Not specified</v>
      </c>
      <c r="AK144" t="str">
        <f>IFERROR(__xludf.DUMMYFUNCTION("""COMPUTED_VALUE"""),"Unsure")</f>
        <v>Unsure</v>
      </c>
      <c r="AL144" t="str">
        <f>IFERROR(__xludf.DUMMYFUNCTION("""COMPUTED_VALUE"""),"")</f>
        <v/>
      </c>
      <c r="AM144" t="str">
        <f>IFERROR(__xludf.DUMMYFUNCTION("""COMPUTED_VALUE"""),"")</f>
        <v/>
      </c>
      <c r="AN144" t="str">
        <f>IFERROR(__xludf.DUMMYFUNCTION("""COMPUTED_VALUE"""),"")</f>
        <v/>
      </c>
      <c r="AO144" t="str">
        <f>IFERROR(__xludf.DUMMYFUNCTION("""COMPUTED_VALUE"""),"")</f>
        <v/>
      </c>
      <c r="AP144" t="str">
        <f>IFERROR(__xludf.DUMMYFUNCTION("""COMPUTED_VALUE"""),"Research Policy is published by Elsevier, so many of their general policies apply. In general, it can be difficult with Elsevier journals to locate the journal specific policies.")</f>
        <v>Research Policy is published by Elsevier, so many of their general policies apply. In general, it can be difficult with Elsevier journals to locate the journal specific policies.</v>
      </c>
      <c r="AQ144" t="str">
        <f>IFERROR(__xludf.DUMMYFUNCTION("""COMPUTED_VALUE"""),"10 mins")</f>
        <v>10 mins</v>
      </c>
      <c r="AR144" t="str">
        <f>IFERROR(__xludf.DUMMYFUNCTION("""COMPUTED_VALUE"""),"")</f>
        <v/>
      </c>
    </row>
    <row r="145">
      <c r="A145" t="str">
        <f>IFERROR(__xludf.DUMMYFUNCTION("""COMPUTED_VALUE"""),"SR")</f>
        <v>SR</v>
      </c>
      <c r="B145" s="34">
        <f>IFERROR(__xludf.DUMMYFUNCTION("""COMPUTED_VALUE"""),43444.0)</f>
        <v>43444</v>
      </c>
      <c r="C145" t="str">
        <f>IFERROR(__xludf.DUMMYFUNCTION("""COMPUTED_VALUE"""),"JP")</f>
        <v>JP</v>
      </c>
      <c r="D145" s="36">
        <f>IFERROR(__xludf.DUMMYFUNCTION("""COMPUTED_VALUE"""),43566.0)</f>
        <v>43566</v>
      </c>
      <c r="E145" t="str">
        <f>IFERROR(__xludf.DUMMYFUNCTION("""COMPUTED_VALUE"""),"TRH")</f>
        <v>TRH</v>
      </c>
      <c r="F145" s="36">
        <f>IFERROR(__xludf.DUMMYFUNCTION("""COMPUTED_VALUE"""),43581.0)</f>
        <v>43581</v>
      </c>
      <c r="G145" s="36" t="str">
        <f>IFERROR(__xludf.DUMMYFUNCTION("""COMPUTED_VALUE"""),"")</f>
        <v/>
      </c>
      <c r="H145" t="str">
        <f>IFERROR(__xludf.DUMMYFUNCTION("""COMPUTED_VALUE"""),"0034-6535")</f>
        <v>0034-6535</v>
      </c>
      <c r="I145" t="str">
        <f>IFERROR(__xludf.DUMMYFUNCTION("""COMPUTED_VALUE"""),"Review of Economics and Statistics")</f>
        <v>Review of Economics and Statistics</v>
      </c>
      <c r="J145" t="str">
        <f>IFERROR(__xludf.DUMMYFUNCTION("""COMPUTED_VALUE"""),"Business, Economics &amp; Management")</f>
        <v>Business, Economics &amp; Management</v>
      </c>
      <c r="K145" t="str">
        <f>IFERROR(__xludf.DUMMYFUNCTION("""COMPUTED_VALUE"""),"The MIT Press")</f>
        <v>The MIT Press</v>
      </c>
      <c r="L145" t="str">
        <f>IFERROR(__xludf.DUMMYFUNCTION("""COMPUTED_VALUE"""),"Unsure")</f>
        <v>Unsure</v>
      </c>
      <c r="M145" t="str">
        <f>IFERROR(__xludf.DUMMYFUNCTION("""COMPUTED_VALUE"""),"")</f>
        <v/>
      </c>
      <c r="N145" t="str">
        <f>IFERROR(__xludf.DUMMYFUNCTION("""COMPUTED_VALUE"""),"")</f>
        <v/>
      </c>
      <c r="O145" t="str">
        <f>IFERROR(__xludf.DUMMYFUNCTION("""COMPUTED_VALUE"""),"")</f>
        <v/>
      </c>
      <c r="P145" t="str">
        <f>IFERROR(__xludf.DUMMYFUNCTION("""COMPUTED_VALUE"""),"Unsure")</f>
        <v>Unsure</v>
      </c>
      <c r="Q145" t="str">
        <f>IFERROR(__xludf.DUMMYFUNCTION("""COMPUTED_VALUE"""),"")</f>
        <v/>
      </c>
      <c r="R145" t="str">
        <f>IFERROR(__xludf.DUMMYFUNCTION("""COMPUTED_VALUE"""),"")</f>
        <v/>
      </c>
      <c r="S145" t="str">
        <f>IFERROR(__xludf.DUMMYFUNCTION("""COMPUTED_VALUE"""),"Not specified")</f>
        <v>Not specified</v>
      </c>
      <c r="T145" t="str">
        <f>IFERROR(__xludf.DUMMYFUNCTION("""COMPUTED_VALUE"""),"Not specified")</f>
        <v>Not specified</v>
      </c>
      <c r="U145" t="str">
        <f>IFERROR(__xludf.DUMMYFUNCTION("""COMPUTED_VALUE"""),"Not specified")</f>
        <v>Not specified</v>
      </c>
      <c r="V145" t="str">
        <f>IFERROR(__xludf.DUMMYFUNCTION("""COMPUTED_VALUE"""),"Not specified")</f>
        <v>Not specified</v>
      </c>
      <c r="W145" t="str">
        <f>IFERROR(__xludf.DUMMYFUNCTION("""COMPUTED_VALUE"""),"Not specified")</f>
        <v>Not specified</v>
      </c>
      <c r="X145" t="str">
        <f>IFERROR(__xludf.DUMMYFUNCTION("""COMPUTED_VALUE"""),"Not specified")</f>
        <v>Not specified</v>
      </c>
      <c r="Y145" t="str">
        <f>IFERROR(__xludf.DUMMYFUNCTION("""COMPUTED_VALUE"""),"Not specified")</f>
        <v>Not specified</v>
      </c>
      <c r="Z145" t="str">
        <f>IFERROR(__xludf.DUMMYFUNCTION("""COMPUTED_VALUE"""),"Not specified")</f>
        <v>Not specified</v>
      </c>
      <c r="AA145" t="str">
        <f>IFERROR(__xludf.DUMMYFUNCTION("""COMPUTED_VALUE"""),"")</f>
        <v/>
      </c>
      <c r="AB145" t="str">
        <f>IFERROR(__xludf.DUMMYFUNCTION("""COMPUTED_VALUE"""),"Not specified")</f>
        <v>Not specified</v>
      </c>
      <c r="AC145" t="str">
        <f>IFERROR(__xludf.DUMMYFUNCTION("""COMPUTED_VALUE"""),"")</f>
        <v/>
      </c>
      <c r="AD145" t="str">
        <f>IFERROR(__xludf.DUMMYFUNCTION("""COMPUTED_VALUE"""),"Unsure")</f>
        <v>Unsure</v>
      </c>
      <c r="AE145" t="str">
        <f>IFERROR(__xludf.DUMMYFUNCTION("""COMPUTED_VALUE"""),"Unsure")</f>
        <v>Unsure</v>
      </c>
      <c r="AF145" t="str">
        <f>IFERROR(__xludf.DUMMYFUNCTION("""COMPUTED_VALUE"""),"Unsure")</f>
        <v>Unsure</v>
      </c>
      <c r="AG145" s="78" t="str">
        <f>IFERROR(__xludf.DUMMYFUNCTION("""COMPUTED_VALUE"""),"https://www.mitpressjournals.org/for_authors#authorposting")</f>
        <v>https://www.mitpressjournals.org/for_authors#authorposting</v>
      </c>
      <c r="AH145" t="str">
        <f>IFERROR(__xludf.DUMMYFUNCTION("""COMPUTED_VALUE"""),"After peer review (but not final, copyedited version)")</f>
        <v>After peer review (but not final, copyedited version)</v>
      </c>
      <c r="AI145" t="str">
        <f>IFERROR(__xludf.DUMMYFUNCTION("""COMPUTED_VALUE"""),"")</f>
        <v/>
      </c>
      <c r="AJ145" t="str">
        <f>IFERROR(__xludf.DUMMYFUNCTION("""COMPUTED_VALUE"""),"Not specified")</f>
        <v>Not specified</v>
      </c>
      <c r="AK145" t="str">
        <f>IFERROR(__xludf.DUMMYFUNCTION("""COMPUTED_VALUE"""),"Unsure")</f>
        <v>Unsure</v>
      </c>
      <c r="AL145" t="str">
        <f>IFERROR(__xludf.DUMMYFUNCTION("""COMPUTED_VALUE"""),"")</f>
        <v/>
      </c>
      <c r="AM145" t="str">
        <f>IFERROR(__xludf.DUMMYFUNCTION("""COMPUTED_VALUE"""),"")</f>
        <v/>
      </c>
      <c r="AN145" t="str">
        <f>IFERROR(__xludf.DUMMYFUNCTION("""COMPUTED_VALUE"""),"")</f>
        <v/>
      </c>
      <c r="AO145" t="str">
        <f>IFERROR(__xludf.DUMMYFUNCTION("""COMPUTED_VALUE"""),"")</f>
        <v/>
      </c>
      <c r="AP145" t="str">
        <f>IFERROR(__xludf.DUMMYFUNCTION("""COMPUTED_VALUE"""),"The MIT Press does not offer very transparent information concerning its review process. No information can be found on the journal website regarding its review process (whether blinded or not, e.g.).")</f>
        <v>The MIT Press does not offer very transparent information concerning its review process. No information can be found on the journal website regarding its review process (whether blinded or not, e.g.).</v>
      </c>
      <c r="AQ145" t="str">
        <f>IFERROR(__xludf.DUMMYFUNCTION("""COMPUTED_VALUE"""),"20 mins")</f>
        <v>20 mins</v>
      </c>
      <c r="AR145" t="str">
        <f>IFERROR(__xludf.DUMMYFUNCTION("""COMPUTED_VALUE"""),"")</f>
        <v/>
      </c>
    </row>
    <row r="146">
      <c r="A146" t="str">
        <f>IFERROR(__xludf.DUMMYFUNCTION("""COMPUTED_VALUE"""),"SR")</f>
        <v>SR</v>
      </c>
      <c r="B146" s="34">
        <f>IFERROR(__xludf.DUMMYFUNCTION("""COMPUTED_VALUE"""),43440.0)</f>
        <v>43440</v>
      </c>
      <c r="C146" t="str">
        <f>IFERROR(__xludf.DUMMYFUNCTION("""COMPUTED_VALUE"""),"JP")</f>
        <v>JP</v>
      </c>
      <c r="D146" s="36">
        <f>IFERROR(__xludf.DUMMYFUNCTION("""COMPUTED_VALUE"""),43566.0)</f>
        <v>43566</v>
      </c>
      <c r="E146" t="str">
        <f>IFERROR(__xludf.DUMMYFUNCTION("""COMPUTED_VALUE"""),"TRH")</f>
        <v>TRH</v>
      </c>
      <c r="F146" s="36">
        <f>IFERROR(__xludf.DUMMYFUNCTION("""COMPUTED_VALUE"""),43581.0)</f>
        <v>43581</v>
      </c>
      <c r="G146" s="36" t="str">
        <f>IFERROR(__xludf.DUMMYFUNCTION("""COMPUTED_VALUE"""),"")</f>
        <v/>
      </c>
      <c r="H146" t="str">
        <f>IFERROR(__xludf.DUMMYFUNCTION("""COMPUTED_VALUE"""),"1539-0756")</f>
        <v>1539-0756</v>
      </c>
      <c r="I146" t="str">
        <f>IFERROR(__xludf.DUMMYFUNCTION("""COMPUTED_VALUE"""),"Reviews of Modern Physics")</f>
        <v>Reviews of Modern Physics</v>
      </c>
      <c r="J146" t="str">
        <f>IFERROR(__xludf.DUMMYFUNCTION("""COMPUTED_VALUE"""),"Physics &amp; Mathematics")</f>
        <v>Physics &amp; Mathematics</v>
      </c>
      <c r="K146" t="str">
        <f>IFERROR(__xludf.DUMMYFUNCTION("""COMPUTED_VALUE"""),"American Physical Society")</f>
        <v>American Physical Society</v>
      </c>
      <c r="L146" t="str">
        <f>IFERROR(__xludf.DUMMYFUNCTION("""COMPUTED_VALUE"""),"Single blind")</f>
        <v>Single blind</v>
      </c>
      <c r="M146" t="str">
        <f>IFERROR(__xludf.DUMMYFUNCTION("""COMPUTED_VALUE"""),"https://journals.aps.org/rmp/authors#review, https://journals.aps.org/peer-review-materials-policy")</f>
        <v>https://journals.aps.org/rmp/authors#review, https://journals.aps.org/peer-review-materials-policy</v>
      </c>
      <c r="N146" t="str">
        <f>IFERROR(__xludf.DUMMYFUNCTION("""COMPUTED_VALUE"""),"")</f>
        <v/>
      </c>
      <c r="O146" t="str">
        <f>IFERROR(__xludf.DUMMYFUNCTION("""COMPUTED_VALUE"""),"")</f>
        <v/>
      </c>
      <c r="P146" t="str">
        <f>IFERROR(__xludf.DUMMYFUNCTION("""COMPUTED_VALUE"""),"No")</f>
        <v>No</v>
      </c>
      <c r="Q146" t="str">
        <f>IFERROR(__xludf.DUMMYFUNCTION("""COMPUTED_VALUE"""),"")</f>
        <v/>
      </c>
      <c r="R146" t="str">
        <f>IFERROR(__xludf.DUMMYFUNCTION("""COMPUTED_VALUE"""),"")</f>
        <v/>
      </c>
      <c r="S146" t="str">
        <f>IFERROR(__xludf.DUMMYFUNCTION("""COMPUTED_VALUE"""),"No")</f>
        <v>No</v>
      </c>
      <c r="T146" t="str">
        <f>IFERROR(__xludf.DUMMYFUNCTION("""COMPUTED_VALUE"""),"No")</f>
        <v>No</v>
      </c>
      <c r="U146" t="str">
        <f>IFERROR(__xludf.DUMMYFUNCTION("""COMPUTED_VALUE"""),"No")</f>
        <v>No</v>
      </c>
      <c r="V146" t="str">
        <f>IFERROR(__xludf.DUMMYFUNCTION("""COMPUTED_VALUE"""),"Not specified")</f>
        <v>Not specified</v>
      </c>
      <c r="W146" t="str">
        <f>IFERROR(__xludf.DUMMYFUNCTION("""COMPUTED_VALUE"""),"No")</f>
        <v>No</v>
      </c>
      <c r="X146" t="str">
        <f>IFERROR(__xludf.DUMMYFUNCTION("""COMPUTED_VALUE"""),"No")</f>
        <v>No</v>
      </c>
      <c r="Y146" t="str">
        <f>IFERROR(__xludf.DUMMYFUNCTION("""COMPUTED_VALUE"""),"Not specified")</f>
        <v>Not specified</v>
      </c>
      <c r="Z146" t="str">
        <f>IFERROR(__xludf.DUMMYFUNCTION("""COMPUTED_VALUE"""),"Not specified")</f>
        <v>Not specified</v>
      </c>
      <c r="AA146" t="str">
        <f>IFERROR(__xludf.DUMMYFUNCTION("""COMPUTED_VALUE"""),"")</f>
        <v/>
      </c>
      <c r="AB146" t="str">
        <f>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46" s="78" t="str">
        <f>IFERROR(__xludf.DUMMYFUNCTION("""COMPUTED_VALUE"""),"https://journals.aps.org/rmp/info/procedures.html")</f>
        <v>https://journals.aps.org/rmp/info/procedures.html</v>
      </c>
      <c r="AD146" t="str">
        <f>IFERROR(__xludf.DUMMYFUNCTION("""COMPUTED_VALUE"""),"Yes")</f>
        <v>Yes</v>
      </c>
      <c r="AE146" t="str">
        <f>IFERROR(__xludf.DUMMYFUNCTION("""COMPUTED_VALUE"""),"Unsure")</f>
        <v>Unsure</v>
      </c>
      <c r="AF146" t="str">
        <f>IFERROR(__xludf.DUMMYFUNCTION("""COMPUTED_VALUE"""),"Unsure")</f>
        <v>Unsure</v>
      </c>
      <c r="AG146" s="78" t="str">
        <f>IFERROR(__xludf.DUMMYFUNCTION("""COMPUTED_VALUE"""),"https://journals.aps.org/rmp/info/procedures.html")</f>
        <v>https://journals.aps.org/rmp/info/procedures.html</v>
      </c>
      <c r="AH146" t="str">
        <f>IFERROR(__xludf.DUMMYFUNCTION("""COMPUTED_VALUE"""),"Any")</f>
        <v>Any</v>
      </c>
      <c r="AI146" t="str">
        <f>IFERROR(__xludf.DUMMYFUNCTION("""COMPUTED_VALUE"""),"Not specified")</f>
        <v>Not specified</v>
      </c>
      <c r="AJ146" t="str">
        <f>IFERROR(__xludf.DUMMYFUNCTION("""COMPUTED_VALUE"""),"Not specified")</f>
        <v>Not specified</v>
      </c>
      <c r="AK146" t="str">
        <f>IFERROR(__xludf.DUMMYFUNCTION("""COMPUTED_VALUE"""),"Unsure")</f>
        <v>Unsure</v>
      </c>
      <c r="AL146" t="str">
        <f>IFERROR(__xludf.DUMMYFUNCTION("""COMPUTED_VALUE"""),"")</f>
        <v/>
      </c>
      <c r="AM146" t="str">
        <f>IFERROR(__xludf.DUMMYFUNCTION("""COMPUTED_VALUE"""),"")</f>
        <v/>
      </c>
      <c r="AN146" t="str">
        <f>IFERROR(__xludf.DUMMYFUNCTION("""COMPUTED_VALUE"""),"")</f>
        <v/>
      </c>
      <c r="AO146" t="str">
        <f>IFERROR(__xludf.DUMMYFUNCTION("""COMPUTED_VALUE"""),"")</f>
        <v/>
      </c>
      <c r="AP146" t="str">
        <f>IFERROR(__xludf.DUMMYFUNCTION("""COMPUTED_VALUE"""),"Reviews of Modern Physics is a peer reviewd journal employing a single blind peer review process, but placing high value on not making the review process public (i.e. Names and comments of reviewers). Accordingly, the journal does not offer peer review tr"&amp;"ansfer.")</f>
        <v>Reviews of Modern Physics is a peer reviewd journal employing a single blind peer review process, but placing high value on not making the review process public (i.e. Names and comments of reviewers). Accordingly, the journal does not offer peer review transfer.</v>
      </c>
      <c r="AQ146" t="str">
        <f>IFERROR(__xludf.DUMMYFUNCTION("""COMPUTED_VALUE"""),"30 min")</f>
        <v>30 min</v>
      </c>
      <c r="AR146" t="str">
        <f>IFERROR(__xludf.DUMMYFUNCTION("""COMPUTED_VALUE"""),"")</f>
        <v/>
      </c>
    </row>
    <row r="147">
      <c r="A147" t="str">
        <f>IFERROR(__xludf.DUMMYFUNCTION("""COMPUTED_VALUE"""),"SR")</f>
        <v>SR</v>
      </c>
      <c r="B147" s="34">
        <f>IFERROR(__xludf.DUMMYFUNCTION("""COMPUTED_VALUE"""),43440.0)</f>
        <v>43440</v>
      </c>
      <c r="C147" t="str">
        <f>IFERROR(__xludf.DUMMYFUNCTION("""COMPUTED_VALUE"""),"JP")</f>
        <v>JP</v>
      </c>
      <c r="D147" s="36">
        <f>IFERROR(__xludf.DUMMYFUNCTION("""COMPUTED_VALUE"""),43572.0)</f>
        <v>43572</v>
      </c>
      <c r="E147" t="str">
        <f>IFERROR(__xludf.DUMMYFUNCTION("""COMPUTED_VALUE"""),"TRH")</f>
        <v>TRH</v>
      </c>
      <c r="F147" s="36">
        <f>IFERROR(__xludf.DUMMYFUNCTION("""COMPUTED_VALUE"""),43581.0)</f>
        <v>43581</v>
      </c>
      <c r="G147" t="str">
        <f>IFERROR(__xludf.DUMMYFUNCTION("""COMPUTED_VALUE"""),"")</f>
        <v/>
      </c>
      <c r="H147" t="str">
        <f>IFERROR(__xludf.DUMMYFUNCTION("""COMPUTED_VALUE"""),"1095-9203")</f>
        <v>1095-9203</v>
      </c>
      <c r="I147" t="str">
        <f>IFERROR(__xludf.DUMMYFUNCTION("""COMPUTED_VALUE"""),"Science")</f>
        <v>Science</v>
      </c>
      <c r="J147" t="str">
        <f>IFERROR(__xludf.DUMMYFUNCTION("""COMPUTED_VALUE"""),"Life Sciences &amp; Earth Sciences")</f>
        <v>Life Sciences &amp; Earth Sciences</v>
      </c>
      <c r="K147" t="str">
        <f>IFERROR(__xludf.DUMMYFUNCTION("""COMPUTED_VALUE"""),"American Association for the Advancement of Science")</f>
        <v>American Association for the Advancement of Science</v>
      </c>
      <c r="L147" t="str">
        <f>IFERROR(__xludf.DUMMYFUNCTION("""COMPUTED_VALUE"""),"Unsure")</f>
        <v>Unsure</v>
      </c>
      <c r="M147" s="78" t="str">
        <f>IFERROR(__xludf.DUMMYFUNCTION("""COMPUTED_VALUE"""),"http://www.sciencemag.org/authors/science-information-authors")</f>
        <v>http://www.sciencemag.org/authors/science-information-authors</v>
      </c>
      <c r="N147" t="str">
        <f>IFERROR(__xludf.DUMMYFUNCTION("""COMPUTED_VALUE"""),"")</f>
        <v/>
      </c>
      <c r="O147" t="str">
        <f>IFERROR(__xludf.DUMMYFUNCTION("""COMPUTED_VALUE"""),"")</f>
        <v/>
      </c>
      <c r="P147" t="str">
        <f>IFERROR(__xludf.DUMMYFUNCTION("""COMPUTED_VALUE"""),"No")</f>
        <v>No</v>
      </c>
      <c r="Q147" t="str">
        <f>IFERROR(__xludf.DUMMYFUNCTION("""COMPUTED_VALUE"""),"Authors submitting to Science may elect to transfer to one of our other journals should the manuscript not be selected for publication at Science. Science editors will not see this choice until after the decision is made, and authors will be given the opp"&amp;"ortunity to confirm the choice before transfer is initiated. If a manuscript is rejected from Science with the option of transfer, we would be happy to transfer your submission from Science with no reformatting required. ")</f>
        <v>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v>
      </c>
      <c r="R147" s="78" t="str">
        <f>IFERROR(__xludf.DUMMYFUNCTION("""COMPUTED_VALUE"""),"https://www.sciencemag.org/authors/science-information-authors")</f>
        <v>https://www.sciencemag.org/authors/science-information-authors</v>
      </c>
      <c r="S147" t="str">
        <f>IFERROR(__xludf.DUMMYFUNCTION("""COMPUTED_VALUE"""),"No")</f>
        <v>No</v>
      </c>
      <c r="T147" t="str">
        <f>IFERROR(__xludf.DUMMYFUNCTION("""COMPUTED_VALUE"""),"Not specified")</f>
        <v>Not specified</v>
      </c>
      <c r="U147" t="str">
        <f>IFERROR(__xludf.DUMMYFUNCTION("""COMPUTED_VALUE"""),"Not specified")</f>
        <v>Not specified</v>
      </c>
      <c r="V147" t="str">
        <f>IFERROR(__xludf.DUMMYFUNCTION("""COMPUTED_VALUE"""),"Not specified")</f>
        <v>Not specified</v>
      </c>
      <c r="W147" t="str">
        <f>IFERROR(__xludf.DUMMYFUNCTION("""COMPUTED_VALUE"""),"No")</f>
        <v>No</v>
      </c>
      <c r="X147" t="str">
        <f>IFERROR(__xludf.DUMMYFUNCTION("""COMPUTED_VALUE"""),"No")</f>
        <v>No</v>
      </c>
      <c r="Y147" t="str">
        <f>IFERROR(__xludf.DUMMYFUNCTION("""COMPUTED_VALUE"""),"Not specified")</f>
        <v>Not specified</v>
      </c>
      <c r="Z147" t="str">
        <f>IFERROR(__xludf.DUMMYFUNCTION("""COMPUTED_VALUE"""),"Yes")</f>
        <v>Yes</v>
      </c>
      <c r="AA147" t="str">
        <f>IFERROR(__xludf.DUMMYFUNCTION("""COMPUTED_VALUE"""),"Science employs a cross-review policy, so once all reviews are in, they are circulated among all other reviewers of a given paper")</f>
        <v>Science employs a cross-review policy, so once all reviews are in, they are circulated among all other reviewers of a given paper</v>
      </c>
      <c r="AB147" t="str">
        <f>IFERROR(__xludf.DUMMYFUNCTION("""COMPUTED_VALUE""")," Please do not share the manuscript with any colleagues without the explicit permission of the editor. ")</f>
        <v> Please do not share the manuscript with any colleagues without the explicit permission of the editor. </v>
      </c>
      <c r="AC147" s="78" t="str">
        <f>IFERROR(__xludf.DUMMYFUNCTION("""COMPUTED_VALUE"""),"https://www.sciencemag.org/authors/peer-review-science-publications")</f>
        <v>https://www.sciencemag.org/authors/peer-review-science-publications</v>
      </c>
      <c r="AD147" t="str">
        <f>IFERROR(__xludf.DUMMYFUNCTION("""COMPUTED_VALUE"""),"Unsure")</f>
        <v>Unsure</v>
      </c>
      <c r="AE147" t="str">
        <f>IFERROR(__xludf.DUMMYFUNCTION("""COMPUTED_VALUE"""),"Unsure")</f>
        <v>Unsure</v>
      </c>
      <c r="AF147" t="str">
        <f>IFERROR(__xludf.DUMMYFUNCTION("""COMPUTED_VALUE"""),"Unsure")</f>
        <v>Unsure</v>
      </c>
      <c r="AG147" s="78" t="str">
        <f>IFERROR(__xludf.DUMMYFUNCTION("""COMPUTED_VALUE"""),"http://www.sciencemag.org/authors/science-journals-editorial-policies")</f>
        <v>http://www.sciencemag.org/authors/science-journals-editorial-policies</v>
      </c>
      <c r="AH147" t="str">
        <f>IFERROR(__xludf.DUMMYFUNCTION("""COMPUTED_VALUE"""),"First submission only (before peer review)")</f>
        <v>First submission only (before peer review)</v>
      </c>
      <c r="AI147" t="str">
        <f>IFERROR(__xludf.DUMMYFUNCTION("""COMPUTED_VALUE"""),"We do support posting of research papers on not-for-profit preprint servers such as arXiv.org and bioRxiv.org.")</f>
        <v>We do support posting of research papers on not-for-profit preprint servers such as arXiv.org and bioRxiv.org.</v>
      </c>
      <c r="AJ147" t="str">
        <f>IFERROR(__xludf.DUMMYFUNCTION("""COMPUTED_VALUE"""),"Not specified")</f>
        <v>Not specified</v>
      </c>
      <c r="AK147" t="str">
        <f>IFERROR(__xludf.DUMMYFUNCTION("""COMPUTED_VALUE"""),"Unsure")</f>
        <v>Unsure</v>
      </c>
      <c r="AL147" t="str">
        <f>IFERROR(__xludf.DUMMYFUNCTION("""COMPUTED_VALUE"""),"Manuscripts posted at a preprint server should not be discussed with the media prior to publication. Please contact the editors with questions regarding allowable postings to other servers.")</f>
        <v>Manuscripts posted at a preprint server should not be discussed with the media prior to publication. Please contact the editors with questions regarding allowable postings to other servers.</v>
      </c>
      <c r="AM147" t="str">
        <f>IFERROR(__xludf.DUMMYFUNCTION("""COMPUTED_VALUE"""),"")</f>
        <v/>
      </c>
      <c r="AN147" t="str">
        <f>IFERROR(__xludf.DUMMYFUNCTION("""COMPUTED_VALUE"""),"")</f>
        <v/>
      </c>
      <c r="AO147" t="str">
        <f>IFERROR(__xludf.DUMMYFUNCTION("""COMPUTED_VALUE"""),"")</f>
        <v/>
      </c>
      <c r="AP147" t="str">
        <f>IFERROR(__xludf.DUMMYFUNCTION("""COMPUTED_VALUE"""),"Science offers a rather comprehensive, easily accessible peer review policy on its website. It is the first journal surveyed during the first round to employ a cross-review policy. PR model not known - but not open identities (so single or double blind). "&amp;"Anon open interaction: ""Once all reviews are in, we initiate a cross-review process in which we invite all reviewers to read the other (still anonymous) reviews and make additional comments within 2 business days. Cross-review is encouraged, but not requ"&amp;"ired.""")</f>
        <v>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v>
      </c>
      <c r="AQ147" t="str">
        <f>IFERROR(__xludf.DUMMYFUNCTION("""COMPUTED_VALUE"""),"20 mins")</f>
        <v>20 mins</v>
      </c>
      <c r="AR147" t="str">
        <f>IFERROR(__xludf.DUMMYFUNCTION("""COMPUTED_VALUE"""),"")</f>
        <v/>
      </c>
    </row>
    <row r="148">
      <c r="A148" t="str">
        <f>IFERROR(__xludf.DUMMYFUNCTION("""COMPUTED_VALUE"""),"SR")</f>
        <v>SR</v>
      </c>
      <c r="B148" s="34">
        <f>IFERROR(__xludf.DUMMYFUNCTION("""COMPUTED_VALUE"""),43440.0)</f>
        <v>43440</v>
      </c>
      <c r="C148" t="str">
        <f>IFERROR(__xludf.DUMMYFUNCTION("""COMPUTED_VALUE"""),"JP")</f>
        <v>JP</v>
      </c>
      <c r="D148" s="36">
        <f>IFERROR(__xludf.DUMMYFUNCTION("""COMPUTED_VALUE"""),43572.0)</f>
        <v>43572</v>
      </c>
      <c r="E148" t="str">
        <f>IFERROR(__xludf.DUMMYFUNCTION("""COMPUTED_VALUE"""),"TRH")</f>
        <v>TRH</v>
      </c>
      <c r="F148" s="36">
        <f>IFERROR(__xludf.DUMMYFUNCTION("""COMPUTED_VALUE"""),43581.0)</f>
        <v>43581</v>
      </c>
      <c r="G148" t="str">
        <f>IFERROR(__xludf.DUMMYFUNCTION("""COMPUTED_VALUE"""),"")</f>
        <v/>
      </c>
      <c r="H148" t="str">
        <f>IFERROR(__xludf.DUMMYFUNCTION("""COMPUTED_VALUE"""),"1946-6234")</f>
        <v>1946-6234</v>
      </c>
      <c r="I148" t="str">
        <f>IFERROR(__xludf.DUMMYFUNCTION("""COMPUTED_VALUE"""),"Science Translational Medicine")</f>
        <v>Science Translational Medicine</v>
      </c>
      <c r="J148" t="str">
        <f>IFERROR(__xludf.DUMMYFUNCTION("""COMPUTED_VALUE"""),"")</f>
        <v/>
      </c>
      <c r="K148" t="str">
        <f>IFERROR(__xludf.DUMMYFUNCTION("""COMPUTED_VALUE"""),"")</f>
        <v/>
      </c>
      <c r="L148" t="str">
        <f>IFERROR(__xludf.DUMMYFUNCTION("""COMPUTED_VALUE"""),"Unsure")</f>
        <v>Unsure</v>
      </c>
      <c r="M148" s="78" t="str">
        <f>IFERROR(__xludf.DUMMYFUNCTION("""COMPUTED_VALUE"""),"https://stm.sciencemag.org/content/science-translational-medicine-general-policies")</f>
        <v>https://stm.sciencemag.org/content/science-translational-medicine-general-policies</v>
      </c>
      <c r="N148" t="str">
        <f>IFERROR(__xludf.DUMMYFUNCTION("""COMPUTED_VALUE"""),"")</f>
        <v/>
      </c>
      <c r="O148" t="str">
        <f>IFERROR(__xludf.DUMMYFUNCTION("""COMPUTED_VALUE"""),"")</f>
        <v/>
      </c>
      <c r="P148" t="str">
        <f>IFERROR(__xludf.DUMMYFUNCTION("""COMPUTED_VALUE"""),"No")</f>
        <v>No</v>
      </c>
      <c r="Q148" t="str">
        <f>IFERROR(__xludf.DUMMYFUNCTION("""COMPUTED_VALUE"""),"")</f>
        <v/>
      </c>
      <c r="R148" t="str">
        <f>IFERROR(__xludf.DUMMYFUNCTION("""COMPUTED_VALUE"""),"")</f>
        <v/>
      </c>
      <c r="S148" t="str">
        <f>IFERROR(__xludf.DUMMYFUNCTION("""COMPUTED_VALUE"""),"No")</f>
        <v>No</v>
      </c>
      <c r="T148" t="str">
        <f>IFERROR(__xludf.DUMMYFUNCTION("""COMPUTED_VALUE"""),"Not specified")</f>
        <v>Not specified</v>
      </c>
      <c r="U148" t="str">
        <f>IFERROR(__xludf.DUMMYFUNCTION("""COMPUTED_VALUE"""),"Not specified")</f>
        <v>Not specified</v>
      </c>
      <c r="V148" t="str">
        <f>IFERROR(__xludf.DUMMYFUNCTION("""COMPUTED_VALUE"""),"Not specified")</f>
        <v>Not specified</v>
      </c>
      <c r="W148" t="str">
        <f>IFERROR(__xludf.DUMMYFUNCTION("""COMPUTED_VALUE"""),"No")</f>
        <v>No</v>
      </c>
      <c r="X148" t="str">
        <f>IFERROR(__xludf.DUMMYFUNCTION("""COMPUTED_VALUE"""),"No")</f>
        <v>No</v>
      </c>
      <c r="Y148" t="str">
        <f>IFERROR(__xludf.DUMMYFUNCTION("""COMPUTED_VALUE"""),"Not specified")</f>
        <v>Not specified</v>
      </c>
      <c r="Z148" t="str">
        <f>IFERROR(__xludf.DUMMYFUNCTION("""COMPUTED_VALUE"""),"Not specified")</f>
        <v>Not specified</v>
      </c>
      <c r="AA148" t="str">
        <f>IFERROR(__xludf.DUMMYFUNCTION("""COMPUTED_VALUE"""),"")</f>
        <v/>
      </c>
      <c r="AB148" t="str">
        <f>IFERROR(__xludf.DUMMYFUNCTION("""COMPUTED_VALUE""")," Please do not share the manuscript with any colleagues without the explicit permission of the editor. ")</f>
        <v> Please do not share the manuscript with any colleagues without the explicit permission of the editor. </v>
      </c>
      <c r="AC148" s="78" t="str">
        <f>IFERROR(__xludf.DUMMYFUNCTION("""COMPUTED_VALUE"""),"https://stm.sciencemag.org/content/information-reviewers")</f>
        <v>https://stm.sciencemag.org/content/information-reviewers</v>
      </c>
      <c r="AD148" t="str">
        <f>IFERROR(__xludf.DUMMYFUNCTION("""COMPUTED_VALUE"""),"Unsure")</f>
        <v>Unsure</v>
      </c>
      <c r="AE148" t="str">
        <f>IFERROR(__xludf.DUMMYFUNCTION("""COMPUTED_VALUE"""),"Unsure")</f>
        <v>Unsure</v>
      </c>
      <c r="AF148" t="str">
        <f>IFERROR(__xludf.DUMMYFUNCTION("""COMPUTED_VALUE"""),"Unsure")</f>
        <v>Unsure</v>
      </c>
      <c r="AG148" s="78" t="str">
        <f>IFERROR(__xludf.DUMMYFUNCTION("""COMPUTED_VALUE"""),"https://stm.sciencemag.org/content/science-translational-medicine-general-policies")</f>
        <v>https://stm.sciencemag.org/content/science-translational-medicine-general-policies</v>
      </c>
      <c r="AH148" t="str">
        <f>IFERROR(__xludf.DUMMYFUNCTION("""COMPUTED_VALUE"""),"First submission only (before peer review)")</f>
        <v>First submission only (before peer review)</v>
      </c>
      <c r="AI148" t="str">
        <f>IFERROR(__xludf.DUMMYFUNCTION("""COMPUTED_VALUE"""),"We do support posting of research papers on not-for-profit preprint servers such as arXiv.org and bioRxiv.org.")</f>
        <v>We do support posting of research papers on not-for-profit preprint servers such as arXiv.org and bioRxiv.org.</v>
      </c>
      <c r="AJ148" t="str">
        <f>IFERROR(__xludf.DUMMYFUNCTION("""COMPUTED_VALUE"""),"Not specified")</f>
        <v>Not specified</v>
      </c>
      <c r="AK148" t="str">
        <f>IFERROR(__xludf.DUMMYFUNCTION("""COMPUTED_VALUE"""),"Unsure")</f>
        <v>Unsure</v>
      </c>
      <c r="AL148" t="str">
        <f>IFERROR(__xludf.DUMMYFUNCTION("""COMPUTED_VALUE"""),"We generally encourage presentation of original results prior to publication at scientific meetings. Nevertheless, press coverage and presentation at scientific conferences can sometimes affect consideration of papers at Science Translational Medicine. Fo"&amp;"r example, reporting the main findings of a paper in the mass media can compromise the novelty of the work and thus its appropriateness for Science Translational Medicine. Therefore, authors should feel free to present their data at scientific meetings bu"&amp;"t should not overtly seek media attention or give copies of the figures or data from their manuscript to any reporter. If a reporter attends an author's session at a meeting and writes a story based only on the presentation, such coverage will not affect "&amp;"Science Translational Medicine's consideration of the author's paper. (For more information, please see the embargo entry in the Science Contributors FAQ.)")</f>
        <v>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v>
      </c>
      <c r="AM148" t="str">
        <f>IFERROR(__xludf.DUMMYFUNCTION("""COMPUTED_VALUE"""),"")</f>
        <v/>
      </c>
      <c r="AN148" t="str">
        <f>IFERROR(__xludf.DUMMYFUNCTION("""COMPUTED_VALUE"""),"")</f>
        <v/>
      </c>
      <c r="AO148" t="str">
        <f>IFERROR(__xludf.DUMMYFUNCTION("""COMPUTED_VALUE"""),"")</f>
        <v/>
      </c>
      <c r="AP148" t="str">
        <f>IFERROR(__xludf.DUMMYFUNCTION("""COMPUTED_VALUE"""),"")</f>
        <v/>
      </c>
      <c r="AQ148" t="str">
        <f>IFERROR(__xludf.DUMMYFUNCTION("""COMPUTED_VALUE"""),"20 mins")</f>
        <v>20 mins</v>
      </c>
      <c r="AR148" t="str">
        <f>IFERROR(__xludf.DUMMYFUNCTION("""COMPUTED_VALUE"""),"")</f>
        <v/>
      </c>
    </row>
    <row r="149">
      <c r="A149" t="str">
        <f>IFERROR(__xludf.DUMMYFUNCTION("""COMPUTED_VALUE"""),"SR")</f>
        <v>SR</v>
      </c>
      <c r="B149" s="34">
        <f>IFERROR(__xludf.DUMMYFUNCTION("""COMPUTED_VALUE"""),43440.0)</f>
        <v>43440</v>
      </c>
      <c r="C149" t="str">
        <f>IFERROR(__xludf.DUMMYFUNCTION("""COMPUTED_VALUE"""),"JP")</f>
        <v>JP</v>
      </c>
      <c r="D149" s="36">
        <f>IFERROR(__xludf.DUMMYFUNCTION("""COMPUTED_VALUE"""),43572.0)</f>
        <v>43572</v>
      </c>
      <c r="E149" t="str">
        <f>IFERROR(__xludf.DUMMYFUNCTION("""COMPUTED_VALUE"""),"TRH")</f>
        <v>TRH</v>
      </c>
      <c r="F149" s="36">
        <f>IFERROR(__xludf.DUMMYFUNCTION("""COMPUTED_VALUE"""),43581.0)</f>
        <v>43581</v>
      </c>
      <c r="G149" t="str">
        <f>IFERROR(__xludf.DUMMYFUNCTION("""COMPUTED_VALUE"""),"")</f>
        <v/>
      </c>
      <c r="H149" t="str">
        <f>IFERROR(__xludf.DUMMYFUNCTION("""COMPUTED_VALUE"""),"2045-2322")</f>
        <v>2045-2322</v>
      </c>
      <c r="I149" t="str">
        <f>IFERROR(__xludf.DUMMYFUNCTION("""COMPUTED_VALUE"""),"Scientific Reports")</f>
        <v>Scientific Reports</v>
      </c>
      <c r="J149" t="str">
        <f>IFERROR(__xludf.DUMMYFUNCTION("""COMPUTED_VALUE"""),"Life Sciences &amp; Earth Sciences")</f>
        <v>Life Sciences &amp; Earth Sciences</v>
      </c>
      <c r="K149" t="str">
        <f>IFERROR(__xludf.DUMMYFUNCTION("""COMPUTED_VALUE"""),"Springer Nature")</f>
        <v>Springer Nature</v>
      </c>
      <c r="L149" t="str">
        <f>IFERROR(__xludf.DUMMYFUNCTION("""COMPUTED_VALUE"""),"Single blind")</f>
        <v>Single blind</v>
      </c>
      <c r="M149" s="78" t="str">
        <f>IFERROR(__xludf.DUMMYFUNCTION("""COMPUTED_VALUE"""),"https://www.nature.com/srep/journal-policies/peer-review")</f>
        <v>https://www.nature.com/srep/journal-policies/peer-review</v>
      </c>
      <c r="N149" t="str">
        <f>IFERROR(__xludf.DUMMYFUNCTION("""COMPUTED_VALUE"""),"")</f>
        <v/>
      </c>
      <c r="O149" t="str">
        <f>IFERROR(__xludf.DUMMYFUNCTION("""COMPUTED_VALUE"""),"")</f>
        <v/>
      </c>
      <c r="P149" t="str">
        <f>IFERROR(__xludf.DUMMYFUNCTION("""COMPUTED_VALUE"""),"No")</f>
        <v>No</v>
      </c>
      <c r="Q149" t="str">
        <f>IFERROR(__xludf.DUMMYFUNCTION("""COMPUTED_VALUE"""),"(1) Referee reports, whether signed or not, are subsequently shared with the other reviewers and with other Nature Research journals if the manuscript were to be transferred and (2) Reviewers may be asked to comment on the criticisms of other reviewers an"&amp;"d on further revisions of the manuscript and identified reviewers may find these discussions more challenging.")</f>
        <v>(1)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v>
      </c>
      <c r="R149" s="78" t="str">
        <f>IFERROR(__xludf.DUMMYFUNCTION("""COMPUTED_VALUE"""),"https://www.nature.com/authors/author_resources/transfer_manuscripts.html")</f>
        <v>https://www.nature.com/authors/author_resources/transfer_manuscripts.html</v>
      </c>
      <c r="S149" t="str">
        <f>IFERROR(__xludf.DUMMYFUNCTION("""COMPUTED_VALUE"""),"Not specified")</f>
        <v>Not specified</v>
      </c>
      <c r="T149" t="str">
        <f>IFERROR(__xludf.DUMMYFUNCTION("""COMPUTED_VALUE"""),"Not specified")</f>
        <v>Not specified</v>
      </c>
      <c r="U149" t="str">
        <f>IFERROR(__xludf.DUMMYFUNCTION("""COMPUTED_VALUE"""),"Not specified")</f>
        <v>Not specified</v>
      </c>
      <c r="V149" t="str">
        <f>IFERROR(__xludf.DUMMYFUNCTION("""COMPUTED_VALUE"""),"Not specified")</f>
        <v>Not specified</v>
      </c>
      <c r="W149" t="str">
        <f>IFERROR(__xludf.DUMMYFUNCTION("""COMPUTED_VALUE"""),"Not specified")</f>
        <v>Not specified</v>
      </c>
      <c r="X149" t="str">
        <f>IFERROR(__xludf.DUMMYFUNCTION("""COMPUTED_VALUE"""),"Optional")</f>
        <v>Optional</v>
      </c>
      <c r="Y149" t="str">
        <f>IFERROR(__xludf.DUMMYFUNCTION("""COMPUTED_VALUE"""),"Not specified")</f>
        <v>Not specified</v>
      </c>
      <c r="Z149" t="str">
        <f>IFERROR(__xludf.DUMMYFUNCTION("""COMPUTED_VALUE"""),"Not specified")</f>
        <v>Not specified</v>
      </c>
      <c r="AA149" t="str">
        <f>IFERROR(__xludf.DUMMYFUNCTION("""COMPUTED_VALUE"""),"")</f>
        <v/>
      </c>
      <c r="AB149" t="str">
        <f>IFERROR(__xludf.DUMMYFUNCTION("""COMPUTED_VALUE""")," It is acceptable to consult with laboratory colleagues, but we ask that they are identified to the Editorial Board Member. ")</f>
        <v> It is acceptable to consult with laboratory colleagues, but we ask that they are identified to the Editorial Board Member. </v>
      </c>
      <c r="AC149" s="78" t="str">
        <f>IFERROR(__xludf.DUMMYFUNCTION("""COMPUTED_VALUE"""),"https://www.nature.com/srep/journal-policies/referees#confidentiality")</f>
        <v>https://www.nature.com/srep/journal-policies/referees#confidentiality</v>
      </c>
      <c r="AD149" t="str">
        <f>IFERROR(__xludf.DUMMYFUNCTION("""COMPUTED_VALUE"""),"Yes")</f>
        <v>Yes</v>
      </c>
      <c r="AE149" t="str">
        <f>IFERROR(__xludf.DUMMYFUNCTION("""COMPUTED_VALUE"""),"Unsure")</f>
        <v>Unsure</v>
      </c>
      <c r="AF149" t="str">
        <f>IFERROR(__xludf.DUMMYFUNCTION("""COMPUTED_VALUE"""),"Unsure")</f>
        <v>Unsure</v>
      </c>
      <c r="AG149" s="78" t="str">
        <f>IFERROR(__xludf.DUMMYFUNCTION("""COMPUTED_VALUE"""),"https://www.nature.com/srep/journal-policies/editorial-policies?draft=journal&amp;target=content#confidentiality")</f>
        <v>https://www.nature.com/srep/journal-policies/editorial-policies?draft=journal&amp;target=content#confidentiality</v>
      </c>
      <c r="AH149" t="str">
        <f>IFERROR(__xludf.DUMMYFUNCTION("""COMPUTED_VALUE"""),"Any")</f>
        <v>Any</v>
      </c>
      <c r="AI149" t="str">
        <f>IFERROR(__xludf.DUMMYFUNCTION("""COMPUTED_VALUE"""),"You are welcome to post pre-submission versions or the original submitted version of the manuscript on a personal blog, a collaborative wiki or a recognised preprint server at any time. The website and URL must be identified in the cover letter accompanyi"&amp;"ng submission of the paper to Scientific Reports.")</f>
        <v>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v>
      </c>
      <c r="AJ149" t="str">
        <f>IFERROR(__xludf.DUMMYFUNCTION("""COMPUTED_VALUE"""),"Preprints may be cited in the reference list as below: Babichev, S.A., Ries, J. &amp; Lvovsky, A.I. Quantum scissors: teleportation of single-mode optical states by means of a nonlocal single photon. Preprint at http://arXiv.org/quant-ph/0208066 (2002).")</f>
        <v>Preprints may be cited in the reference list as below: Babichev, S.A., Ries, J. &amp; Lvovsky, A.I. Quantum scissors: teleportation of single-mode optical states by means of a nonlocal single photon. Preprint at http://arXiv.org/quant-ph/0208066 (2002).</v>
      </c>
      <c r="AK149" t="str">
        <f>IFERROR(__xludf.DUMMYFUNCTION("""COMPUTED_VALUE"""),"Yes")</f>
        <v>Yes</v>
      </c>
      <c r="AL149" t="str">
        <f>IFERROR(__xludf.DUMMYFUNCTION("""COMPUTED_VALUE"""),"Researchers are welcome to respond to requests from the media in response to a preprint or conference presentation, by providing explanation or clarification of the work, or information about its context. In these circumstances, media coverage will not hi"&amp;"nder editorial handling of the submission.
Researchers should be aware that such coverage may reduce or pre-empt coverage by other media at the time of publication. We also advise that researchers approached by reporters in response to a preprint make it"&amp;" clear that the paper has not yet undergone peer review, and that the content is provisional. Details of peer review should be kept confidential.")</f>
        <v>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v>
      </c>
      <c r="AM149" t="str">
        <f>IFERROR(__xludf.DUMMYFUNCTION("""COMPUTED_VALUE"""),"")</f>
        <v/>
      </c>
      <c r="AN149" t="str">
        <f>IFERROR(__xludf.DUMMYFUNCTION("""COMPUTED_VALUE"""),"")</f>
        <v/>
      </c>
      <c r="AO149" t="str">
        <f>IFERROR(__xludf.DUMMYFUNCTION("""COMPUTED_VALUE"""),"")</f>
        <v/>
      </c>
      <c r="AP149" t="str">
        <f>IFERROR(__xludf.DUMMYFUNCTION("""COMPUTED_VALUE"""),"Nature Scientific Reports offers a very comprehensive peer review policy conveniently located in one place, which includes detailed information on aspects of open peer review, peer review credit policies as well as the way the peer review process works. T"&amp;"he specficiations concerning peer review as well as pre-prints concern all Nature Review journals, apparently. It was not possible to locate specifications for one specific journal.")</f>
        <v>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v>
      </c>
      <c r="AQ149" t="str">
        <f>IFERROR(__xludf.DUMMYFUNCTION("""COMPUTED_VALUE"""),"30 min")</f>
        <v>30 min</v>
      </c>
      <c r="AR149" t="str">
        <f>IFERROR(__xludf.DUMMYFUNCTION("""COMPUTED_VALUE"""),"")</f>
        <v/>
      </c>
    </row>
    <row r="150">
      <c r="A150" t="str">
        <f>IFERROR(__xludf.DUMMYFUNCTION("""COMPUTED_VALUE"""),"JKP")</f>
        <v>JKP</v>
      </c>
      <c r="B150" s="34">
        <f>IFERROR(__xludf.DUMMYFUNCTION("""COMPUTED_VALUE"""),43472.0)</f>
        <v>43472</v>
      </c>
      <c r="C150" t="str">
        <f>IFERROR(__xludf.DUMMYFUNCTION("""COMPUTED_VALUE"""),"TRH")</f>
        <v>TRH</v>
      </c>
      <c r="D150" s="36">
        <f>IFERROR(__xludf.DUMMYFUNCTION("""COMPUTED_VALUE"""),43575.0)</f>
        <v>43575</v>
      </c>
      <c r="E150" t="str">
        <f>IFERROR(__xludf.DUMMYFUNCTION("""COMPUTED_VALUE"""),"JP")</f>
        <v>JP</v>
      </c>
      <c r="F150" s="36">
        <f>IFERROR(__xludf.DUMMYFUNCTION("""COMPUTED_VALUE"""),43581.0)</f>
        <v>43581</v>
      </c>
      <c r="G150" t="str">
        <f>IFERROR(__xludf.DUMMYFUNCTION("""COMPUTED_VALUE"""),"")</f>
        <v/>
      </c>
      <c r="H150" t="str">
        <f>IFERROR(__xludf.DUMMYFUNCTION("""COMPUTED_VALUE"""),"0277-9536")</f>
        <v>0277-9536</v>
      </c>
      <c r="I150" t="str">
        <f>IFERROR(__xludf.DUMMYFUNCTION("""COMPUTED_VALUE"""),"Social Science &amp; Medicine")</f>
        <v>Social Science &amp; Medicine</v>
      </c>
      <c r="J150" t="str">
        <f>IFERROR(__xludf.DUMMYFUNCTION("""COMPUTED_VALUE"""),"Social Sciences")</f>
        <v>Social Sciences</v>
      </c>
      <c r="K150" t="str">
        <f>IFERROR(__xludf.DUMMYFUNCTION("""COMPUTED_VALUE"""),"Elsevier")</f>
        <v>Elsevier</v>
      </c>
      <c r="L150" t="str">
        <f>IFERROR(__xludf.DUMMYFUNCTION("""COMPUTED_VALUE"""),"Double blind")</f>
        <v>Double blind</v>
      </c>
      <c r="M150" s="78" t="str">
        <f>IFERROR(__xludf.DUMMYFUNCTION("""COMPUTED_VALUE"""),"https://www.elsevier.com/journals/social-science-and-medicine/0277-9536/guide-for-authors")</f>
        <v>https://www.elsevier.com/journals/social-science-and-medicine/0277-9536/guide-for-authors</v>
      </c>
      <c r="N150" t="str">
        <f>IFERROR(__xludf.DUMMYFUNCTION("""COMPUTED_VALUE"""),"")</f>
        <v/>
      </c>
      <c r="O150" t="str">
        <f>IFERROR(__xludf.DUMMYFUNCTION("""COMPUTED_VALUE"""),"")</f>
        <v/>
      </c>
      <c r="P150" t="str">
        <f>IFERROR(__xludf.DUMMYFUNCTION("""COMPUTED_VALUE"""),"Unsure")</f>
        <v>Unsure</v>
      </c>
      <c r="Q150" t="str">
        <f>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150" s="78" t="str">
        <f>IFERROR(__xludf.DUMMYFUNCTION("""COMPUTED_VALUE"""),"https://www.elsevier.com/journals/social-science-and-medicine/0277-9536/guide-for-authors")</f>
        <v>https://www.elsevier.com/journals/social-science-and-medicine/0277-9536/guide-for-authors</v>
      </c>
      <c r="S150" t="str">
        <f>IFERROR(__xludf.DUMMYFUNCTION("""COMPUTED_VALUE"""),"Not specified")</f>
        <v>Not specified</v>
      </c>
      <c r="T150" t="str">
        <f>IFERROR(__xludf.DUMMYFUNCTION("""COMPUTED_VALUE"""),"Not specified")</f>
        <v>Not specified</v>
      </c>
      <c r="U150" t="str">
        <f>IFERROR(__xludf.DUMMYFUNCTION("""COMPUTED_VALUE"""),"Not specified")</f>
        <v>Not specified</v>
      </c>
      <c r="V150" t="str">
        <f>IFERROR(__xludf.DUMMYFUNCTION("""COMPUTED_VALUE"""),"Not specified")</f>
        <v>Not specified</v>
      </c>
      <c r="W150" t="str">
        <f>IFERROR(__xludf.DUMMYFUNCTION("""COMPUTED_VALUE"""),"Not specified")</f>
        <v>Not specified</v>
      </c>
      <c r="X150" t="str">
        <f>IFERROR(__xludf.DUMMYFUNCTION("""COMPUTED_VALUE"""),"Not specified")</f>
        <v>Not specified</v>
      </c>
      <c r="Y150" t="str">
        <f>IFERROR(__xludf.DUMMYFUNCTION("""COMPUTED_VALUE"""),"Not specified")</f>
        <v>Not specified</v>
      </c>
      <c r="Z150" t="str">
        <f>IFERROR(__xludf.DUMMYFUNCTION("""COMPUTED_VALUE"""),"Not specified")</f>
        <v>Not specified</v>
      </c>
      <c r="AA150" t="str">
        <f>IFERROR(__xludf.DUMMYFUNCTION("""COMPUTED_VALUE"""),"")</f>
        <v/>
      </c>
      <c r="AB150" t="str">
        <f>IFERROR(__xludf.DUMMYFUNCTION("""COMPUTED_VALUE"""),"")</f>
        <v/>
      </c>
      <c r="AC150" t="str">
        <f>IFERROR(__xludf.DUMMYFUNCTION("""COMPUTED_VALUE"""),"")</f>
        <v/>
      </c>
      <c r="AD150" t="str">
        <f>IFERROR(__xludf.DUMMYFUNCTION("""COMPUTED_VALUE"""),"Unsure")</f>
        <v>Unsure</v>
      </c>
      <c r="AE150" t="str">
        <f>IFERROR(__xludf.DUMMYFUNCTION("""COMPUTED_VALUE"""),"Unsure")</f>
        <v>Unsure</v>
      </c>
      <c r="AF150" t="str">
        <f>IFERROR(__xludf.DUMMYFUNCTION("""COMPUTED_VALUE"""),"Unsure")</f>
        <v>Unsure</v>
      </c>
      <c r="AG150" t="str">
        <f>IFERROR(__xludf.DUMMYFUNCTION("""COMPUTED_VALUE"""),"https://www.elsevier.com/journals/social-science-and-medicine/0277-9536/guide-for-authors, https://www.elsevier.com/about/policies/sharing/preprint")</f>
        <v>https://www.elsevier.com/journals/social-science-and-medicine/0277-9536/guide-for-authors, https://www.elsevier.com/about/policies/sharing/preprint</v>
      </c>
      <c r="AH150" t="str">
        <f>IFERROR(__xludf.DUMMYFUNCTION("""COMPUTED_VALUE"""),"First submission only")</f>
        <v>First submission only</v>
      </c>
      <c r="AI150" t="str">
        <f>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0" t="str">
        <f>IFERROR(__xludf.DUMMYFUNCTION("""COMPUTED_VALUE"""),"Unsure")</f>
        <v>Unsure</v>
      </c>
      <c r="AK150" t="str">
        <f>IFERROR(__xludf.DUMMYFUNCTION("""COMPUTED_VALUE"""),"Unsure")</f>
        <v>Unsure</v>
      </c>
      <c r="AL150" t="str">
        <f>IFERROR(__xludf.DUMMYFUNCTION("""COMPUTED_VALUE"""),"")</f>
        <v/>
      </c>
      <c r="AM150" t="str">
        <f>IFERROR(__xludf.DUMMYFUNCTION("""COMPUTED_VALUE"""),"")</f>
        <v/>
      </c>
      <c r="AN150" t="str">
        <f>IFERROR(__xludf.DUMMYFUNCTION("""COMPUTED_VALUE"""),"")</f>
        <v/>
      </c>
      <c r="AO150" t="str">
        <f>IFERROR(__xludf.DUMMYFUNCTION("""COMPUTED_VALUE"""),"")</f>
        <v/>
      </c>
      <c r="AP150" t="str">
        <f>IFERROR(__xludf.DUMMYFUNCTION("""COMPUTED_VALUE"""),"")</f>
        <v/>
      </c>
      <c r="AQ150" s="554" t="str">
        <f>IFERROR(__xludf.DUMMYFUNCTION("""COMPUTED_VALUE"""),"")</f>
        <v/>
      </c>
      <c r="AR150" t="str">
        <f>IFERROR(__xludf.DUMMYFUNCTION("""COMPUTED_VALUE"""),"")</f>
        <v/>
      </c>
    </row>
    <row r="151">
      <c r="A151" t="str">
        <f>IFERROR(__xludf.DUMMYFUNCTION("""COMPUTED_VALUE"""),"JKP")</f>
        <v>JKP</v>
      </c>
      <c r="B151" s="34">
        <f>IFERROR(__xludf.DUMMYFUNCTION("""COMPUTED_VALUE"""),43472.0)</f>
        <v>43472</v>
      </c>
      <c r="C151" t="str">
        <f>IFERROR(__xludf.DUMMYFUNCTION("""COMPUTED_VALUE"""),"GMD")</f>
        <v>GMD</v>
      </c>
      <c r="D151" s="36">
        <f>IFERROR(__xludf.DUMMYFUNCTION("""COMPUTED_VALUE"""),43579.0)</f>
        <v>43579</v>
      </c>
      <c r="E151" t="str">
        <f>IFERROR(__xludf.DUMMYFUNCTION("""COMPUTED_VALUE"""),"JP")</f>
        <v>JP</v>
      </c>
      <c r="F151" s="36">
        <f>IFERROR(__xludf.DUMMYFUNCTION("""COMPUTED_VALUE"""),43583.0)</f>
        <v>43583</v>
      </c>
      <c r="G151" t="str">
        <f>IFERROR(__xludf.DUMMYFUNCTION("""COMPUTED_VALUE"""),"New link does not contiain form; added coreviewer policy")</f>
        <v>New link does not contiain form; added coreviewer policy</v>
      </c>
      <c r="H151" t="str">
        <f>IFERROR(__xludf.DUMMYFUNCTION("""COMPUTED_VALUE"""),"1097-0266")</f>
        <v>1097-0266</v>
      </c>
      <c r="I151" t="str">
        <f>IFERROR(__xludf.DUMMYFUNCTION("""COMPUTED_VALUE"""),"Strategic Management Journal")</f>
        <v>Strategic Management Journal</v>
      </c>
      <c r="J151" t="str">
        <f>IFERROR(__xludf.DUMMYFUNCTION("""COMPUTED_VALUE"""),"Business, Economics &amp; Management")</f>
        <v>Business, Economics &amp; Management</v>
      </c>
      <c r="K151" t="str">
        <f>IFERROR(__xludf.DUMMYFUNCTION("""COMPUTED_VALUE"""),"Wiley, Strategic Management Society")</f>
        <v>Wiley, Strategic Management Society</v>
      </c>
      <c r="L151" t="str">
        <f>IFERROR(__xludf.DUMMYFUNCTION("""COMPUTED_VALUE"""),"Unsure")</f>
        <v>Unsure</v>
      </c>
      <c r="M151" t="str">
        <f>IFERROR(__xludf.DUMMYFUNCTION("""COMPUTED_VALUE"""),"")</f>
        <v/>
      </c>
      <c r="N151" t="str">
        <f>IFERROR(__xludf.DUMMYFUNCTION("""COMPUTED_VALUE"""),"")</f>
        <v/>
      </c>
      <c r="O151" t="str">
        <f>IFERROR(__xludf.DUMMYFUNCTION("""COMPUTED_VALUE"""),"")</f>
        <v/>
      </c>
      <c r="P151" t="str">
        <f>IFERROR(__xludf.DUMMYFUNCTION("""COMPUTED_VALUE"""),"Unsure")</f>
        <v>Unsure</v>
      </c>
      <c r="Q151" t="str">
        <f>IFERROR(__xludf.DUMMYFUNCTION("""COMPUTED_VALUE"""),"")</f>
        <v/>
      </c>
      <c r="R151" t="str">
        <f>IFERROR(__xludf.DUMMYFUNCTION("""COMPUTED_VALUE"""),"")</f>
        <v/>
      </c>
      <c r="S151" t="str">
        <f>IFERROR(__xludf.DUMMYFUNCTION("""COMPUTED_VALUE"""),"Not specified")</f>
        <v>Not specified</v>
      </c>
      <c r="T151" t="str">
        <f>IFERROR(__xludf.DUMMYFUNCTION("""COMPUTED_VALUE"""),"Not specified")</f>
        <v>Not specified</v>
      </c>
      <c r="U151" t="str">
        <f>IFERROR(__xludf.DUMMYFUNCTION("""COMPUTED_VALUE"""),"Not specified")</f>
        <v>Not specified</v>
      </c>
      <c r="V151" t="str">
        <f>IFERROR(__xludf.DUMMYFUNCTION("""COMPUTED_VALUE"""),"Not specified")</f>
        <v>Not specified</v>
      </c>
      <c r="W151" t="str">
        <f>IFERROR(__xludf.DUMMYFUNCTION("""COMPUTED_VALUE"""),"Not specified")</f>
        <v>Not specified</v>
      </c>
      <c r="X151" t="str">
        <f>IFERROR(__xludf.DUMMYFUNCTION("""COMPUTED_VALUE"""),"Not specified")</f>
        <v>Not specified</v>
      </c>
      <c r="Y151" t="str">
        <f>IFERROR(__xludf.DUMMYFUNCTION("""COMPUTED_VALUE"""),"Not specified")</f>
        <v>Not specified</v>
      </c>
      <c r="Z151" t="str">
        <f>IFERROR(__xludf.DUMMYFUNCTION("""COMPUTED_VALUE"""),"Not specified")</f>
        <v>Not specified</v>
      </c>
      <c r="AA151" t="str">
        <f>IFERROR(__xludf.DUMMYFUNCTION("""COMPUTED_VALUE"""),"Not specified")</f>
        <v>Not specified</v>
      </c>
      <c r="AB151" t="str">
        <f>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51" s="78" t="str">
        <f>IFERROR(__xludf.DUMMYFUNCTION("""COMPUTED_VALUE"""),"https://authorservices.wiley.com/Reviewers/journal-reviewers/how-to-perform-a-peer-review/general-and-ethical-guidelines.html")</f>
        <v>https://authorservices.wiley.com/Reviewers/journal-reviewers/how-to-perform-a-peer-review/general-and-ethical-guidelines.html</v>
      </c>
      <c r="AD151" t="str">
        <f>IFERROR(__xludf.DUMMYFUNCTION("""COMPUTED_VALUE"""),"Unsure")</f>
        <v>Unsure</v>
      </c>
      <c r="AE151" t="str">
        <f>IFERROR(__xludf.DUMMYFUNCTION("""COMPUTED_VALUE"""),"Unsure")</f>
        <v>Unsure</v>
      </c>
      <c r="AF151" t="str">
        <f>IFERROR(__xludf.DUMMYFUNCTION("""COMPUTED_VALUE"""),"Unsure")</f>
        <v>Unsure</v>
      </c>
      <c r="AG151" t="str">
        <f>IFERROR(__xludf.DUMMYFUNCTION("""COMPUTED_VALUE"""),"(describes working paper citations) https://onlinelibrary.wiley.com/page/journal/10970266/homepage/forauthors.html")</f>
        <v>(describes working paper citations) https://onlinelibrary.wiley.com/page/journal/10970266/homepage/forauthors.html</v>
      </c>
      <c r="AH151" t="str">
        <f>IFERROR(__xludf.DUMMYFUNCTION("""COMPUTED_VALUE"""),"No preprint policy")</f>
        <v>No preprint policy</v>
      </c>
      <c r="AI151" t="str">
        <f>IFERROR(__xludf.DUMMYFUNCTION("""COMPUTED_VALUE"""),"""Submitted manuscripts should not have been previously published and should not be submitted for publication elsewhere while they are under consideration by SMJ .
 ...
 We suggest that you circulate your manuscript among colleagues before submitting to S"&amp;"MJ , and make revisions based on their thoughtful suggestions. The reviewers should not be your first readers.""")</f>
        <v>"Submitted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v>
      </c>
      <c r="AJ151" t="str">
        <f>IFERROR(__xludf.DUMMYFUNCTION("""COMPUTED_VALUE"""),"Yes")</f>
        <v>Yes</v>
      </c>
      <c r="AK151" t="str">
        <f>IFERROR(__xludf.DUMMYFUNCTION("""COMPUTED_VALUE"""),"Unsure")</f>
        <v>Unsure</v>
      </c>
      <c r="AL151" t="str">
        <f>IFERROR(__xludf.DUMMYFUNCTION("""COMPUTED_VALUE"""),"")</f>
        <v/>
      </c>
      <c r="AM151" t="str">
        <f>IFERROR(__xludf.DUMMYFUNCTION("""COMPUTED_VALUE"""),"")</f>
        <v/>
      </c>
      <c r="AN151" t="str">
        <f>IFERROR(__xludf.DUMMYFUNCTION("""COMPUTED_VALUE"""),"")</f>
        <v/>
      </c>
      <c r="AO151" t="str">
        <f>IFERROR(__xludf.DUMMYFUNCTION("""COMPUTED_VALUE"""),"")</f>
        <v/>
      </c>
      <c r="AP151" t="str">
        <f>IFERROR(__xludf.DUMMYFUNCTION("""COMPUTED_VALUE"""),"")</f>
        <v/>
      </c>
      <c r="AQ151" s="554" t="str">
        <f>IFERROR(__xludf.DUMMYFUNCTION("""COMPUTED_VALUE"""),"")</f>
        <v/>
      </c>
      <c r="AR151" t="str">
        <f>IFERROR(__xludf.DUMMYFUNCTION("""COMPUTED_VALUE"""),"")</f>
        <v/>
      </c>
    </row>
    <row r="152">
      <c r="A152" t="str">
        <f>IFERROR(__xludf.DUMMYFUNCTION("""COMPUTED_VALUE"""),"JKP")</f>
        <v>JKP</v>
      </c>
      <c r="B152" s="34">
        <f>IFERROR(__xludf.DUMMYFUNCTION("""COMPUTED_VALUE"""),43472.0)</f>
        <v>43472</v>
      </c>
      <c r="C152" t="str">
        <f>IFERROR(__xludf.DUMMYFUNCTION("""COMPUTED_VALUE"""),"GMD")</f>
        <v>GMD</v>
      </c>
      <c r="D152" s="36">
        <f>IFERROR(__xludf.DUMMYFUNCTION("""COMPUTED_VALUE"""),43579.0)</f>
        <v>43579</v>
      </c>
      <c r="E152" t="str">
        <f>IFERROR(__xludf.DUMMYFUNCTION("""COMPUTED_VALUE"""),"JP")</f>
        <v>JP</v>
      </c>
      <c r="F152" s="36">
        <f>IFERROR(__xludf.DUMMYFUNCTION("""COMPUTED_VALUE"""),43583.0)</f>
        <v>43583</v>
      </c>
      <c r="G152" t="str">
        <f>IFERROR(__xludf.DUMMYFUNCTION("""COMPUTED_VALUE"""),"")</f>
        <v/>
      </c>
      <c r="H152" t="str">
        <f>IFERROR(__xludf.DUMMYFUNCTION("""COMPUTED_VALUE"""),"1573-0964")</f>
        <v>1573-0964</v>
      </c>
      <c r="I152" t="str">
        <f>IFERROR(__xludf.DUMMYFUNCTION("""COMPUTED_VALUE"""),"Synthese")</f>
        <v>Synthese</v>
      </c>
      <c r="J152" t="str">
        <f>IFERROR(__xludf.DUMMYFUNCTION("""COMPUTED_VALUE"""),"Humanities, Literature &amp; Arts")</f>
        <v>Humanities, Literature &amp; Arts</v>
      </c>
      <c r="K152" t="str">
        <f>IFERROR(__xludf.DUMMYFUNCTION("""COMPUTED_VALUE"""),"Springer")</f>
        <v>Springer</v>
      </c>
      <c r="L152" t="str">
        <f>IFERROR(__xludf.DUMMYFUNCTION("""COMPUTED_VALUE"""),"Double blind")</f>
        <v>Double blind</v>
      </c>
      <c r="M152" s="78" t="str">
        <f>IFERROR(__xludf.DUMMYFUNCTION("""COMPUTED_VALUE"""),"https://www.springer.com/philosophy/epistemology+and+philosophy+of+science/journal/11229")</f>
        <v>https://www.springer.com/philosophy/epistemology+and+philosophy+of+science/journal/11229</v>
      </c>
      <c r="N152" t="str">
        <f>IFERROR(__xludf.DUMMYFUNCTION("""COMPUTED_VALUE"""),"")</f>
        <v/>
      </c>
      <c r="O152" t="str">
        <f>IFERROR(__xludf.DUMMYFUNCTION("""COMPUTED_VALUE"""),"")</f>
        <v/>
      </c>
      <c r="P152" t="str">
        <f>IFERROR(__xludf.DUMMYFUNCTION("""COMPUTED_VALUE"""),"Unsure")</f>
        <v>Unsure</v>
      </c>
      <c r="Q152" t="str">
        <f>IFERROR(__xludf.DUMMYFUNCTION("""COMPUTED_VALUE"""),"")</f>
        <v/>
      </c>
      <c r="R152" t="str">
        <f>IFERROR(__xludf.DUMMYFUNCTION("""COMPUTED_VALUE"""),"")</f>
        <v/>
      </c>
      <c r="S152" t="str">
        <f>IFERROR(__xludf.DUMMYFUNCTION("""COMPUTED_VALUE"""),"Not specified")</f>
        <v>Not specified</v>
      </c>
      <c r="T152" t="str">
        <f>IFERROR(__xludf.DUMMYFUNCTION("""COMPUTED_VALUE"""),"Not specified")</f>
        <v>Not specified</v>
      </c>
      <c r="U152" t="str">
        <f>IFERROR(__xludf.DUMMYFUNCTION("""COMPUTED_VALUE"""),"Not specified")</f>
        <v>Not specified</v>
      </c>
      <c r="V152" t="str">
        <f>IFERROR(__xludf.DUMMYFUNCTION("""COMPUTED_VALUE"""),"Not specified")</f>
        <v>Not specified</v>
      </c>
      <c r="W152" t="str">
        <f>IFERROR(__xludf.DUMMYFUNCTION("""COMPUTED_VALUE"""),"Not specified")</f>
        <v>Not specified</v>
      </c>
      <c r="X152" t="str">
        <f>IFERROR(__xludf.DUMMYFUNCTION("""COMPUTED_VALUE"""),"Not specified")</f>
        <v>Not specified</v>
      </c>
      <c r="Y152" t="str">
        <f>IFERROR(__xludf.DUMMYFUNCTION("""COMPUTED_VALUE"""),"Not specified")</f>
        <v>Not specified</v>
      </c>
      <c r="Z152" t="str">
        <f>IFERROR(__xludf.DUMMYFUNCTION("""COMPUTED_VALUE"""),"Not specified")</f>
        <v>Not specified</v>
      </c>
      <c r="AA152" t="str">
        <f>IFERROR(__xludf.DUMMYFUNCTION("""COMPUTED_VALUE"""),"Not specified")</f>
        <v>Not specified</v>
      </c>
      <c r="AB152" t="str">
        <f>IFERROR(__xludf.DUMMYFUNCTION("""COMPUTED_VALUE"""),"")</f>
        <v/>
      </c>
      <c r="AC152" t="str">
        <f>IFERROR(__xludf.DUMMYFUNCTION("""COMPUTED_VALUE"""),"")</f>
        <v/>
      </c>
      <c r="AD152" t="str">
        <f>IFERROR(__xludf.DUMMYFUNCTION("""COMPUTED_VALUE"""),"Unsure")</f>
        <v>Unsure</v>
      </c>
      <c r="AE152" t="str">
        <f>IFERROR(__xludf.DUMMYFUNCTION("""COMPUTED_VALUE"""),"Unsure")</f>
        <v>Unsure</v>
      </c>
      <c r="AF152" t="str">
        <f>IFERROR(__xludf.DUMMYFUNCTION("""COMPUTED_VALUE"""),"Unsure")</f>
        <v>Unsure</v>
      </c>
      <c r="AG152" s="78" t="str">
        <f>IFERROR(__xludf.DUMMYFUNCTION("""COMPUTED_VALUE"""),"https://www.springer.com/philosophy/epistemology+and+philosophy+of+science/journal/11229")</f>
        <v>https://www.springer.com/philosophy/epistemology+and+philosophy+of+science/journal/11229</v>
      </c>
      <c r="AH152" t="str">
        <f>IFERROR(__xludf.DUMMYFUNCTION("""COMPUTED_VALUE"""),"No preprint policy")</f>
        <v>No preprint policy</v>
      </c>
      <c r="AI152" t="str">
        <f>IFERROR(__xludf.DUMMYFUNCTION("""COMPUTED_VALUE"""),"Submission of a manuscript implies: that the work described has not been published before; that it is not under consideration for publication anywhere else; that its publication has been approved by all co-authors, if any, as well as by the responsible au"&amp;"thorities – tacitly or explicitly – at the institute where the work has been carried out. The publisher will not be held legally responsible should there be any claims for compensation.")</f>
        <v>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v>
      </c>
      <c r="AJ152" t="str">
        <f>IFERROR(__xludf.DUMMYFUNCTION("""COMPUTED_VALUE"""),"Not specified")</f>
        <v>Not specified</v>
      </c>
      <c r="AK152" t="str">
        <f>IFERROR(__xludf.DUMMYFUNCTION("""COMPUTED_VALUE"""),"Unsure")</f>
        <v>Unsure</v>
      </c>
      <c r="AL152" t="str">
        <f>IFERROR(__xludf.DUMMYFUNCTION("""COMPUTED_VALUE"""),"")</f>
        <v/>
      </c>
      <c r="AM152" t="str">
        <f>IFERROR(__xludf.DUMMYFUNCTION("""COMPUTED_VALUE"""),"")</f>
        <v/>
      </c>
      <c r="AN152" t="str">
        <f>IFERROR(__xludf.DUMMYFUNCTION("""COMPUTED_VALUE"""),"")</f>
        <v/>
      </c>
      <c r="AO152" t="str">
        <f>IFERROR(__xludf.DUMMYFUNCTION("""COMPUTED_VALUE"""),"")</f>
        <v/>
      </c>
      <c r="AP152" t="str">
        <f>IFERROR(__xludf.DUMMYFUNCTION("""COMPUTED_VALUE"""),"")</f>
        <v/>
      </c>
      <c r="AQ152" s="554" t="str">
        <f>IFERROR(__xludf.DUMMYFUNCTION("""COMPUTED_VALUE"""),"")</f>
        <v/>
      </c>
      <c r="AR152" t="str">
        <f>IFERROR(__xludf.DUMMYFUNCTION("""COMPUTED_VALUE"""),"")</f>
        <v/>
      </c>
    </row>
    <row r="153">
      <c r="A153" t="str">
        <f>IFERROR(__xludf.DUMMYFUNCTION("""COMPUTED_VALUE"""),"JKP")</f>
        <v>JKP</v>
      </c>
      <c r="B153" s="34">
        <f>IFERROR(__xludf.DUMMYFUNCTION("""COMPUTED_VALUE"""),43472.0)</f>
        <v>43472</v>
      </c>
      <c r="C153" t="str">
        <f>IFERROR(__xludf.DUMMYFUNCTION("""COMPUTED_VALUE"""),"GMD")</f>
        <v>GMD</v>
      </c>
      <c r="D153" s="36">
        <f>IFERROR(__xludf.DUMMYFUNCTION("""COMPUTED_VALUE"""),43579.0)</f>
        <v>43579</v>
      </c>
      <c r="E153" t="str">
        <f>IFERROR(__xludf.DUMMYFUNCTION("""COMPUTED_VALUE"""),"JP")</f>
        <v>JP</v>
      </c>
      <c r="F153" s="36">
        <f>IFERROR(__xludf.DUMMYFUNCTION("""COMPUTED_VALUE"""),43583.0)</f>
        <v>43583</v>
      </c>
      <c r="G153" t="str">
        <f>IFERROR(__xludf.DUMMYFUNCTION("""COMPUTED_VALUE"""),"")</f>
        <v/>
      </c>
      <c r="H153" t="str">
        <f>IFERROR(__xludf.DUMMYFUNCTION("""COMPUTED_VALUE"""),"0346-251X")</f>
        <v>0346-251X</v>
      </c>
      <c r="I153" t="str">
        <f>IFERROR(__xludf.DUMMYFUNCTION("""COMPUTED_VALUE"""),"System")</f>
        <v>System</v>
      </c>
      <c r="J153" t="str">
        <f>IFERROR(__xludf.DUMMYFUNCTION("""COMPUTED_VALUE"""),"Humanities, Literature &amp; Arts")</f>
        <v>Humanities, Literature &amp; Arts</v>
      </c>
      <c r="K153" t="str">
        <f>IFERROR(__xludf.DUMMYFUNCTION("""COMPUTED_VALUE"""),"Elsevier")</f>
        <v>Elsevier</v>
      </c>
      <c r="L153" t="str">
        <f>IFERROR(__xludf.DUMMYFUNCTION("""COMPUTED_VALUE"""),"Double blind")</f>
        <v>Double blind</v>
      </c>
      <c r="M153" s="78" t="str">
        <f>IFERROR(__xludf.DUMMYFUNCTION("""COMPUTED_VALUE"""),"https://www.journals.elsevier.com/system")</f>
        <v>https://www.journals.elsevier.com/system</v>
      </c>
      <c r="N153" t="str">
        <f>IFERROR(__xludf.DUMMYFUNCTION("""COMPUTED_VALUE"""),"")</f>
        <v/>
      </c>
      <c r="O153" s="78" t="str">
        <f>IFERROR(__xludf.DUMMYFUNCTION("""COMPUTED_VALUE"""),"https://www.elsevier.com/reviewers/role#recognizing ")</f>
        <v>https://www.elsevier.com/reviewers/role#recognizing </v>
      </c>
      <c r="P153" t="str">
        <f>IFERROR(__xludf.DUMMYFUNCTION("""COMPUTED_VALUE"""),"Unsure: Peer Reviewer activity IS deposited into a database by Elsevier, but it is NOT open. This applies across the Elsevier platform. ")</f>
        <v>Unsure: Peer Reviewer activity IS deposited into a database by Elsevier, but it is NOT open. This applies across the Elsevier platform. </v>
      </c>
      <c r="Q153" t="str">
        <f>IFERROR(__xludf.DUMMYFUNCTION("""COMPUTED_VALUE"""),"Heliyon Partner Journal
 This journal has partnered with Heliyon, an open access journal from Elsevier publishing quality peer reviewed research across all disciplines. Heliyon’s team of experts provides editorial excellence, fast publication, and high vi"&amp;"sibility for your paper. Authors can quickly and easily transfer their research from a Partner Journal to Heliyon without the need to edit, reformat or resubmit. Article transfer service 
 This journal is part of our Article Transfer Service. This means t"&amp;"hat if the Editor feels your article is more suitable in one of our other participating journals, then you may be asked to consider transferring the article to one of those. If you agree, your article will be transferred automatically on your behalf with "&amp;"no need to reformat. Please note that your article will be reviewed again by the new journal. More information.")</f>
        <v>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3" t="str">
        <f>IFERROR(__xludf.DUMMYFUNCTION("""COMPUTED_VALUE"""),"")</f>
        <v/>
      </c>
      <c r="S153" t="str">
        <f>IFERROR(__xludf.DUMMYFUNCTION("""COMPUTED_VALUE"""),"Not specified")</f>
        <v>Not specified</v>
      </c>
      <c r="T153" t="str">
        <f>IFERROR(__xludf.DUMMYFUNCTION("""COMPUTED_VALUE"""),"Not specified")</f>
        <v>Not specified</v>
      </c>
      <c r="U153" t="str">
        <f>IFERROR(__xludf.DUMMYFUNCTION("""COMPUTED_VALUE"""),"Not specified")</f>
        <v>Not specified</v>
      </c>
      <c r="V153" t="str">
        <f>IFERROR(__xludf.DUMMYFUNCTION("""COMPUTED_VALUE"""),"Not specified")</f>
        <v>Not specified</v>
      </c>
      <c r="W153" t="str">
        <f>IFERROR(__xludf.DUMMYFUNCTION("""COMPUTED_VALUE"""),"Not specified")</f>
        <v>Not specified</v>
      </c>
      <c r="X153" t="str">
        <f>IFERROR(__xludf.DUMMYFUNCTION("""COMPUTED_VALUE"""),"Not specified")</f>
        <v>Not specified</v>
      </c>
      <c r="Y153" t="str">
        <f>IFERROR(__xludf.DUMMYFUNCTION("""COMPUTED_VALUE"""),"Not specified")</f>
        <v>Not specified</v>
      </c>
      <c r="Z153" t="str">
        <f>IFERROR(__xludf.DUMMYFUNCTION("""COMPUTED_VALUE"""),"Not specified")</f>
        <v>Not specified</v>
      </c>
      <c r="AA153" t="str">
        <f>IFERROR(__xludf.DUMMYFUNCTION("""COMPUTED_VALUE"""),"Not specified")</f>
        <v>Not specified</v>
      </c>
      <c r="AB153" t="str">
        <f>IFERROR(__xludf.DUMMYFUNCTION("""COMPUTED_VALUE"""),"")</f>
        <v/>
      </c>
      <c r="AC153" t="str">
        <f>IFERROR(__xludf.DUMMYFUNCTION("""COMPUTED_VALUE"""),"")</f>
        <v/>
      </c>
      <c r="AD153" t="str">
        <f>IFERROR(__xludf.DUMMYFUNCTION("""COMPUTED_VALUE"""),"Unsure")</f>
        <v>Unsure</v>
      </c>
      <c r="AE153" t="str">
        <f>IFERROR(__xludf.DUMMYFUNCTION("""COMPUTED_VALUE"""),"Unsure")</f>
        <v>Unsure</v>
      </c>
      <c r="AF153" t="str">
        <f>IFERROR(__xludf.DUMMYFUNCTION("""COMPUTED_VALUE"""),"Unsure")</f>
        <v>Unsure</v>
      </c>
      <c r="AG153" t="str">
        <f>IFERROR(__xludf.DUMMYFUNCTION("""COMPUTED_VALUE"""),"")</f>
        <v/>
      </c>
      <c r="AH153" t="str">
        <f>IFERROR(__xludf.DUMMYFUNCTION("""COMPUTED_VALUE"""),"No preprint policy")</f>
        <v>No preprint policy</v>
      </c>
      <c r="AI153" t="str">
        <f>IFERROR(__xludf.DUMMYFUNCTION("""COMPUTED_VALUE"""),"")</f>
        <v/>
      </c>
      <c r="AJ153" t="str">
        <f>IFERROR(__xludf.DUMMYFUNCTION("""COMPUTED_VALUE"""),"Not specified")</f>
        <v>Not specified</v>
      </c>
      <c r="AK153" t="str">
        <f>IFERROR(__xludf.DUMMYFUNCTION("""COMPUTED_VALUE"""),"Unsure")</f>
        <v>Unsure</v>
      </c>
      <c r="AL153" t="str">
        <f>IFERROR(__xludf.DUMMYFUNCTION("""COMPUTED_VALUE"""),"")</f>
        <v/>
      </c>
      <c r="AM153" t="str">
        <f>IFERROR(__xludf.DUMMYFUNCTION("""COMPUTED_VALUE"""),"")</f>
        <v/>
      </c>
      <c r="AN153" t="str">
        <f>IFERROR(__xludf.DUMMYFUNCTION("""COMPUTED_VALUE"""),"")</f>
        <v/>
      </c>
      <c r="AO153" t="str">
        <f>IFERROR(__xludf.DUMMYFUNCTION("""COMPUTED_VALUE"""),"")</f>
        <v/>
      </c>
      <c r="AP153" t="str">
        <f>IFERROR(__xludf.DUMMYFUNCTION("""COMPUTED_VALUE"""),"")</f>
        <v/>
      </c>
      <c r="AQ153" s="554" t="str">
        <f>IFERROR(__xludf.DUMMYFUNCTION("""COMPUTED_VALUE"""),"")</f>
        <v/>
      </c>
      <c r="AR153" t="str">
        <f>IFERROR(__xludf.DUMMYFUNCTION("""COMPUTED_VALUE"""),"")</f>
        <v/>
      </c>
    </row>
    <row r="154">
      <c r="A154" t="str">
        <f>IFERROR(__xludf.DUMMYFUNCTION("""COMPUTED_VALUE"""),"JKP")</f>
        <v>JKP</v>
      </c>
      <c r="B154" s="34">
        <f>IFERROR(__xludf.DUMMYFUNCTION("""COMPUTED_VALUE"""),43472.0)</f>
        <v>43472</v>
      </c>
      <c r="C154" t="str">
        <f>IFERROR(__xludf.DUMMYFUNCTION("""COMPUTED_VALUE"""),"TRH")</f>
        <v>TRH</v>
      </c>
      <c r="D154" s="36">
        <f>IFERROR(__xludf.DUMMYFUNCTION("""COMPUTED_VALUE"""),43575.0)</f>
        <v>43575</v>
      </c>
      <c r="E154" t="str">
        <f>IFERROR(__xludf.DUMMYFUNCTION("""COMPUTED_VALUE"""),"JP")</f>
        <v>JP</v>
      </c>
      <c r="F154" s="36">
        <f>IFERROR(__xludf.DUMMYFUNCTION("""COMPUTED_VALUE"""),43581.0)</f>
        <v>43581</v>
      </c>
      <c r="G154" t="str">
        <f>IFERROR(__xludf.DUMMYFUNCTION("""COMPUTED_VALUE"""),"")</f>
        <v/>
      </c>
      <c r="H154" t="str">
        <f>IFERROR(__xludf.DUMMYFUNCTION("""COMPUTED_VALUE"""),"0742-051X")</f>
        <v>0742-051X</v>
      </c>
      <c r="I154" t="str">
        <f>IFERROR(__xludf.DUMMYFUNCTION("""COMPUTED_VALUE"""),"Teaching and Teacher Education")</f>
        <v>Teaching and Teacher Education</v>
      </c>
      <c r="J154" t="str">
        <f>IFERROR(__xludf.DUMMYFUNCTION("""COMPUTED_VALUE"""),"Social Sciences")</f>
        <v>Social Sciences</v>
      </c>
      <c r="K154" t="str">
        <f>IFERROR(__xludf.DUMMYFUNCTION("""COMPUTED_VALUE"""),"Elsevier")</f>
        <v>Elsevier</v>
      </c>
      <c r="L154" t="str">
        <f>IFERROR(__xludf.DUMMYFUNCTION("""COMPUTED_VALUE"""),"Double blind")</f>
        <v>Double blind</v>
      </c>
      <c r="M154" s="78" t="str">
        <f>IFERROR(__xludf.DUMMYFUNCTION("""COMPUTED_VALUE"""),"https://www.elsevier.com/journals/teaching-and-teacher-education/0742-051x/guide-for-authors")</f>
        <v>https://www.elsevier.com/journals/teaching-and-teacher-education/0742-051x/guide-for-authors</v>
      </c>
      <c r="N154" t="str">
        <f>IFERROR(__xludf.DUMMYFUNCTION("""COMPUTED_VALUE"""),"")</f>
        <v/>
      </c>
      <c r="O154" t="str">
        <f>IFERROR(__xludf.DUMMYFUNCTION("""COMPUTED_VALUE"""),"")</f>
        <v/>
      </c>
      <c r="P154" t="str">
        <f>IFERROR(__xludf.DUMMYFUNCTION("""COMPUTED_VALUE"""),"Unsure")</f>
        <v>Unsure</v>
      </c>
      <c r="Q154" t="str">
        <f>IFERROR(__xludf.DUMMYFUNCTION("""COMPUTED_VALUE"""),"Internal transfer: ""Article transfer service This journal is part of our Article Transfer Service. This means that if the Editor feels your article is more suitable in one of our other participating journals, then you may be asked to consider transferrin"&amp;"g the article to one of those. If you agree, your article will be transferred automatically on your behalf with no need to reformat. Please note that your article will be reviewed again by the new journal. More information""")</f>
        <v>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4" s="78" t="str">
        <f>IFERROR(__xludf.DUMMYFUNCTION("""COMPUTED_VALUE"""),"https://www.elsevier.com/journals/teaching-and-teacher-education/0742-051x/guide-for-authors")</f>
        <v>https://www.elsevier.com/journals/teaching-and-teacher-education/0742-051x/guide-for-authors</v>
      </c>
      <c r="S154" t="str">
        <f>IFERROR(__xludf.DUMMYFUNCTION("""COMPUTED_VALUE"""),"Not specified")</f>
        <v>Not specified</v>
      </c>
      <c r="T154" t="str">
        <f>IFERROR(__xludf.DUMMYFUNCTION("""COMPUTED_VALUE"""),"Not specified")</f>
        <v>Not specified</v>
      </c>
      <c r="U154" t="str">
        <f>IFERROR(__xludf.DUMMYFUNCTION("""COMPUTED_VALUE"""),"Not specified")</f>
        <v>Not specified</v>
      </c>
      <c r="V154" t="str">
        <f>IFERROR(__xludf.DUMMYFUNCTION("""COMPUTED_VALUE"""),"Not specified")</f>
        <v>Not specified</v>
      </c>
      <c r="W154" t="str">
        <f>IFERROR(__xludf.DUMMYFUNCTION("""COMPUTED_VALUE"""),"No")</f>
        <v>No</v>
      </c>
      <c r="X154" t="str">
        <f>IFERROR(__xludf.DUMMYFUNCTION("""COMPUTED_VALUE"""),"No")</f>
        <v>No</v>
      </c>
      <c r="Y154" t="str">
        <f>IFERROR(__xludf.DUMMYFUNCTION("""COMPUTED_VALUE"""),"Not specified")</f>
        <v>Not specified</v>
      </c>
      <c r="Z154" t="str">
        <f>IFERROR(__xludf.DUMMYFUNCTION("""COMPUTED_VALUE"""),"Not specified")</f>
        <v>Not specified</v>
      </c>
      <c r="AA154" t="str">
        <f>IFERROR(__xludf.DUMMYFUNCTION("""COMPUTED_VALUE"""),"")</f>
        <v/>
      </c>
      <c r="AB154" t="str">
        <f>IFERROR(__xludf.DUMMYFUNCTION("""COMPUTED_VALUE"""),"")</f>
        <v/>
      </c>
      <c r="AC154" t="str">
        <f>IFERROR(__xludf.DUMMYFUNCTION("""COMPUTED_VALUE"""),"")</f>
        <v/>
      </c>
      <c r="AD154" t="str">
        <f>IFERROR(__xludf.DUMMYFUNCTION("""COMPUTED_VALUE"""),"Unsure")</f>
        <v>Unsure</v>
      </c>
      <c r="AE154" t="str">
        <f>IFERROR(__xludf.DUMMYFUNCTION("""COMPUTED_VALUE"""),"Unsure")</f>
        <v>Unsure</v>
      </c>
      <c r="AF154" t="str">
        <f>IFERROR(__xludf.DUMMYFUNCTION("""COMPUTED_VALUE"""),"Unsure")</f>
        <v>Unsure</v>
      </c>
      <c r="AG154" t="str">
        <f>IFERROR(__xludf.DUMMYFUNCTION("""COMPUTED_VALUE"""),"https://www.elsevier.com/journals/teaching-and-teacher-education/0742-051x/guide-for-authors, https://www.elsevier.com/about/policies/sharing/preprint")</f>
        <v>https://www.elsevier.com/journals/teaching-and-teacher-education/0742-051x/guide-for-authors, https://www.elsevier.com/about/policies/sharing/preprint</v>
      </c>
      <c r="AH154" t="str">
        <f>IFERROR(__xludf.DUMMYFUNCTION("""COMPUTED_VALUE"""),"First submission only")</f>
        <v>First submission only</v>
      </c>
      <c r="AI154" t="str">
        <f>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4" t="str">
        <f>IFERROR(__xludf.DUMMYFUNCTION("""COMPUTED_VALUE"""),"Not specified")</f>
        <v>Not specified</v>
      </c>
      <c r="AK154" t="str">
        <f>IFERROR(__xludf.DUMMYFUNCTION("""COMPUTED_VALUE"""),"Unsure")</f>
        <v>Unsure</v>
      </c>
      <c r="AL154" t="str">
        <f>IFERROR(__xludf.DUMMYFUNCTION("""COMPUTED_VALUE"""),"")</f>
        <v/>
      </c>
      <c r="AM154" t="str">
        <f>IFERROR(__xludf.DUMMYFUNCTION("""COMPUTED_VALUE"""),"")</f>
        <v/>
      </c>
      <c r="AN154" t="str">
        <f>IFERROR(__xludf.DUMMYFUNCTION("""COMPUTED_VALUE"""),"")</f>
        <v/>
      </c>
      <c r="AO154" t="str">
        <f>IFERROR(__xludf.DUMMYFUNCTION("""COMPUTED_VALUE"""),"")</f>
        <v/>
      </c>
      <c r="AP154" t="str">
        <f>IFERROR(__xludf.DUMMYFUNCTION("""COMPUTED_VALUE"""),"")</f>
        <v/>
      </c>
      <c r="AQ154" s="554" t="str">
        <f>IFERROR(__xludf.DUMMYFUNCTION("""COMPUTED_VALUE"""),"")</f>
        <v/>
      </c>
      <c r="AR154" t="str">
        <f>IFERROR(__xludf.DUMMYFUNCTION("""COMPUTED_VALUE"""),"")</f>
        <v/>
      </c>
    </row>
    <row r="155">
      <c r="A155" t="str">
        <f>IFERROR(__xludf.DUMMYFUNCTION("""COMPUTED_VALUE"""),"JKP")</f>
        <v>JKP</v>
      </c>
      <c r="B155" s="34">
        <f>IFERROR(__xludf.DUMMYFUNCTION("""COMPUTED_VALUE"""),43472.0)</f>
        <v>43472</v>
      </c>
      <c r="C155" t="str">
        <f>IFERROR(__xludf.DUMMYFUNCTION("""COMPUTED_VALUE"""),"TRH")</f>
        <v>TRH</v>
      </c>
      <c r="D155" s="36">
        <f>IFERROR(__xludf.DUMMYFUNCTION("""COMPUTED_VALUE"""),43575.0)</f>
        <v>43575</v>
      </c>
      <c r="E155" t="str">
        <f>IFERROR(__xludf.DUMMYFUNCTION("""COMPUTED_VALUE"""),"JP")</f>
        <v>JP</v>
      </c>
      <c r="F155" s="36">
        <f>IFERROR(__xludf.DUMMYFUNCTION("""COMPUTED_VALUE"""),43581.0)</f>
        <v>43581</v>
      </c>
      <c r="G155" t="str">
        <f>IFERROR(__xludf.DUMMYFUNCTION("""COMPUTED_VALUE"""),"")</f>
        <v/>
      </c>
      <c r="H155" t="str">
        <f>IFERROR(__xludf.DUMMYFUNCTION("""COMPUTED_VALUE"""),"1545-7249")</f>
        <v>1545-7249</v>
      </c>
      <c r="I155" t="str">
        <f>IFERROR(__xludf.DUMMYFUNCTION("""COMPUTED_VALUE"""),"TESOL Quarterly")</f>
        <v>TESOL Quarterly</v>
      </c>
      <c r="J155" t="str">
        <f>IFERROR(__xludf.DUMMYFUNCTION("""COMPUTED_VALUE"""),"Humanities, Literature &amp; Arts")</f>
        <v>Humanities, Literature &amp; Arts</v>
      </c>
      <c r="K155" t="str">
        <f>IFERROR(__xludf.DUMMYFUNCTION("""COMPUTED_VALUE"""),"Wiley, TESOL International Association")</f>
        <v>Wiley, TESOL International Association</v>
      </c>
      <c r="L155" t="str">
        <f>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M155" s="78" t="str">
        <f>IFERROR(__xludf.DUMMYFUNCTION("""COMPUTED_VALUE"""),"https://www.tesol.org/read-and-publish/journals/tesol-journal")</f>
        <v>https://www.tesol.org/read-and-publish/journals/tesol-journal</v>
      </c>
      <c r="N155" t="str">
        <f>IFERROR(__xludf.DUMMYFUNCTION("""COMPUTED_VALUE"""),"")</f>
        <v/>
      </c>
      <c r="O155" s="78" t="str">
        <f>IFERROR(__xludf.DUMMYFUNCTION("""COMPUTED_VALUE"""),"https://authorservices.wiley.com/Reviewers/journal-reviewers/recognition-for-reviewers/index.html")</f>
        <v>https://authorservices.wiley.com/Reviewers/journal-reviewers/recognition-for-reviewers/index.html</v>
      </c>
      <c r="P155" t="str">
        <f>IFERROR(__xludf.DUMMYFUNCTION("""COMPUTED_VALUE"""),"Yes")</f>
        <v>Yes</v>
      </c>
      <c r="Q155" t="str">
        <f>IFERROR(__xludf.DUMMYFUNCTION("""COMPUTED_VALUE"""),"")</f>
        <v/>
      </c>
      <c r="R155" t="str">
        <f>IFERROR(__xludf.DUMMYFUNCTION("""COMPUTED_VALUE"""),"")</f>
        <v/>
      </c>
      <c r="S155" t="str">
        <f>IFERROR(__xludf.DUMMYFUNCTION("""COMPUTED_VALUE"""),"Not specified")</f>
        <v>Not specified</v>
      </c>
      <c r="T155" t="str">
        <f>IFERROR(__xludf.DUMMYFUNCTION("""COMPUTED_VALUE"""),"Not specified")</f>
        <v>Not specified</v>
      </c>
      <c r="U155" t="str">
        <f>IFERROR(__xludf.DUMMYFUNCTION("""COMPUTED_VALUE"""),"Not specified")</f>
        <v>Not specified</v>
      </c>
      <c r="V155" t="str">
        <f>IFERROR(__xludf.DUMMYFUNCTION("""COMPUTED_VALUE"""),"Not specified")</f>
        <v>Not specified</v>
      </c>
      <c r="W155" t="str">
        <f>IFERROR(__xludf.DUMMYFUNCTION("""COMPUTED_VALUE"""),"Not specified")</f>
        <v>Not specified</v>
      </c>
      <c r="X155" t="str">
        <f>IFERROR(__xludf.DUMMYFUNCTION("""COMPUTED_VALUE"""),"Not specified")</f>
        <v>Not specified</v>
      </c>
      <c r="Y155" t="str">
        <f>IFERROR(__xludf.DUMMYFUNCTION("""COMPUTED_VALUE"""),"Not specified")</f>
        <v>Not specified</v>
      </c>
      <c r="Z155" t="str">
        <f>IFERROR(__xludf.DUMMYFUNCTION("""COMPUTED_VALUE"""),"Not specified")</f>
        <v>Not specified</v>
      </c>
      <c r="AA155" t="str">
        <f>IFERROR(__xludf.DUMMYFUNCTION("""COMPUTED_VALUE"""),"")</f>
        <v/>
      </c>
      <c r="AB155" t="str">
        <f>IFERROR(__xludf.DUMMYFUNCTION("""COMPUTED_VALUE"""),"")</f>
        <v/>
      </c>
      <c r="AC155" t="str">
        <f>IFERROR(__xludf.DUMMYFUNCTION("""COMPUTED_VALUE"""),"")</f>
        <v/>
      </c>
      <c r="AD155" t="str">
        <f>IFERROR(__xludf.DUMMYFUNCTION("""COMPUTED_VALUE"""),"Unsure")</f>
        <v>Unsure</v>
      </c>
      <c r="AE155" t="str">
        <f>IFERROR(__xludf.DUMMYFUNCTION("""COMPUTED_VALUE"""),"Unsure")</f>
        <v>Unsure</v>
      </c>
      <c r="AF155" t="str">
        <f>IFERROR(__xludf.DUMMYFUNCTION("""COMPUTED_VALUE"""),"Unsure")</f>
        <v>Unsure</v>
      </c>
      <c r="AG155" s="78" t="str">
        <f>IFERROR(__xludf.DUMMYFUNCTION("""COMPUTED_VALUE"""),"https://onlinelibrary.wiley.com/page/journal/15457249/homepage/forauthors.html")</f>
        <v>https://onlinelibrary.wiley.com/page/journal/15457249/homepage/forauthors.html</v>
      </c>
      <c r="AH155" t="str">
        <f>IFERROR(__xludf.DUMMYFUNCTION("""COMPUTED_VALUE"""),"No preprint policy")</f>
        <v>No preprint policy</v>
      </c>
      <c r="AI155" t="str">
        <f>IFERROR(__xludf.DUMMYFUNCTION("""COMPUTED_VALUE"""),"It is understood that work submitted to TQ has not been previously published or is not under consideration for publication elsewhere.")</f>
        <v>It is understood that work submitted to TQ has not been previously published or is not under consideration for publication elsewhere.</v>
      </c>
      <c r="AJ155" t="str">
        <f>IFERROR(__xludf.DUMMYFUNCTION("""COMPUTED_VALUE"""),"Unsure")</f>
        <v>Unsure</v>
      </c>
      <c r="AK155" t="str">
        <f>IFERROR(__xludf.DUMMYFUNCTION("""COMPUTED_VALUE"""),"Unsure")</f>
        <v>Unsure</v>
      </c>
      <c r="AL155" t="str">
        <f>IFERROR(__xludf.DUMMYFUNCTION("""COMPUTED_VALUE"""),"")</f>
        <v/>
      </c>
      <c r="AM155" t="str">
        <f>IFERROR(__xludf.DUMMYFUNCTION("""COMPUTED_VALUE"""),"")</f>
        <v/>
      </c>
      <c r="AN155" t="str">
        <f>IFERROR(__xludf.DUMMYFUNCTION("""COMPUTED_VALUE"""),"")</f>
        <v/>
      </c>
      <c r="AO155" t="str">
        <f>IFERROR(__xludf.DUMMYFUNCTION("""COMPUTED_VALUE"""),"")</f>
        <v/>
      </c>
      <c r="AP155" t="str">
        <f>IFERROR(__xludf.DUMMYFUNCTION("""COMPUTED_VALUE"""),"")</f>
        <v/>
      </c>
      <c r="AQ155" s="554" t="str">
        <f>IFERROR(__xludf.DUMMYFUNCTION("""COMPUTED_VALUE"""),"")</f>
        <v/>
      </c>
      <c r="AR155" t="str">
        <f>IFERROR(__xludf.DUMMYFUNCTION("""COMPUTED_VALUE"""),"")</f>
        <v/>
      </c>
    </row>
    <row r="156">
      <c r="A156" t="str">
        <f>IFERROR(__xludf.DUMMYFUNCTION("""COMPUTED_VALUE"""),"JKP")</f>
        <v>JKP</v>
      </c>
      <c r="B156" s="34">
        <f>IFERROR(__xludf.DUMMYFUNCTION("""COMPUTED_VALUE"""),43472.0)</f>
        <v>43472</v>
      </c>
      <c r="C156" t="str">
        <f>IFERROR(__xludf.DUMMYFUNCTION("""COMPUTED_VALUE"""),"TRH")</f>
        <v>TRH</v>
      </c>
      <c r="D156" s="36">
        <f>IFERROR(__xludf.DUMMYFUNCTION("""COMPUTED_VALUE"""),43575.0)</f>
        <v>43575</v>
      </c>
      <c r="E156" t="str">
        <f>IFERROR(__xludf.DUMMYFUNCTION("""COMPUTED_VALUE"""),"JP")</f>
        <v>JP</v>
      </c>
      <c r="F156" s="36">
        <f>IFERROR(__xludf.DUMMYFUNCTION("""COMPUTED_VALUE"""),43581.0)</f>
        <v>43581</v>
      </c>
      <c r="G156" t="str">
        <f>IFERROR(__xludf.DUMMYFUNCTION("""COMPUTED_VALUE"""),"")</f>
        <v/>
      </c>
      <c r="H156" t="str">
        <f>IFERROR(__xludf.DUMMYFUNCTION("""COMPUTED_VALUE"""),"1538-4357")</f>
        <v>1538-4357</v>
      </c>
      <c r="I156" t="str">
        <f>IFERROR(__xludf.DUMMYFUNCTION("""COMPUTED_VALUE"""),"The Astrophysical Journal")</f>
        <v>The Astrophysical Journal</v>
      </c>
      <c r="J156" t="str">
        <f>IFERROR(__xludf.DUMMYFUNCTION("""COMPUTED_VALUE"""),"Physics &amp; Mathematics")</f>
        <v>Physics &amp; Mathematics</v>
      </c>
      <c r="K156" t="str">
        <f>IFERROR(__xludf.DUMMYFUNCTION("""COMPUTED_VALUE"""),"IOP, American Astronomical Society")</f>
        <v>IOP, American Astronomical Society</v>
      </c>
      <c r="L156" t="str">
        <f>IFERROR(__xludf.DUMMYFUNCTION("""COMPUTED_VALUE"""),"Unsure")</f>
        <v>Unsure</v>
      </c>
      <c r="M156" t="str">
        <f>IFERROR(__xludf.DUMMYFUNCTION("""COMPUTED_VALUE"""),"")</f>
        <v/>
      </c>
      <c r="N156" t="str">
        <f>IFERROR(__xludf.DUMMYFUNCTION("""COMPUTED_VALUE"""),"")</f>
        <v/>
      </c>
      <c r="O156" t="str">
        <f>IFERROR(__xludf.DUMMYFUNCTION("""COMPUTED_VALUE"""),"")</f>
        <v/>
      </c>
      <c r="P156" t="str">
        <f>IFERROR(__xludf.DUMMYFUNCTION("""COMPUTED_VALUE"""),"Unsure")</f>
        <v>Unsure</v>
      </c>
      <c r="Q156" t="str">
        <f>IFERROR(__xludf.DUMMYFUNCTION("""COMPUTED_VALUE"""),"")</f>
        <v/>
      </c>
      <c r="R156" t="str">
        <f>IFERROR(__xludf.DUMMYFUNCTION("""COMPUTED_VALUE"""),"")</f>
        <v/>
      </c>
      <c r="S156" t="str">
        <f>IFERROR(__xludf.DUMMYFUNCTION("""COMPUTED_VALUE"""),"Not specified")</f>
        <v>Not specified</v>
      </c>
      <c r="T156" t="str">
        <f>IFERROR(__xludf.DUMMYFUNCTION("""COMPUTED_VALUE"""),"Not specified")</f>
        <v>Not specified</v>
      </c>
      <c r="U156" t="str">
        <f>IFERROR(__xludf.DUMMYFUNCTION("""COMPUTED_VALUE"""),"Not specified")</f>
        <v>Not specified</v>
      </c>
      <c r="V156" t="str">
        <f>IFERROR(__xludf.DUMMYFUNCTION("""COMPUTED_VALUE"""),"Not specified")</f>
        <v>Not specified</v>
      </c>
      <c r="W156" t="str">
        <f>IFERROR(__xludf.DUMMYFUNCTION("""COMPUTED_VALUE"""),"Not specified")</f>
        <v>Not specified</v>
      </c>
      <c r="X156" t="str">
        <f>IFERROR(__xludf.DUMMYFUNCTION("""COMPUTED_VALUE"""),"Not specified")</f>
        <v>Not specified</v>
      </c>
      <c r="Y156" t="str">
        <f>IFERROR(__xludf.DUMMYFUNCTION("""COMPUTED_VALUE"""),"Not specified")</f>
        <v>Not specified</v>
      </c>
      <c r="Z156" t="str">
        <f>IFERROR(__xludf.DUMMYFUNCTION("""COMPUTED_VALUE"""),"Not specified")</f>
        <v>Not specified</v>
      </c>
      <c r="AA156" t="str">
        <f>IFERROR(__xludf.DUMMYFUNCTION("""COMPUTED_VALUE"""),"")</f>
        <v/>
      </c>
      <c r="AB156" t="str">
        <f>IFERROR(__xludf.DUMMYFUNCTION("""COMPUTED_VALUE"""),"")</f>
        <v/>
      </c>
      <c r="AC156" t="str">
        <f>IFERROR(__xludf.DUMMYFUNCTION("""COMPUTED_VALUE"""),"")</f>
        <v/>
      </c>
      <c r="AD156" t="str">
        <f>IFERROR(__xludf.DUMMYFUNCTION("""COMPUTED_VALUE"""),"Unsure")</f>
        <v>Unsure</v>
      </c>
      <c r="AE156" t="str">
        <f>IFERROR(__xludf.DUMMYFUNCTION("""COMPUTED_VALUE"""),"Unsure")</f>
        <v>Unsure</v>
      </c>
      <c r="AF156" t="str">
        <f>IFERROR(__xludf.DUMMYFUNCTION("""COMPUTED_VALUE"""),"Unsure")</f>
        <v>Unsure</v>
      </c>
      <c r="AG156" t="str">
        <f>IFERROR(__xludf.DUMMYFUNCTION("""COMPUTED_VALUE"""),"")</f>
        <v/>
      </c>
      <c r="AH156" t="str">
        <f>IFERROR(__xludf.DUMMYFUNCTION("""COMPUTED_VALUE"""),"No preprint policy")</f>
        <v>No preprint policy</v>
      </c>
      <c r="AI156" t="str">
        <f>IFERROR(__xludf.DUMMYFUNCTION("""COMPUTED_VALUE"""),"")</f>
        <v/>
      </c>
      <c r="AJ156" t="str">
        <f>IFERROR(__xludf.DUMMYFUNCTION("""COMPUTED_VALUE"""),"Unsure")</f>
        <v>Unsure</v>
      </c>
      <c r="AK156" t="str">
        <f>IFERROR(__xludf.DUMMYFUNCTION("""COMPUTED_VALUE"""),"Unsure")</f>
        <v>Unsure</v>
      </c>
      <c r="AL156" t="str">
        <f>IFERROR(__xludf.DUMMYFUNCTION("""COMPUTED_VALUE"""),"")</f>
        <v/>
      </c>
      <c r="AM156" t="str">
        <f>IFERROR(__xludf.DUMMYFUNCTION("""COMPUTED_VALUE"""),"")</f>
        <v/>
      </c>
      <c r="AN156" t="str">
        <f>IFERROR(__xludf.DUMMYFUNCTION("""COMPUTED_VALUE"""),"")</f>
        <v/>
      </c>
      <c r="AO156" t="str">
        <f>IFERROR(__xludf.DUMMYFUNCTION("""COMPUTED_VALUE"""),"")</f>
        <v/>
      </c>
      <c r="AP156" t="str">
        <f>IFERROR(__xludf.DUMMYFUNCTION("""COMPUTED_VALUE"""),"")</f>
        <v/>
      </c>
      <c r="AQ156" s="554" t="str">
        <f>IFERROR(__xludf.DUMMYFUNCTION("""COMPUTED_VALUE"""),"")</f>
        <v/>
      </c>
      <c r="AR156" t="str">
        <f>IFERROR(__xludf.DUMMYFUNCTION("""COMPUTED_VALUE"""),"")</f>
        <v/>
      </c>
    </row>
    <row r="157">
      <c r="A157" t="str">
        <f>IFERROR(__xludf.DUMMYFUNCTION("""COMPUTED_VALUE"""),"JKP")</f>
        <v>JKP</v>
      </c>
      <c r="B157" s="34">
        <f>IFERROR(__xludf.DUMMYFUNCTION("""COMPUTED_VALUE"""),43473.0)</f>
        <v>43473</v>
      </c>
      <c r="C157" t="str">
        <f>IFERROR(__xludf.DUMMYFUNCTION("""COMPUTED_VALUE"""),"TRH")</f>
        <v>TRH</v>
      </c>
      <c r="D157" s="36">
        <f>IFERROR(__xludf.DUMMYFUNCTION("""COMPUTED_VALUE"""),43575.0)</f>
        <v>43575</v>
      </c>
      <c r="E157" t="str">
        <f>IFERROR(__xludf.DUMMYFUNCTION("""COMPUTED_VALUE"""),"JP")</f>
        <v>JP</v>
      </c>
      <c r="F157" s="36">
        <f>IFERROR(__xludf.DUMMYFUNCTION("""COMPUTED_VALUE"""),43581.0)</f>
        <v>43581</v>
      </c>
      <c r="G157" t="str">
        <f>IFERROR(__xludf.DUMMYFUNCTION("""COMPUTED_VALUE"""),"")</f>
        <v/>
      </c>
      <c r="H157" t="str">
        <f>IFERROR(__xludf.DUMMYFUNCTION("""COMPUTED_VALUE"""),"1468-2648")</f>
        <v>1468-2648</v>
      </c>
      <c r="I157" t="str">
        <f>IFERROR(__xludf.DUMMYFUNCTION("""COMPUTED_VALUE"""),"The China Quarterly")</f>
        <v>The China Quarterly</v>
      </c>
      <c r="J157" t="str">
        <f>IFERROR(__xludf.DUMMYFUNCTION("""COMPUTED_VALUE"""),"Humanities, Literature &amp; Arts")</f>
        <v>Humanities, Literature &amp; Arts</v>
      </c>
      <c r="K157" t="str">
        <f>IFERROR(__xludf.DUMMYFUNCTION("""COMPUTED_VALUE"""),"")</f>
        <v/>
      </c>
      <c r="L157" t="str">
        <f>IFERROR(__xludf.DUMMYFUNCTION("""COMPUTED_VALUE"""),"Double blind ")</f>
        <v>Double blind </v>
      </c>
      <c r="M157" t="str">
        <f>IFERROR(__xludf.DUMMYFUNCTION("""COMPUTED_VALUE"""),"No PR policy online - however PR model is mentioned in this release  https://www.cambridge.org/core/services/aop-file-manager/file/599b0ec93cc74f7313d1a5fc/Updated-CQ-statement.pdf")</f>
        <v>No PR policy online - however PR model is mentioned in this release  https://www.cambridge.org/core/services/aop-file-manager/file/599b0ec93cc74f7313d1a5fc/Updated-CQ-statement.pdf</v>
      </c>
      <c r="N157" t="str">
        <f>IFERROR(__xludf.DUMMYFUNCTION("""COMPUTED_VALUE"""),"")</f>
        <v/>
      </c>
      <c r="O157" t="str">
        <f>IFERROR(__xludf.DUMMYFUNCTION("""COMPUTED_VALUE"""),"")</f>
        <v/>
      </c>
      <c r="P157" t="str">
        <f>IFERROR(__xludf.DUMMYFUNCTION("""COMPUTED_VALUE"""),"Unsure")</f>
        <v>Unsure</v>
      </c>
      <c r="Q157" t="str">
        <f>IFERROR(__xludf.DUMMYFUNCTION("""COMPUTED_VALUE"""),"")</f>
        <v/>
      </c>
      <c r="R157" t="str">
        <f>IFERROR(__xludf.DUMMYFUNCTION("""COMPUTED_VALUE"""),"")</f>
        <v/>
      </c>
      <c r="S157" t="str">
        <f>IFERROR(__xludf.DUMMYFUNCTION("""COMPUTED_VALUE"""),"Not specified")</f>
        <v>Not specified</v>
      </c>
      <c r="T157" t="str">
        <f>IFERROR(__xludf.DUMMYFUNCTION("""COMPUTED_VALUE"""),"Not specified")</f>
        <v>Not specified</v>
      </c>
      <c r="U157" t="str">
        <f>IFERROR(__xludf.DUMMYFUNCTION("""COMPUTED_VALUE"""),"Not specified")</f>
        <v>Not specified</v>
      </c>
      <c r="V157" t="str">
        <f>IFERROR(__xludf.DUMMYFUNCTION("""COMPUTED_VALUE"""),"Not specified")</f>
        <v>Not specified</v>
      </c>
      <c r="W157" t="str">
        <f>IFERROR(__xludf.DUMMYFUNCTION("""COMPUTED_VALUE"""),"Not specified")</f>
        <v>Not specified</v>
      </c>
      <c r="X157" t="str">
        <f>IFERROR(__xludf.DUMMYFUNCTION("""COMPUTED_VALUE"""),"Not specified")</f>
        <v>Not specified</v>
      </c>
      <c r="Y157" t="str">
        <f>IFERROR(__xludf.DUMMYFUNCTION("""COMPUTED_VALUE"""),"Not specified")</f>
        <v>Not specified</v>
      </c>
      <c r="Z157" t="str">
        <f>IFERROR(__xludf.DUMMYFUNCTION("""COMPUTED_VALUE"""),"Not specified")</f>
        <v>Not specified</v>
      </c>
      <c r="AA157" t="str">
        <f>IFERROR(__xludf.DUMMYFUNCTION("""COMPUTED_VALUE"""),"")</f>
        <v/>
      </c>
      <c r="AB157" t="str">
        <f>IFERROR(__xludf.DUMMYFUNCTION("""COMPUTED_VALUE"""),"")</f>
        <v/>
      </c>
      <c r="AC157" t="str">
        <f>IFERROR(__xludf.DUMMYFUNCTION("""COMPUTED_VALUE"""),"")</f>
        <v/>
      </c>
      <c r="AD157" t="str">
        <f>IFERROR(__xludf.DUMMYFUNCTION("""COMPUTED_VALUE"""),"Unsure")</f>
        <v>Unsure</v>
      </c>
      <c r="AE157" t="str">
        <f>IFERROR(__xludf.DUMMYFUNCTION("""COMPUTED_VALUE"""),"Unsure")</f>
        <v>Unsure</v>
      </c>
      <c r="AF157" t="str">
        <f>IFERROR(__xludf.DUMMYFUNCTION("""COMPUTED_VALUE"""),"Unsure")</f>
        <v>Unsure</v>
      </c>
      <c r="AG157" t="str">
        <f>IFERROR(__xludf.DUMMYFUNCTION("""COMPUTED_VALUE"""),"")</f>
        <v/>
      </c>
      <c r="AH157" t="str">
        <f>IFERROR(__xludf.DUMMYFUNCTION("""COMPUTED_VALUE"""),"No preprint policy")</f>
        <v>No preprint policy</v>
      </c>
      <c r="AI157" t="str">
        <f>IFERROR(__xludf.DUMMYFUNCTION("""COMPUTED_VALUE"""),"")</f>
        <v/>
      </c>
      <c r="AJ157" t="str">
        <f>IFERROR(__xludf.DUMMYFUNCTION("""COMPUTED_VALUE"""),"Unsure")</f>
        <v>Unsure</v>
      </c>
      <c r="AK157" t="str">
        <f>IFERROR(__xludf.DUMMYFUNCTION("""COMPUTED_VALUE"""),"Unsure")</f>
        <v>Unsure</v>
      </c>
      <c r="AL157" t="str">
        <f>IFERROR(__xludf.DUMMYFUNCTION("""COMPUTED_VALUE"""),"")</f>
        <v/>
      </c>
      <c r="AM157" t="str">
        <f>IFERROR(__xludf.DUMMYFUNCTION("""COMPUTED_VALUE"""),"")</f>
        <v/>
      </c>
      <c r="AN157" t="str">
        <f>IFERROR(__xludf.DUMMYFUNCTION("""COMPUTED_VALUE"""),"")</f>
        <v/>
      </c>
      <c r="AO157" t="str">
        <f>IFERROR(__xludf.DUMMYFUNCTION("""COMPUTED_VALUE"""),"")</f>
        <v/>
      </c>
      <c r="AP157" t="str">
        <f>IFERROR(__xludf.DUMMYFUNCTION("""COMPUTED_VALUE"""),"")</f>
        <v/>
      </c>
      <c r="AQ157" s="554" t="str">
        <f>IFERROR(__xludf.DUMMYFUNCTION("""COMPUTED_VALUE"""),"")</f>
        <v/>
      </c>
      <c r="AR157" t="str">
        <f>IFERROR(__xludf.DUMMYFUNCTION("""COMPUTED_VALUE"""),"")</f>
        <v/>
      </c>
    </row>
    <row r="158">
      <c r="A158" t="str">
        <f>IFERROR(__xludf.DUMMYFUNCTION("""COMPUTED_VALUE"""),"JKP")</f>
        <v>JKP</v>
      </c>
      <c r="B158" s="34">
        <f>IFERROR(__xludf.DUMMYFUNCTION("""COMPUTED_VALUE"""),43473.0)</f>
        <v>43473</v>
      </c>
      <c r="C158" t="str">
        <f>IFERROR(__xludf.DUMMYFUNCTION("""COMPUTED_VALUE"""),"TRH")</f>
        <v>TRH</v>
      </c>
      <c r="D158" s="36">
        <f>IFERROR(__xludf.DUMMYFUNCTION("""COMPUTED_VALUE"""),43576.0)</f>
        <v>43576</v>
      </c>
      <c r="E158" t="str">
        <f>IFERROR(__xludf.DUMMYFUNCTION("""COMPUTED_VALUE"""),"JP")</f>
        <v>JP</v>
      </c>
      <c r="F158" s="36">
        <f>IFERROR(__xludf.DUMMYFUNCTION("""COMPUTED_VALUE"""),43581.0)</f>
        <v>43581</v>
      </c>
      <c r="G158" t="str">
        <f>IFERROR(__xludf.DUMMYFUNCTION("""COMPUTED_VALUE"""),"")</f>
        <v/>
      </c>
      <c r="H158" t="str">
        <f>IFERROR(__xludf.DUMMYFUNCTION("""COMPUTED_VALUE"""),"1469-493X")</f>
        <v>1469-493X</v>
      </c>
      <c r="I158" t="str">
        <f>IFERROR(__xludf.DUMMYFUNCTION("""COMPUTED_VALUE"""),"The Cochrane Database of Systematic Reviews")</f>
        <v>The Cochrane Database of Systematic Reviews</v>
      </c>
      <c r="J158" t="str">
        <f>IFERROR(__xludf.DUMMYFUNCTION("""COMPUTED_VALUE"""),"Health &amp; Medical Sciences")</f>
        <v>Health &amp; Medical Sciences</v>
      </c>
      <c r="K158" t="str">
        <f>IFERROR(__xludf.DUMMYFUNCTION("""COMPUTED_VALUE"""),"Cochrane Library")</f>
        <v>Cochrane Library</v>
      </c>
      <c r="L158" t="str">
        <f>IFERROR(__xludf.DUMMYFUNCTION("""COMPUTED_VALUE"""),"Not blinded")</f>
        <v>Not blinded</v>
      </c>
      <c r="M158" s="78" t="str">
        <f>IFERROR(__xludf.DUMMYFUNCTION("""COMPUTED_VALUE"""),"https://community.cochrane.org/editorial-and-publishing-policy-resource/cochrane-review-management/cochrane-peer-review-policy")</f>
        <v>https://community.cochrane.org/editorial-and-publishing-policy-resource/cochrane-review-management/cochrane-peer-review-policy</v>
      </c>
      <c r="N158" t="str">
        <f>IFERROR(__xludf.DUMMYFUNCTION("""COMPUTED_VALUE"""),"")</f>
        <v/>
      </c>
      <c r="O158" t="str">
        <f>IFERROR(__xludf.DUMMYFUNCTION("""COMPUTED_VALUE"""),"Reviewers are listed online, eg: https://ari.cochrane.org/our-reviews/peer-reviewers/previous-peer-reviewers")</f>
        <v>Reviewers are listed online, eg: https://ari.cochrane.org/our-reviews/peer-reviewers/previous-peer-reviewers</v>
      </c>
      <c r="P158" t="str">
        <f>IFERROR(__xludf.DUMMYFUNCTION("""COMPUTED_VALUE"""),"Unsure")</f>
        <v>Unsure</v>
      </c>
      <c r="Q158" t="str">
        <f>IFERROR(__xludf.DUMMYFUNCTION("""COMPUTED_VALUE"""),"")</f>
        <v/>
      </c>
      <c r="R158" t="str">
        <f>IFERROR(__xludf.DUMMYFUNCTION("""COMPUTED_VALUE"""),"")</f>
        <v/>
      </c>
      <c r="S158" t="str">
        <f>IFERROR(__xludf.DUMMYFUNCTION("""COMPUTED_VALUE"""),"No")</f>
        <v>No</v>
      </c>
      <c r="T158" t="str">
        <f>IFERROR(__xludf.DUMMYFUNCTION("""COMPUTED_VALUE"""),"No")</f>
        <v>No</v>
      </c>
      <c r="U158" t="str">
        <f>IFERROR(__xludf.DUMMYFUNCTION("""COMPUTED_VALUE"""),"No")</f>
        <v>No</v>
      </c>
      <c r="V158" t="str">
        <f>IFERROR(__xludf.DUMMYFUNCTION("""COMPUTED_VALUE"""),"No")</f>
        <v>No</v>
      </c>
      <c r="W158" t="str">
        <f>IFERROR(__xludf.DUMMYFUNCTION("""COMPUTED_VALUE"""),"No")</f>
        <v>No</v>
      </c>
      <c r="X158" t="str">
        <f>IFERROR(__xludf.DUMMYFUNCTION("""COMPUTED_VALUE"""),"Mandatory")</f>
        <v>Mandatory</v>
      </c>
      <c r="Y158" t="str">
        <f>IFERROR(__xludf.DUMMYFUNCTION("""COMPUTED_VALUE"""),"No")</f>
        <v>No</v>
      </c>
      <c r="Z158" t="str">
        <f>IFERROR(__xludf.DUMMYFUNCTION("""COMPUTED_VALUE"""),"No")</f>
        <v>No</v>
      </c>
      <c r="AA158" t="str">
        <f>IFERROR(__xludf.DUMMYFUNCTION("""COMPUTED_VALUE"""),"All reviewers active in a single year are are listed online: https://community.cochrane.org/editorial-and-publishing-policy-resource/cochrane-review-management/cochrane-peer-review-policy")</f>
        <v>All reviewers active in a single year are are listed online: https://community.cochrane.org/editorial-and-publishing-policy-resource/cochrane-review-management/cochrane-peer-review-policy</v>
      </c>
      <c r="AB158" t="str">
        <f>IFERROR(__xludf.DUMMYFUNCTION("""COMPUTED_VALUE"""),"")</f>
        <v/>
      </c>
      <c r="AC158" t="str">
        <f>IFERROR(__xludf.DUMMYFUNCTION("""COMPUTED_VALUE"""),"")</f>
        <v/>
      </c>
      <c r="AD158" t="str">
        <f>IFERROR(__xludf.DUMMYFUNCTION("""COMPUTED_VALUE"""),"Unsure")</f>
        <v>Unsure</v>
      </c>
      <c r="AE158" t="str">
        <f>IFERROR(__xludf.DUMMYFUNCTION("""COMPUTED_VALUE"""),"Unsure")</f>
        <v>Unsure</v>
      </c>
      <c r="AF158" t="str">
        <f>IFERROR(__xludf.DUMMYFUNCTION("""COMPUTED_VALUE"""),"Unsure")</f>
        <v>Unsure</v>
      </c>
      <c r="AG158" s="78" t="str">
        <f>IFERROR(__xludf.DUMMYFUNCTION("""COMPUTED_VALUE"""),"http://ideas.cochrane.org/forums/326856-cochrane-style-manual/suggestions/18762079-referencing-preprints")</f>
        <v>http://ideas.cochrane.org/forums/326856-cochrane-style-manual/suggestions/18762079-referencing-preprints</v>
      </c>
      <c r="AH158" t="str">
        <f>IFERROR(__xludf.DUMMYFUNCTION("""COMPUTED_VALUE"""),"No preprint policy")</f>
        <v>No preprint policy</v>
      </c>
      <c r="AI158" t="str">
        <f>IFERROR(__xludf.DUMMYFUNCTION("""COMPUTED_VALUE"""),"")</f>
        <v/>
      </c>
      <c r="AJ158" t="str">
        <f>IFERROR(__xludf.DUMMYFUNCTION("""COMPUTED_VALUE"""),"Unsure - http://ideas.cochrane.org/forums/326856-cochrane-style-manual/suggestions/18762079-referencing-preprints")</f>
        <v>Unsure - http://ideas.cochrane.org/forums/326856-cochrane-style-manual/suggestions/18762079-referencing-preprints</v>
      </c>
      <c r="AK158" t="str">
        <f>IFERROR(__xludf.DUMMYFUNCTION("""COMPUTED_VALUE"""),"Unsure")</f>
        <v>Unsure</v>
      </c>
      <c r="AL158" t="str">
        <f>IFERROR(__xludf.DUMMYFUNCTION("""COMPUTED_VALUE"""),"")</f>
        <v/>
      </c>
      <c r="AM158" t="str">
        <f>IFERROR(__xludf.DUMMYFUNCTION("""COMPUTED_VALUE"""),"")</f>
        <v/>
      </c>
      <c r="AN158" t="str">
        <f>IFERROR(__xludf.DUMMYFUNCTION("""COMPUTED_VALUE"""),"")</f>
        <v/>
      </c>
      <c r="AO158" t="str">
        <f>IFERROR(__xludf.DUMMYFUNCTION("""COMPUTED_VALUE"""),"")</f>
        <v/>
      </c>
      <c r="AP158" t="str">
        <f>IFERROR(__xludf.DUMMYFUNCTION("""COMPUTED_VALUE"""),"")</f>
        <v/>
      </c>
      <c r="AQ158" s="554" t="str">
        <f>IFERROR(__xludf.DUMMYFUNCTION("""COMPUTED_VALUE"""),"")</f>
        <v/>
      </c>
      <c r="AR158" t="str">
        <f>IFERROR(__xludf.DUMMYFUNCTION("""COMPUTED_VALUE"""),"")</f>
        <v/>
      </c>
    </row>
    <row r="159">
      <c r="A159" t="str">
        <f>IFERROR(__xludf.DUMMYFUNCTION("""COMPUTED_VALUE"""),"JKP")</f>
        <v>JKP</v>
      </c>
      <c r="B159" s="34">
        <f>IFERROR(__xludf.DUMMYFUNCTION("""COMPUTED_VALUE"""),43473.0)</f>
        <v>43473</v>
      </c>
      <c r="C159" t="str">
        <f>IFERROR(__xludf.DUMMYFUNCTION("""COMPUTED_VALUE"""),"TRH")</f>
        <v>TRH</v>
      </c>
      <c r="D159" s="36">
        <f>IFERROR(__xludf.DUMMYFUNCTION("""COMPUTED_VALUE"""),43576.0)</f>
        <v>43576</v>
      </c>
      <c r="E159" t="str">
        <f>IFERROR(__xludf.DUMMYFUNCTION("""COMPUTED_VALUE"""),"JP")</f>
        <v>JP</v>
      </c>
      <c r="F159" s="36">
        <f>IFERROR(__xludf.DUMMYFUNCTION("""COMPUTED_VALUE"""),43581.0)</f>
        <v>43581</v>
      </c>
      <c r="G159" t="str">
        <f>IFERROR(__xludf.DUMMYFUNCTION("""COMPUTED_VALUE"""),"")</f>
        <v/>
      </c>
      <c r="H159" t="str">
        <f>IFERROR(__xludf.DUMMYFUNCTION("""COMPUTED_VALUE"""),"1434-6052")</f>
        <v>1434-6052</v>
      </c>
      <c r="I159" t="str">
        <f>IFERROR(__xludf.DUMMYFUNCTION("""COMPUTED_VALUE"""),"The European Physical Journal C")</f>
        <v>The European Physical Journal C</v>
      </c>
      <c r="J159" t="str">
        <f>IFERROR(__xludf.DUMMYFUNCTION("""COMPUTED_VALUE"""),"Physics &amp; Mathematics")</f>
        <v>Physics &amp; Mathematics</v>
      </c>
      <c r="K159" t="str">
        <f>IFERROR(__xludf.DUMMYFUNCTION("""COMPUTED_VALUE"""),"Springer")</f>
        <v>Springer</v>
      </c>
      <c r="L159" t="str">
        <f>IFERROR(__xludf.DUMMYFUNCTION("""COMPUTED_VALUE"""),"Single blind")</f>
        <v>Single blind</v>
      </c>
      <c r="M159" s="78" t="str">
        <f>IFERROR(__xludf.DUMMYFUNCTION("""COMPUTED_VALUE"""),"https://www.springer.com/physics/particle+and+nuclear+physics/journal/10052")</f>
        <v>https://www.springer.com/physics/particle+and+nuclear+physics/journal/10052</v>
      </c>
      <c r="N159" t="str">
        <f>IFERROR(__xludf.DUMMYFUNCTION("""COMPUTED_VALUE"""),"")</f>
        <v/>
      </c>
      <c r="O159" t="str">
        <f>IFERROR(__xludf.DUMMYFUNCTION("""COMPUTED_VALUE"""),"")</f>
        <v/>
      </c>
      <c r="P159" t="str">
        <f>IFERROR(__xludf.DUMMYFUNCTION("""COMPUTED_VALUE"""),"Unsure")</f>
        <v>Unsure</v>
      </c>
      <c r="Q159" t="str">
        <f>IFERROR(__xludf.DUMMYFUNCTION("""COMPUTED_VALUE"""),"")</f>
        <v/>
      </c>
      <c r="R159" t="str">
        <f>IFERROR(__xludf.DUMMYFUNCTION("""COMPUTED_VALUE"""),"")</f>
        <v/>
      </c>
      <c r="S159" t="str">
        <f>IFERROR(__xludf.DUMMYFUNCTION("""COMPUTED_VALUE"""),"Not specified")</f>
        <v>Not specified</v>
      </c>
      <c r="T159" t="str">
        <f>IFERROR(__xludf.DUMMYFUNCTION("""COMPUTED_VALUE"""),"Not specified")</f>
        <v>Not specified</v>
      </c>
      <c r="U159" t="str">
        <f>IFERROR(__xludf.DUMMYFUNCTION("""COMPUTED_VALUE"""),"Not specified")</f>
        <v>Not specified</v>
      </c>
      <c r="V159" t="str">
        <f>IFERROR(__xludf.DUMMYFUNCTION("""COMPUTED_VALUE"""),"Not specified")</f>
        <v>Not specified</v>
      </c>
      <c r="W159" t="str">
        <f>IFERROR(__xludf.DUMMYFUNCTION("""COMPUTED_VALUE"""),"Not specified")</f>
        <v>Not specified</v>
      </c>
      <c r="X159" t="str">
        <f>IFERROR(__xludf.DUMMYFUNCTION("""COMPUTED_VALUE"""),"Not specified")</f>
        <v>Not specified</v>
      </c>
      <c r="Y159" t="str">
        <f>IFERROR(__xludf.DUMMYFUNCTION("""COMPUTED_VALUE"""),"Not specified")</f>
        <v>Not specified</v>
      </c>
      <c r="Z159" t="str">
        <f>IFERROR(__xludf.DUMMYFUNCTION("""COMPUTED_VALUE"""),"Not specified")</f>
        <v>Not specified</v>
      </c>
      <c r="AA159" t="str">
        <f>IFERROR(__xludf.DUMMYFUNCTION("""COMPUTED_VALUE"""),"")</f>
        <v/>
      </c>
      <c r="AB159" t="str">
        <f>IFERROR(__xludf.DUMMYFUNCTION("""COMPUTED_VALUE"""),"")</f>
        <v/>
      </c>
      <c r="AC159" t="str">
        <f>IFERROR(__xludf.DUMMYFUNCTION("""COMPUTED_VALUE"""),"")</f>
        <v/>
      </c>
      <c r="AD159" t="str">
        <f>IFERROR(__xludf.DUMMYFUNCTION("""COMPUTED_VALUE"""),"Unsure")</f>
        <v>Unsure</v>
      </c>
      <c r="AE159" t="str">
        <f>IFERROR(__xludf.DUMMYFUNCTION("""COMPUTED_VALUE"""),"Unsure")</f>
        <v>Unsure</v>
      </c>
      <c r="AF159" t="str">
        <f>IFERROR(__xludf.DUMMYFUNCTION("""COMPUTED_VALUE"""),"Unsure")</f>
        <v>Unsure</v>
      </c>
      <c r="AG159" s="78" t="str">
        <f>IFERROR(__xludf.DUMMYFUNCTION("""COMPUTED_VALUE"""),"https://epjc.epj.org/epjc-faq#preprintservers")</f>
        <v>https://epjc.epj.org/epjc-faq#preprintservers</v>
      </c>
      <c r="AH159" t="str">
        <f>IFERROR(__xludf.DUMMYFUNCTION("""COMPUTED_VALUE"""),"Any (OA) or After peer review (non-OA)")</f>
        <v>Any (OA) or After peer review (non-OA)</v>
      </c>
      <c r="AI159" t="str">
        <f>IFERROR(__xludf.DUMMYFUNCTION("""COMPUTED_VALUE"""),"For articles to be published in EPJ this explicitly includes the relevant preprint servers, in particular ArXiv (arxiv.org).")</f>
        <v>For articles to be published in EPJ this explicitly includes the relevant preprint servers, in particular ArXiv (arxiv.org).</v>
      </c>
      <c r="AJ159" t="str">
        <f>IFERROR(__xludf.DUMMYFUNCTION("""COMPUTED_VALUE"""),"Unsure")</f>
        <v>Unsure</v>
      </c>
      <c r="AK159" t="str">
        <f>IFERROR(__xludf.DUMMYFUNCTION("""COMPUTED_VALUE"""),"Unsure")</f>
        <v>Unsure</v>
      </c>
      <c r="AL159" t="str">
        <f>IFERROR(__xludf.DUMMYFUNCTION("""COMPUTED_VALUE"""),"")</f>
        <v/>
      </c>
      <c r="AM159" t="str">
        <f>IFERROR(__xludf.DUMMYFUNCTION("""COMPUTED_VALUE"""),"")</f>
        <v/>
      </c>
      <c r="AN159" t="str">
        <f>IFERROR(__xludf.DUMMYFUNCTION("""COMPUTED_VALUE"""),"")</f>
        <v/>
      </c>
      <c r="AO159" t="str">
        <f>IFERROR(__xludf.DUMMYFUNCTION("""COMPUTED_VALUE"""),"")</f>
        <v/>
      </c>
      <c r="AP159" t="str">
        <f>IFERROR(__xludf.DUMMYFUNCTION("""COMPUTED_VALUE"""),"")</f>
        <v/>
      </c>
      <c r="AQ159" s="554" t="str">
        <f>IFERROR(__xludf.DUMMYFUNCTION("""COMPUTED_VALUE"""),"")</f>
        <v/>
      </c>
      <c r="AR159" t="str">
        <f>IFERROR(__xludf.DUMMYFUNCTION("""COMPUTED_VALUE"""),"")</f>
        <v/>
      </c>
    </row>
    <row r="160">
      <c r="A160" t="str">
        <f>IFERROR(__xludf.DUMMYFUNCTION("""COMPUTED_VALUE"""),"JKP")</f>
        <v>JKP</v>
      </c>
      <c r="B160" s="34">
        <f>IFERROR(__xludf.DUMMYFUNCTION("""COMPUTED_VALUE"""),43473.0)</f>
        <v>43473</v>
      </c>
      <c r="C160" t="str">
        <f>IFERROR(__xludf.DUMMYFUNCTION("""COMPUTED_VALUE"""),"TRH")</f>
        <v>TRH</v>
      </c>
      <c r="D160" s="36">
        <f>IFERROR(__xludf.DUMMYFUNCTION("""COMPUTED_VALUE"""),43576.0)</f>
        <v>43576</v>
      </c>
      <c r="E160" t="str">
        <f>IFERROR(__xludf.DUMMYFUNCTION("""COMPUTED_VALUE"""),"JP")</f>
        <v>JP</v>
      </c>
      <c r="F160" s="36">
        <f>IFERROR(__xludf.DUMMYFUNCTION("""COMPUTED_VALUE"""),43581.0)</f>
        <v>43581</v>
      </c>
      <c r="G160" t="str">
        <f>IFERROR(__xludf.DUMMYFUNCTION("""COMPUTED_VALUE"""),"")</f>
        <v/>
      </c>
      <c r="H160" t="str">
        <f>IFERROR(__xludf.DUMMYFUNCTION("""COMPUTED_VALUE"""),"1558-8238")</f>
        <v>1558-8238</v>
      </c>
      <c r="I160" t="str">
        <f>IFERROR(__xludf.DUMMYFUNCTION("""COMPUTED_VALUE"""),"The Journal of Clinical Investigation")</f>
        <v>The Journal of Clinical Investigation</v>
      </c>
      <c r="J160" t="str">
        <f>IFERROR(__xludf.DUMMYFUNCTION("""COMPUTED_VALUE"""),"")</f>
        <v/>
      </c>
      <c r="K160" t="str">
        <f>IFERROR(__xludf.DUMMYFUNCTION("""COMPUTED_VALUE"""),"American Society for Clinical Investigation")</f>
        <v>American Society for Clinical Investigation</v>
      </c>
      <c r="L160" t="str">
        <f>IFERROR(__xludf.DUMMYFUNCTION("""COMPUTED_VALUE"""),"Unsure")</f>
        <v>Unsure</v>
      </c>
      <c r="M160" s="78" t="str">
        <f>IFERROR(__xludf.DUMMYFUNCTION("""COMPUTED_VALUE"""),"https://www.jci.org/kiosks/authors#Editorial_Policies")</f>
        <v>https://www.jci.org/kiosks/authors#Editorial_Policies</v>
      </c>
      <c r="N160" t="str">
        <f>IFERROR(__xludf.DUMMYFUNCTION("""COMPUTED_VALUE"""),"")</f>
        <v/>
      </c>
      <c r="O160" t="str">
        <f>IFERROR(__xludf.DUMMYFUNCTION("""COMPUTED_VALUE"""),"")</f>
        <v/>
      </c>
      <c r="P160" t="str">
        <f>IFERROR(__xludf.DUMMYFUNCTION("""COMPUTED_VALUE"""),"Unsure")</f>
        <v>Unsure</v>
      </c>
      <c r="Q160" t="str">
        <f>IFERROR(__xludf.DUMMYFUNCTION("""COMPUTED_VALUE"""),"")</f>
        <v/>
      </c>
      <c r="R160" t="str">
        <f>IFERROR(__xludf.DUMMYFUNCTION("""COMPUTED_VALUE"""),"")</f>
        <v/>
      </c>
      <c r="S160" t="str">
        <f>IFERROR(__xludf.DUMMYFUNCTION("""COMPUTED_VALUE"""),"Not specified")</f>
        <v>Not specified</v>
      </c>
      <c r="T160" t="str">
        <f>IFERROR(__xludf.DUMMYFUNCTION("""COMPUTED_VALUE"""),"Not specified")</f>
        <v>Not specified</v>
      </c>
      <c r="U160" t="str">
        <f>IFERROR(__xludf.DUMMYFUNCTION("""COMPUTED_VALUE"""),"Not specified")</f>
        <v>Not specified</v>
      </c>
      <c r="V160" t="str">
        <f>IFERROR(__xludf.DUMMYFUNCTION("""COMPUTED_VALUE"""),"Not specified")</f>
        <v>Not specified</v>
      </c>
      <c r="W160" t="str">
        <f>IFERROR(__xludf.DUMMYFUNCTION("""COMPUTED_VALUE"""),"Not specified")</f>
        <v>Not specified</v>
      </c>
      <c r="X160" t="str">
        <f>IFERROR(__xludf.DUMMYFUNCTION("""COMPUTED_VALUE"""),"Not specified")</f>
        <v>Not specified</v>
      </c>
      <c r="Y160" t="str">
        <f>IFERROR(__xludf.DUMMYFUNCTION("""COMPUTED_VALUE"""),"Not specified")</f>
        <v>Not specified</v>
      </c>
      <c r="Z160" t="str">
        <f>IFERROR(__xludf.DUMMYFUNCTION("""COMPUTED_VALUE"""),"Not specified")</f>
        <v>Not specified</v>
      </c>
      <c r="AA160" t="str">
        <f>IFERROR(__xludf.DUMMYFUNCTION("""COMPUTED_VALUE"""),"")</f>
        <v/>
      </c>
      <c r="AB160" t="str">
        <f>IFERROR(__xludf.DUMMYFUNCTION("""COMPUTED_VALUE"""),"The peer-review process rests on the assumption that an assigned reviewer will treat all manuscripts as privileged information. A reviewer may request advice from another party, subject to the general principle of confidentiality and notification of the J"&amp;"CI.")</f>
        <v>The peer-review process rests on the assumption that an assigned reviewer will treat all manuscripts as privileged information. A reviewer may request advice from another party, subject to the general principle of confidentiality and notification of the JCI.</v>
      </c>
      <c r="AC160" s="78" t="str">
        <f>IFERROR(__xludf.DUMMYFUNCTION("""COMPUTED_VALUE"""),"https://www.jci.org/kiosks/authors#Editorial_Policies")</f>
        <v>https://www.jci.org/kiosks/authors#Editorial_Policies</v>
      </c>
      <c r="AD160" t="str">
        <f>IFERROR(__xludf.DUMMYFUNCTION("""COMPUTED_VALUE"""),"Unsure")</f>
        <v>Unsure</v>
      </c>
      <c r="AE160" t="str">
        <f>IFERROR(__xludf.DUMMYFUNCTION("""COMPUTED_VALUE"""),"Unsure")</f>
        <v>Unsure</v>
      </c>
      <c r="AF160" t="str">
        <f>IFERROR(__xludf.DUMMYFUNCTION("""COMPUTED_VALUE"""),"Unsure")</f>
        <v>Unsure</v>
      </c>
      <c r="AG160" s="78" t="str">
        <f>IFERROR(__xludf.DUMMYFUNCTION("""COMPUTED_VALUE"""),"https://www.jci.org/kiosks/authors#Editorial_Policies")</f>
        <v>https://www.jci.org/kiosks/authors#Editorial_Policies</v>
      </c>
      <c r="AH160" t="str">
        <f>IFERROR(__xludf.DUMMYFUNCTION("""COMPUTED_VALUE"""),"Unsure")</f>
        <v>Unsure</v>
      </c>
      <c r="AI160" t="str">
        <f>IFERROR(__xludf.DUMMYFUNCTION("""COMPUTED_VALUE"""),"The JCI will consider manuscripts that have been posted to a community preprint server; authors must disclose the preprint server and the accession number or DOI in their cover letter. At the time of publication, authors should ensure that the preprint se"&amp;"rver updates the preprint with a link to the published article, including the DOI link.")</f>
        <v>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v>
      </c>
      <c r="AJ160" t="str">
        <f>IFERROR(__xludf.DUMMYFUNCTION("""COMPUTED_VALUE"""),"Unsure")</f>
        <v>Unsure</v>
      </c>
      <c r="AK160" t="str">
        <f>IFERROR(__xludf.DUMMYFUNCTION("""COMPUTED_VALUE"""),"Unsure")</f>
        <v>Unsure</v>
      </c>
      <c r="AL160" t="str">
        <f>IFERROR(__xludf.DUMMYFUNCTION("""COMPUTED_VALUE"""),"The JCI considers the following to be prior publication and therefore unacceptable:
 any printed or online material describing the findings, methods, or results of a submitted/in-press manuscript in excess of 400 words
 any published tables or illustrat"&amp;"ions that in any way duplicate the content of another manuscript
 videotapes of professional meetings distributed to the public or the press describing data included in a manuscript submitted for publication or in press
 any interview given to members of "&amp;"the scientific or lay press describing data included in a manuscript submitted for publication or in press
 The JCI does not consider doctoral theses or dissertations to be prior publications.")</f>
        <v>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v>
      </c>
      <c r="AM160" t="str">
        <f>IFERROR(__xludf.DUMMYFUNCTION("""COMPUTED_VALUE"""),"")</f>
        <v/>
      </c>
      <c r="AN160" t="str">
        <f>IFERROR(__xludf.DUMMYFUNCTION("""COMPUTED_VALUE"""),"")</f>
        <v/>
      </c>
      <c r="AO160" t="str">
        <f>IFERROR(__xludf.DUMMYFUNCTION("""COMPUTED_VALUE"""),"")</f>
        <v/>
      </c>
      <c r="AP160" t="str">
        <f>IFERROR(__xludf.DUMMYFUNCTION("""COMPUTED_VALUE"""),"")</f>
        <v/>
      </c>
      <c r="AQ160" s="554" t="str">
        <f>IFERROR(__xludf.DUMMYFUNCTION("""COMPUTED_VALUE"""),"")</f>
        <v/>
      </c>
      <c r="AR160" t="str">
        <f>IFERROR(__xludf.DUMMYFUNCTION("""COMPUTED_VALUE"""),"")</f>
        <v/>
      </c>
    </row>
    <row r="161">
      <c r="A161" t="str">
        <f>IFERROR(__xludf.DUMMYFUNCTION("""COMPUTED_VALUE"""),"JKP")</f>
        <v>JKP</v>
      </c>
      <c r="B161" s="34">
        <f>IFERROR(__xludf.DUMMYFUNCTION("""COMPUTED_VALUE"""),43473.0)</f>
        <v>43473</v>
      </c>
      <c r="C161" t="str">
        <f>IFERROR(__xludf.DUMMYFUNCTION("""COMPUTED_VALUE"""),"TRH")</f>
        <v>TRH</v>
      </c>
      <c r="D161" s="36">
        <f>IFERROR(__xludf.DUMMYFUNCTION("""COMPUTED_VALUE"""),43576.0)</f>
        <v>43576</v>
      </c>
      <c r="E161" t="str">
        <f>IFERROR(__xludf.DUMMYFUNCTION("""COMPUTED_VALUE"""),"JP")</f>
        <v>JP</v>
      </c>
      <c r="F161" s="36">
        <f>IFERROR(__xludf.DUMMYFUNCTION("""COMPUTED_VALUE"""),43581.0)</f>
        <v>43581</v>
      </c>
      <c r="G161" t="str">
        <f>IFERROR(__xludf.DUMMYFUNCTION("""COMPUTED_VALUE"""),"")</f>
        <v/>
      </c>
      <c r="H161" t="str">
        <f>IFERROR(__xludf.DUMMYFUNCTION("""COMPUTED_VALUE"""),"1540-6261")</f>
        <v>1540-6261</v>
      </c>
      <c r="I161" t="str">
        <f>IFERROR(__xludf.DUMMYFUNCTION("""COMPUTED_VALUE"""),"The Journal of Finance")</f>
        <v>The Journal of Finance</v>
      </c>
      <c r="J161" t="str">
        <f>IFERROR(__xludf.DUMMYFUNCTION("""COMPUTED_VALUE"""),"Business, Economics &amp; Management")</f>
        <v>Business, Economics &amp; Management</v>
      </c>
      <c r="K161" t="str">
        <f>IFERROR(__xludf.DUMMYFUNCTION("""COMPUTED_VALUE"""),"Wiley &amp; American Finance Association (AFA)")</f>
        <v>Wiley &amp; American Finance Association (AFA)</v>
      </c>
      <c r="L161" t="str">
        <f>IFERROR(__xludf.DUMMYFUNCTION("""COMPUTED_VALUE"""),"Unsure")</f>
        <v>Unsure</v>
      </c>
      <c r="M161" t="str">
        <f>IFERROR(__xludf.DUMMYFUNCTION("""COMPUTED_VALUE"""),"")</f>
        <v/>
      </c>
      <c r="N161" t="str">
        <f>IFERROR(__xludf.DUMMYFUNCTION("""COMPUTED_VALUE"""),"")</f>
        <v/>
      </c>
      <c r="O161" s="78" t="str">
        <f>IFERROR(__xludf.DUMMYFUNCTION("""COMPUTED_VALUE"""),"https://authorservices.wiley.com/Reviewers/journal-reviewers/recognition-for-reviewers/index.html")</f>
        <v>https://authorservices.wiley.com/Reviewers/journal-reviewers/recognition-for-reviewers/index.html</v>
      </c>
      <c r="P161" t="str">
        <f>IFERROR(__xludf.DUMMYFUNCTION("""COMPUTED_VALUE"""),"Yes")</f>
        <v>Yes</v>
      </c>
      <c r="Q161" t="str">
        <f>IFERROR(__xludf.DUMMYFUNCTION("""COMPUTED_VALUE"""),"")</f>
        <v/>
      </c>
      <c r="R161" t="str">
        <f>IFERROR(__xludf.DUMMYFUNCTION("""COMPUTED_VALUE"""),"")</f>
        <v/>
      </c>
      <c r="S161" t="str">
        <f>IFERROR(__xludf.DUMMYFUNCTION("""COMPUTED_VALUE"""),"Not specified")</f>
        <v>Not specified</v>
      </c>
      <c r="T161" t="str">
        <f>IFERROR(__xludf.DUMMYFUNCTION("""COMPUTED_VALUE"""),"Not specified")</f>
        <v>Not specified</v>
      </c>
      <c r="U161" t="str">
        <f>IFERROR(__xludf.DUMMYFUNCTION("""COMPUTED_VALUE"""),"Not specified")</f>
        <v>Not specified</v>
      </c>
      <c r="V161" t="str">
        <f>IFERROR(__xludf.DUMMYFUNCTION("""COMPUTED_VALUE"""),"Not specified")</f>
        <v>Not specified</v>
      </c>
      <c r="W161" t="str">
        <f>IFERROR(__xludf.DUMMYFUNCTION("""COMPUTED_VALUE"""),"Not specified")</f>
        <v>Not specified</v>
      </c>
      <c r="X161" t="str">
        <f>IFERROR(__xludf.DUMMYFUNCTION("""COMPUTED_VALUE"""),"Not specified")</f>
        <v>Not specified</v>
      </c>
      <c r="Y161" t="str">
        <f>IFERROR(__xludf.DUMMYFUNCTION("""COMPUTED_VALUE"""),"Not specified")</f>
        <v>Not specified</v>
      </c>
      <c r="Z161" t="str">
        <f>IFERROR(__xludf.DUMMYFUNCTION("""COMPUTED_VALUE"""),"Not specified")</f>
        <v>Not specified</v>
      </c>
      <c r="AA161" t="str">
        <f>IFERROR(__xludf.DUMMYFUNCTION("""COMPUTED_VALUE"""),"")</f>
        <v/>
      </c>
      <c r="AB161" t="str">
        <f>IFERROR(__xludf.DUMMYFUNCTION("""COMPUTED_VALUE"""),"Supervisors who wish to involve their students or junior researchers in peer review must request permission from the editor and abide by the editor’s decision. In cases where a student performs the review under the guidance of the supervisor, that should "&amp;"be noted and the student should be acknowledged as the reviewer of record. ")</f>
        <v>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v>
      </c>
      <c r="AC161" s="78" t="str">
        <f>IFERROR(__xludf.DUMMYFUNCTION("""COMPUTED_VALUE"""),"https://authorservices.wiley.com/Reviewers/journal-reviewers/how-to-perform-a-peer-review/general-and-ethical-guidelines.html")</f>
        <v>https://authorservices.wiley.com/Reviewers/journal-reviewers/how-to-perform-a-peer-review/general-and-ethical-guidelines.html</v>
      </c>
      <c r="AD161" t="str">
        <f>IFERROR(__xludf.DUMMYFUNCTION("""COMPUTED_VALUE"""),"Unsure")</f>
        <v>Unsure</v>
      </c>
      <c r="AE161" t="str">
        <f>IFERROR(__xludf.DUMMYFUNCTION("""COMPUTED_VALUE"""),"Unsure")</f>
        <v>Unsure</v>
      </c>
      <c r="AF161" t="str">
        <f>IFERROR(__xludf.DUMMYFUNCTION("""COMPUTED_VALUE"""),"Unsure")</f>
        <v>Unsure</v>
      </c>
      <c r="AG161" s="78" t="str">
        <f>IFERROR(__xludf.DUMMYFUNCTION("""COMPUTED_VALUE"""),"https://cdn.ymaws.com/www.afajof.org/resource/resmgr/files/Submission_docs/JF_Submission_Guidelines-Feb.pdf")</f>
        <v>https://cdn.ymaws.com/www.afajof.org/resource/resmgr/files/Submission_docs/JF_Submission_Guidelines-Feb.pdf</v>
      </c>
      <c r="AH161" t="str">
        <f>IFERROR(__xludf.DUMMYFUNCTION("""COMPUTED_VALUE"""),"None ""All submitted manuscripts must be; (i) original, (ii) unpublished (including any
 online publication), """)</f>
        <v>None "All submitted manuscripts must be; (i) original, (ii) unpublished (including any
 online publication), "</v>
      </c>
      <c r="AI161" t="str">
        <f>IFERROR(__xludf.DUMMYFUNCTION("""COMPUTED_VALUE"""),"")</f>
        <v/>
      </c>
      <c r="AJ161" t="str">
        <f>IFERROR(__xludf.DUMMYFUNCTION("""COMPUTED_VALUE"""),"Unsure")</f>
        <v>Unsure</v>
      </c>
      <c r="AK161" t="str">
        <f>IFERROR(__xludf.DUMMYFUNCTION("""COMPUTED_VALUE"""),"Unsure")</f>
        <v>Unsure</v>
      </c>
      <c r="AL161" t="str">
        <f>IFERROR(__xludf.DUMMYFUNCTION("""COMPUTED_VALUE"""),"")</f>
        <v/>
      </c>
      <c r="AM161" t="str">
        <f>IFERROR(__xludf.DUMMYFUNCTION("""COMPUTED_VALUE"""),"")</f>
        <v/>
      </c>
      <c r="AN161" t="str">
        <f>IFERROR(__xludf.DUMMYFUNCTION("""COMPUTED_VALUE"""),"")</f>
        <v/>
      </c>
      <c r="AO161" t="str">
        <f>IFERROR(__xludf.DUMMYFUNCTION("""COMPUTED_VALUE"""),"")</f>
        <v/>
      </c>
      <c r="AP161" t="str">
        <f>IFERROR(__xludf.DUMMYFUNCTION("""COMPUTED_VALUE"""),"")</f>
        <v/>
      </c>
      <c r="AQ161" s="554" t="str">
        <f>IFERROR(__xludf.DUMMYFUNCTION("""COMPUTED_VALUE"""),"")</f>
        <v/>
      </c>
      <c r="AR161" t="str">
        <f>IFERROR(__xludf.DUMMYFUNCTION("""COMPUTED_VALUE"""),"")</f>
        <v/>
      </c>
    </row>
    <row r="162">
      <c r="A162" t="str">
        <f>IFERROR(__xludf.DUMMYFUNCTION("""COMPUTED_VALUE"""),"JKP")</f>
        <v>JKP</v>
      </c>
      <c r="B162" s="34">
        <f>IFERROR(__xludf.DUMMYFUNCTION("""COMPUTED_VALUE"""),43473.0)</f>
        <v>43473</v>
      </c>
      <c r="C162" t="str">
        <f>IFERROR(__xludf.DUMMYFUNCTION("""COMPUTED_VALUE"""),"TRH")</f>
        <v>TRH</v>
      </c>
      <c r="D162" s="36">
        <f>IFERROR(__xludf.DUMMYFUNCTION("""COMPUTED_VALUE"""),43576.0)</f>
        <v>43576</v>
      </c>
      <c r="E162" t="str">
        <f>IFERROR(__xludf.DUMMYFUNCTION("""COMPUTED_VALUE"""),"JP")</f>
        <v>JP</v>
      </c>
      <c r="F162" s="36">
        <f>IFERROR(__xludf.DUMMYFUNCTION("""COMPUTED_VALUE"""),43581.0)</f>
        <v>43581</v>
      </c>
      <c r="G162" t="str">
        <f>IFERROR(__xludf.DUMMYFUNCTION("""COMPUTED_VALUE"""),"Re review identities revealed - if the editor has control over whether this is possible, I would mark this as conditional [ok - trh]")</f>
        <v>Re review identities revealed - if the editor has control over whether this is possible, I would mark this as conditional [ok - trh]</v>
      </c>
      <c r="H162" t="str">
        <f>IFERROR(__xludf.DUMMYFUNCTION("""COMPUTED_VALUE"""),"1948-7185")</f>
        <v>1948-7185</v>
      </c>
      <c r="I162" t="str">
        <f>IFERROR(__xludf.DUMMYFUNCTION("""COMPUTED_VALUE"""),"The Journal of Physical Chemistry Letters")</f>
        <v>The Journal of Physical Chemistry Letters</v>
      </c>
      <c r="J162" t="str">
        <f>IFERROR(__xludf.DUMMYFUNCTION("""COMPUTED_VALUE"""),"Physics &amp; Mathematics, Chemical &amp; Materials Sciences")</f>
        <v>Physics &amp; Mathematics, Chemical &amp; Materials Sciences</v>
      </c>
      <c r="K162" t="str">
        <f>IFERROR(__xludf.DUMMYFUNCTION("""COMPUTED_VALUE"""),"American Chemical Society")</f>
        <v>American Chemical Society</v>
      </c>
      <c r="L162" t="str">
        <f>IFERROR(__xludf.DUMMYFUNCTION("""COMPUTED_VALUE"""),"Single blind")</f>
        <v>Single blind</v>
      </c>
      <c r="M162" t="str">
        <f>IFERROR(__xludf.DUMMYFUNCTION("""COMPUTED_VALUE"""),"https://pubs.acs.org/publish/peer_reviews, https://pubs.acs.org/userimages/ContentEditor/1218054468605/ethics.pdf")</f>
        <v>https://pubs.acs.org/publish/peer_reviews, https://pubs.acs.org/userimages/ContentEditor/1218054468605/ethics.pdf</v>
      </c>
      <c r="N162" t="str">
        <f>IFERROR(__xludf.DUMMYFUNCTION("""COMPUTED_VALUE"""),"")</f>
        <v/>
      </c>
      <c r="O162" t="str">
        <f>IFERROR(__xludf.DUMMYFUNCTION("""COMPUTED_VALUE"""),"")</f>
        <v/>
      </c>
      <c r="P162" t="str">
        <f>IFERROR(__xludf.DUMMYFUNCTION("""COMPUTED_VALUE"""),"Unsure")</f>
        <v>Unsure</v>
      </c>
      <c r="Q162" t="str">
        <f>IFERROR(__xludf.DUMMYFUNCTION("""COMPUTED_VALUE"""),"Manuscript Transfer
 If your submission is declined for publication by this journal, the editors might deem your work to be
 better suited for another ACS Publications journal and suggest that the authors consider transferring the
 submission. Manuscript "&amp;"Transfer simplifies and shortens the process of submitting to another ACS
 journal, as all the coauthors, suggested reviewers, manuscript files, and responses to submission
 questions are copied by ACS Paragon Plus to the new draft submission. Authors are"&amp;" free to accept or
 decline the transfer offer.
 Note that each journal is editorially independent. Transferring a manuscript is not a guarantee that the
 manuscript will be accepted, as the final publication decision will belong to the editor of the next"&amp;"
 journal")</f>
        <v>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162" s="78" t="str">
        <f>IFERROR(__xludf.DUMMYFUNCTION("""COMPUTED_VALUE"""),"http://pubs.acs.org/paragonplus/submission/jpclcd/jpclcd_authguide.pdf")</f>
        <v>http://pubs.acs.org/paragonplus/submission/jpclcd/jpclcd_authguide.pdf</v>
      </c>
      <c r="S162" t="str">
        <f>IFERROR(__xludf.DUMMYFUNCTION("""COMPUTED_VALUE"""),"Not specified")</f>
        <v>Not specified</v>
      </c>
      <c r="T162" t="str">
        <f>IFERROR(__xludf.DUMMYFUNCTION("""COMPUTED_VALUE"""),"Not specified")</f>
        <v>Not specified</v>
      </c>
      <c r="U162" t="str">
        <f>IFERROR(__xludf.DUMMYFUNCTION("""COMPUTED_VALUE"""),"Not specified")</f>
        <v>Not specified</v>
      </c>
      <c r="V162" t="str">
        <f>IFERROR(__xludf.DUMMYFUNCTION("""COMPUTED_VALUE"""),"Not specified")</f>
        <v>Not specified</v>
      </c>
      <c r="W162" t="str">
        <f>IFERROR(__xludf.DUMMYFUNCTION("""COMPUTED_VALUE"""),"Not specified")</f>
        <v>Not specified</v>
      </c>
      <c r="X162" t="str">
        <f>IFERROR(__xludf.DUMMYFUNCTION("""COMPUTED_VALUE"""),"Conditional")</f>
        <v>Conditional</v>
      </c>
      <c r="Y162" t="str">
        <f>IFERROR(__xludf.DUMMYFUNCTION("""COMPUTED_VALUE"""),"Not specified")</f>
        <v>Not specified</v>
      </c>
      <c r="Z162" t="str">
        <f>IFERROR(__xludf.DUMMYFUNCTION("""COMPUTED_VALUE"""),"Not specified")</f>
        <v>Not specified</v>
      </c>
      <c r="AA162" t="str">
        <f>IFERROR(__xludf.DUMMYFUNCTION("""COMPUTED_VALUE"""),"""If the reviewer wishes to disclose his/her identity to
 the manuscript authors, the editor should be consulted, and the decision to disclose such
 information to authors is the sole discretion of the editor.""")</f>
        <v>"If the reviewer wishes to disclose his/her identity to
 the manuscript authors, the editor should be consulted, and the decision to disclose such
 information to authors is the sole discretion of the editor."</v>
      </c>
      <c r="AB162" t="str">
        <f>IFERROR(__xludf.DUMMYFUNCTION("""COMPUTED_VALUE"""),"")</f>
        <v/>
      </c>
      <c r="AC162" t="str">
        <f>IFERROR(__xludf.DUMMYFUNCTION("""COMPUTED_VALUE"""),"")</f>
        <v/>
      </c>
      <c r="AD162" t="str">
        <f>IFERROR(__xludf.DUMMYFUNCTION("""COMPUTED_VALUE"""),"Unsure")</f>
        <v>Unsure</v>
      </c>
      <c r="AE162" t="str">
        <f>IFERROR(__xludf.DUMMYFUNCTION("""COMPUTED_VALUE"""),"Unsure")</f>
        <v>Unsure</v>
      </c>
      <c r="AF162" t="str">
        <f>IFERROR(__xludf.DUMMYFUNCTION("""COMPUTED_VALUE"""),"Unsure")</f>
        <v>Unsure</v>
      </c>
      <c r="AG162" s="78" t="str">
        <f>IFERROR(__xludf.DUMMYFUNCTION("""COMPUTED_VALUE"""),"http://pubs.acs.org/paragonplus/submission/jpclcd/jpclcd_authguide.pdf")</f>
        <v>http://pubs.acs.org/paragonplus/submission/jpclcd/jpclcd_authguide.pdf</v>
      </c>
      <c r="AH162" t="str">
        <f>IFERROR(__xludf.DUMMYFUNCTION("""COMPUTED_VALUE"""),"First submission only")</f>
        <v>First submission only</v>
      </c>
      <c r="AI162" t="str">
        <f>IFERROR(__xludf.DUMMYFUNCTION("""COMPUTED_VALUE"""),"JPC Letters authors are allowed to deposit an initial draft of their manuscript in a preprint service such as ChemRxiv, arXiv, bioRxiv, or the applicable repository for their discipline prior to submission. Please note any use of a preprint server in the "&amp;"Cover Letter and, as appropriate, state how the manuscript has been adjusted/updated between deposition and submission. The use of a preprint service will not bias reviewing/acceptance of the paper in JPC Letters. Upon publication, authors are advised to "&amp;"add a link from the preprint to the published paper via the Digital Object Identifier (DOI). Redundant publication, such as the use of a repository for published versions of papers, is subject to the Journal Publication Agreement and generally requires co"&amp;"pyright permission.")</f>
        <v>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v>
      </c>
      <c r="AJ162" t="str">
        <f>IFERROR(__xludf.DUMMYFUNCTION("""COMPUTED_VALUE"""),"Unsure")</f>
        <v>Unsure</v>
      </c>
      <c r="AK162" t="str">
        <f>IFERROR(__xludf.DUMMYFUNCTION("""COMPUTED_VALUE"""),"Unsure")</f>
        <v>Unsure</v>
      </c>
      <c r="AL162" t="str">
        <f>IFERROR(__xludf.DUMMYFUNCTION("""COMPUTED_VALUE"""),"")</f>
        <v/>
      </c>
      <c r="AM162" t="str">
        <f>IFERROR(__xludf.DUMMYFUNCTION("""COMPUTED_VALUE"""),"")</f>
        <v/>
      </c>
      <c r="AN162" t="str">
        <f>IFERROR(__xludf.DUMMYFUNCTION("""COMPUTED_VALUE"""),"")</f>
        <v/>
      </c>
      <c r="AO162" t="str">
        <f>IFERROR(__xludf.DUMMYFUNCTION("""COMPUTED_VALUE"""),"")</f>
        <v/>
      </c>
      <c r="AP162" t="str">
        <f>IFERROR(__xludf.DUMMYFUNCTION("""COMPUTED_VALUE"""),"")</f>
        <v/>
      </c>
      <c r="AQ162" s="554" t="str">
        <f>IFERROR(__xludf.DUMMYFUNCTION("""COMPUTED_VALUE"""),"")</f>
        <v/>
      </c>
      <c r="AR162" t="str">
        <f>IFERROR(__xludf.DUMMYFUNCTION("""COMPUTED_VALUE"""),"")</f>
        <v/>
      </c>
    </row>
    <row r="163">
      <c r="A163" t="str">
        <f>IFERROR(__xludf.DUMMYFUNCTION("""COMPUTED_VALUE"""),"JKP")</f>
        <v>JKP</v>
      </c>
      <c r="B163" s="34">
        <f>IFERROR(__xludf.DUMMYFUNCTION("""COMPUTED_VALUE"""),43473.0)</f>
        <v>43473</v>
      </c>
      <c r="C163" t="str">
        <f>IFERROR(__xludf.DUMMYFUNCTION("""COMPUTED_VALUE"""),"TRH")</f>
        <v>TRH</v>
      </c>
      <c r="D163" s="36">
        <f>IFERROR(__xludf.DUMMYFUNCTION("""COMPUTED_VALUE"""),43576.0)</f>
        <v>43576</v>
      </c>
      <c r="E163" t="str">
        <f>IFERROR(__xludf.DUMMYFUNCTION("""COMPUTED_VALUE"""),"JP")</f>
        <v>JP</v>
      </c>
      <c r="F163" s="36">
        <f>IFERROR(__xludf.DUMMYFUNCTION("""COMPUTED_VALUE"""),43581.0)</f>
        <v>43581</v>
      </c>
      <c r="G163" t="str">
        <f>IFERROR(__xludf.DUMMYFUNCTION("""COMPUTED_VALUE"""),"")</f>
        <v/>
      </c>
      <c r="H163" t="str">
        <f>IFERROR(__xludf.DUMMYFUNCTION("""COMPUTED_VALUE"""),"1474-547X")</f>
        <v>1474-547X</v>
      </c>
      <c r="I163" t="str">
        <f>IFERROR(__xludf.DUMMYFUNCTION("""COMPUTED_VALUE"""),"The Lancet")</f>
        <v>The Lancet</v>
      </c>
      <c r="J163" t="str">
        <f>IFERROR(__xludf.DUMMYFUNCTION("""COMPUTED_VALUE"""),"Health &amp; Medical Sciences")</f>
        <v>Health &amp; Medical Sciences</v>
      </c>
      <c r="K163" t="str">
        <f>IFERROR(__xludf.DUMMYFUNCTION("""COMPUTED_VALUE"""),"Elsevier")</f>
        <v>Elsevier</v>
      </c>
      <c r="L163" t="str">
        <f>IFERROR(__xludf.DUMMYFUNCTION("""COMPUTED_VALUE"""),"Unsure")</f>
        <v>Unsure</v>
      </c>
      <c r="M163" s="78" t="str">
        <f>IFERROR(__xludf.DUMMYFUNCTION("""COMPUTED_VALUE"""),"https://www.thelancet.com/pb/assets/raw/Lancet/authors/lancet-information-for-authors.pdf")</f>
        <v>https://www.thelancet.com/pb/assets/raw/Lancet/authors/lancet-information-for-authors.pdf</v>
      </c>
      <c r="N163" t="str">
        <f>IFERROR(__xludf.DUMMYFUNCTION("""COMPUTED_VALUE"""),"")</f>
        <v/>
      </c>
      <c r="O163" t="str">
        <f>IFERROR(__xludf.DUMMYFUNCTION("""COMPUTED_VALUE"""),"")</f>
        <v/>
      </c>
      <c r="P163" t="str">
        <f>IFERROR(__xludf.DUMMYFUNCTION("""COMPUTED_VALUE"""),"Unsure")</f>
        <v>Unsure</v>
      </c>
      <c r="Q163" t="str">
        <f>IFERROR(__xludf.DUMMYFUNCTION("""COMPUTED_VALUE"""),"Internal: ""If your paper is rejected by The Lancet, we might judge it suitable to pass to other editors in the Lancet-group for consideration or to editors of other relevant journals within Elsevier’s portfolio""")</f>
        <v>Internal: "If your paper is rejected by The Lancet, we might judge it suitable to pass to other editors in the Lancet-group for consideration or to editors of other relevant journals within Elsevier’s portfolio"</v>
      </c>
      <c r="R163" s="78" t="str">
        <f>IFERROR(__xludf.DUMMYFUNCTION("""COMPUTED_VALUE"""),"https://www.thelancet.com/pb/assets/raw/Lancet/authors/lancet-information-for-authors.pdf")</f>
        <v>https://www.thelancet.com/pb/assets/raw/Lancet/authors/lancet-information-for-authors.pdf</v>
      </c>
      <c r="S163" t="str">
        <f>IFERROR(__xludf.DUMMYFUNCTION("""COMPUTED_VALUE"""),"Not specified")</f>
        <v>Not specified</v>
      </c>
      <c r="T163" t="str">
        <f>IFERROR(__xludf.DUMMYFUNCTION("""COMPUTED_VALUE"""),"Not specified")</f>
        <v>Not specified</v>
      </c>
      <c r="U163" t="str">
        <f>IFERROR(__xludf.DUMMYFUNCTION("""COMPUTED_VALUE"""),"Not specified")</f>
        <v>Not specified</v>
      </c>
      <c r="V163" t="str">
        <f>IFERROR(__xludf.DUMMYFUNCTION("""COMPUTED_VALUE"""),"Not specified")</f>
        <v>Not specified</v>
      </c>
      <c r="W163" t="str">
        <f>IFERROR(__xludf.DUMMYFUNCTION("""COMPUTED_VALUE"""),"Not specified")</f>
        <v>Not specified</v>
      </c>
      <c r="X163" t="str">
        <f>IFERROR(__xludf.DUMMYFUNCTION("""COMPUTED_VALUE"""),"Not specified")</f>
        <v>Not specified</v>
      </c>
      <c r="Y163" t="str">
        <f>IFERROR(__xludf.DUMMYFUNCTION("""COMPUTED_VALUE"""),"Not specified")</f>
        <v>Not specified</v>
      </c>
      <c r="Z163" t="str">
        <f>IFERROR(__xludf.DUMMYFUNCTION("""COMPUTED_VALUE"""),"Not specified")</f>
        <v>Not specified</v>
      </c>
      <c r="AA163" t="str">
        <f>IFERROR(__xludf.DUMMYFUNCTION("""COMPUTED_VALUE"""),"")</f>
        <v/>
      </c>
      <c r="AB163" t="str">
        <f>IFERROR(__xludf.DUMMYFUNCTION("""COMPUTED_VALUE"""),"")</f>
        <v/>
      </c>
      <c r="AC163" t="str">
        <f>IFERROR(__xludf.DUMMYFUNCTION("""COMPUTED_VALUE"""),"")</f>
        <v/>
      </c>
      <c r="AD163" t="str">
        <f>IFERROR(__xludf.DUMMYFUNCTION("""COMPUTED_VALUE"""),"Unsure")</f>
        <v>Unsure</v>
      </c>
      <c r="AE163" t="str">
        <f>IFERROR(__xludf.DUMMYFUNCTION("""COMPUTED_VALUE"""),"Unsure")</f>
        <v>Unsure</v>
      </c>
      <c r="AF163" t="str">
        <f>IFERROR(__xludf.DUMMYFUNCTION("""COMPUTED_VALUE"""),"Unsure")</f>
        <v>Unsure</v>
      </c>
      <c r="AG163" t="str">
        <f>IFERROR(__xludf.DUMMYFUNCTION("""COMPUTED_VALUE"""),"https://els-jbs-prod-cdn.literatumonline.com/pb/assets/raw/Lancet/authors/tl-info-for-authors-1541596038107.pdf, https://www.thelancet.com/preprints")</f>
        <v>https://els-jbs-prod-cdn.literatumonline.com/pb/assets/raw/Lancet/authors/tl-info-for-authors-1541596038107.pdf, https://www.thelancet.com/preprints</v>
      </c>
      <c r="AH163" t="str">
        <f>IFERROR(__xludf.DUMMYFUNCTION("""COMPUTED_VALUE"""),"Unsure")</f>
        <v>Unsure</v>
      </c>
      <c r="AI163" t="str">
        <f>IFERROR(__xludf.DUMMYFUNCTION("""COMPUTED_VALUE"""),"Presentation of data at a scientific meeting, as a poster, abstract, orally, on a CD, or as an abstract on the web, or on a preprint server does not conflict with submission to the Lancet journals.")</f>
        <v>Presentation of data at a scientific meeting, as a poster, abstract, orally, on a CD, or as an abstract on the web, or on a preprint server does not conflict with submission to the Lancet journals.</v>
      </c>
      <c r="AJ163" t="str">
        <f>IFERROR(__xludf.DUMMYFUNCTION("""COMPUTED_VALUE"""),"Not specified")</f>
        <v>Not specified</v>
      </c>
      <c r="AK163" t="str">
        <f>IFERROR(__xludf.DUMMYFUNCTION("""COMPUTED_VALUE"""),"Unsure")</f>
        <v>Unsure</v>
      </c>
      <c r="AL163" t="str">
        <f>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 Ple"&amp;"ase contact The Lancet press office (pressoffice@lancet.com) if you have any questions.                ")</f>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v>
      </c>
      <c r="AM163" t="str">
        <f>IFERROR(__xludf.DUMMYFUNCTION("""COMPUTED_VALUE"""),"")</f>
        <v/>
      </c>
      <c r="AN163" t="str">
        <f>IFERROR(__xludf.DUMMYFUNCTION("""COMPUTED_VALUE"""),"")</f>
        <v/>
      </c>
      <c r="AO163" t="str">
        <f>IFERROR(__xludf.DUMMYFUNCTION("""COMPUTED_VALUE"""),"")</f>
        <v/>
      </c>
      <c r="AP163" t="str">
        <f>IFERROR(__xludf.DUMMYFUNCTION("""COMPUTED_VALUE"""),"")</f>
        <v/>
      </c>
      <c r="AQ163" s="554" t="str">
        <f>IFERROR(__xludf.DUMMYFUNCTION("""COMPUTED_VALUE"""),"")</f>
        <v/>
      </c>
      <c r="AR163" t="str">
        <f>IFERROR(__xludf.DUMMYFUNCTION("""COMPUTED_VALUE"""),"")</f>
        <v/>
      </c>
    </row>
    <row r="164">
      <c r="A164" t="str">
        <f>IFERROR(__xludf.DUMMYFUNCTION("""COMPUTED_VALUE"""),"SR")</f>
        <v>SR</v>
      </c>
      <c r="B164" s="34">
        <f>IFERROR(__xludf.DUMMYFUNCTION("""COMPUTED_VALUE"""),43444.0)</f>
        <v>43444</v>
      </c>
      <c r="C164" t="str">
        <f>IFERROR(__xludf.DUMMYFUNCTION("""COMPUTED_VALUE"""),"TRH")</f>
        <v>TRH</v>
      </c>
      <c r="D164" s="36">
        <f>IFERROR(__xludf.DUMMYFUNCTION("""COMPUTED_VALUE"""),43575.0)</f>
        <v>43575</v>
      </c>
      <c r="E164" t="str">
        <f>IFERROR(__xludf.DUMMYFUNCTION("""COMPUTED_VALUE"""),"JP")</f>
        <v>JP</v>
      </c>
      <c r="F164" s="36">
        <f>IFERROR(__xludf.DUMMYFUNCTION("""COMPUTED_VALUE"""),43581.0)</f>
        <v>43581</v>
      </c>
      <c r="G164" t="str">
        <f>IFERROR(__xludf.DUMMYFUNCTION("""COMPUTED_VALUE"""),"Copied pr policy link into transfer link")</f>
        <v>Copied pr policy link into transfer link</v>
      </c>
      <c r="H164" t="str">
        <f>IFERROR(__xludf.DUMMYFUNCTION("""COMPUTED_VALUE"""),"1474-4422")</f>
        <v>1474-4422</v>
      </c>
      <c r="I164" t="str">
        <f>IFERROR(__xludf.DUMMYFUNCTION("""COMPUTED_VALUE"""),"The Lancet Neurology")</f>
        <v>The Lancet Neurology</v>
      </c>
      <c r="J164" t="str">
        <f>IFERROR(__xludf.DUMMYFUNCTION("""COMPUTED_VALUE"""),"")</f>
        <v/>
      </c>
      <c r="K164" t="str">
        <f>IFERROR(__xludf.DUMMYFUNCTION("""COMPUTED_VALUE"""),"Elsevier")</f>
        <v>Elsevier</v>
      </c>
      <c r="L164" t="str">
        <f>IFERROR(__xludf.DUMMYFUNCTION("""COMPUTED_VALUE"""),"Unsure")</f>
        <v>Unsure</v>
      </c>
      <c r="M164" s="78" t="str">
        <f>IFERROR(__xludf.DUMMYFUNCTION("""COMPUTED_VALUE"""),"https://els-jbs-prod-cdn.literatumonline.com/pb/assets/raw/Lancet/authors/tln-info-for-authors-1541596047120.pdf")</f>
        <v>https://els-jbs-prod-cdn.literatumonline.com/pb/assets/raw/Lancet/authors/tln-info-for-authors-1541596047120.pdf</v>
      </c>
      <c r="N164" t="str">
        <f>IFERROR(__xludf.DUMMYFUNCTION("""COMPUTED_VALUE"""),"")</f>
        <v/>
      </c>
      <c r="O164" t="str">
        <f>IFERROR(__xludf.DUMMYFUNCTION("""COMPUTED_VALUE"""),"")</f>
        <v/>
      </c>
      <c r="P164" t="str">
        <f>IFERROR(__xludf.DUMMYFUNCTION("""COMPUTED_VALUE"""),"Unsure")</f>
        <v>Unsure</v>
      </c>
      <c r="Q164" t="str">
        <f>IFERROR(__xludf.DUMMYFUNCTION("""COMPUTED_VALUE"""),"If your paper is rejected by The Lancet Neurology, we might judge it suitable to pass to other editors in the Lancet-group for consideration or to editors of other relevant journals within Elsevier’s portfolio")</f>
        <v>If your paper is rejected by The Lancet Neurology, we might judge it suitable to pass to other editors in the Lancet-group for consideration or to editors of other relevant journals within Elsevier’s portfolio</v>
      </c>
      <c r="R164" s="78" t="str">
        <f>IFERROR(__xludf.DUMMYFUNCTION("""COMPUTED_VALUE"""),"https://els-jbs-prod-cdn.literatumonline.com/pb/assets/raw/Lancet/authors/tln-info-for-authors-1541596047120.pdf")</f>
        <v>https://els-jbs-prod-cdn.literatumonline.com/pb/assets/raw/Lancet/authors/tln-info-for-authors-1541596047120.pdf</v>
      </c>
      <c r="S164" t="str">
        <f>IFERROR(__xludf.DUMMYFUNCTION("""COMPUTED_VALUE"""),"Not specified")</f>
        <v>Not specified</v>
      </c>
      <c r="T164" t="str">
        <f>IFERROR(__xludf.DUMMYFUNCTION("""COMPUTED_VALUE"""),"Not specified")</f>
        <v>Not specified</v>
      </c>
      <c r="U164" t="str">
        <f>IFERROR(__xludf.DUMMYFUNCTION("""COMPUTED_VALUE"""),"Not specified")</f>
        <v>Not specified</v>
      </c>
      <c r="V164" t="str">
        <f>IFERROR(__xludf.DUMMYFUNCTION("""COMPUTED_VALUE"""),"Not specified")</f>
        <v>Not specified</v>
      </c>
      <c r="W164" t="str">
        <f>IFERROR(__xludf.DUMMYFUNCTION("""COMPUTED_VALUE"""),"Not specified")</f>
        <v>Not specified</v>
      </c>
      <c r="X164" t="str">
        <f>IFERROR(__xludf.DUMMYFUNCTION("""COMPUTED_VALUE"""),"Not specified")</f>
        <v>Not specified</v>
      </c>
      <c r="Y164" t="str">
        <f>IFERROR(__xludf.DUMMYFUNCTION("""COMPUTED_VALUE"""),"Not specified")</f>
        <v>Not specified</v>
      </c>
      <c r="Z164" t="str">
        <f>IFERROR(__xludf.DUMMYFUNCTION("""COMPUTED_VALUE"""),"Not specified")</f>
        <v>Not specified</v>
      </c>
      <c r="AA164" t="str">
        <f>IFERROR(__xludf.DUMMYFUNCTION("""COMPUTED_VALUE"""),"")</f>
        <v/>
      </c>
      <c r="AB164" t="str">
        <f>IFERROR(__xludf.DUMMYFUNCTION("""COMPUTED_VALUE"""),"")</f>
        <v/>
      </c>
      <c r="AC164" t="str">
        <f>IFERROR(__xludf.DUMMYFUNCTION("""COMPUTED_VALUE"""),"")</f>
        <v/>
      </c>
      <c r="AD164" t="str">
        <f>IFERROR(__xludf.DUMMYFUNCTION("""COMPUTED_VALUE"""),"Unsure")</f>
        <v>Unsure</v>
      </c>
      <c r="AE164" t="str">
        <f>IFERROR(__xludf.DUMMYFUNCTION("""COMPUTED_VALUE"""),"Unsure")</f>
        <v>Unsure</v>
      </c>
      <c r="AF164" t="str">
        <f>IFERROR(__xludf.DUMMYFUNCTION("""COMPUTED_VALUE"""),"Unsure")</f>
        <v>Unsure</v>
      </c>
      <c r="AG164" s="78" t="str">
        <f>IFERROR(__xludf.DUMMYFUNCTION("""COMPUTED_VALUE"""),"https://els-jbs-prod-cdn.literatumonline.com/pb/assets/raw/Lancet/authors/tln-info-for-authors-1541596047120.pdf")</f>
        <v>https://els-jbs-prod-cdn.literatumonline.com/pb/assets/raw/Lancet/authors/tln-info-for-authors-1541596047120.pdf</v>
      </c>
      <c r="AH164" t="str">
        <f>IFERROR(__xludf.DUMMYFUNCTION("""COMPUTED_VALUE"""),"Unsure")</f>
        <v>Unsure</v>
      </c>
      <c r="AI164" t="str">
        <f>IFERROR(__xludf.DUMMYFUNCTION("""COMPUTED_VALUE"""),"Presentation of data at a scientific meeting, as a poster, abstract, orally, on a CD, or as an abstract on the web, or on a preprint server does not conflict with submission to the Lancet journals. https://els-jbs-prod-cdn.literatumonline.com/pb/assets/ra"&amp;"w/Lancet/authors/tln-info-for-authors-1541596047120.pdf")</f>
        <v>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v>
      </c>
      <c r="AJ164" t="str">
        <f>IFERROR(__xludf.DUMMYFUNCTION("""COMPUTED_VALUE"""),"Not specified")</f>
        <v>Not specified</v>
      </c>
      <c r="AK164" t="str">
        <f>IFERROR(__xludf.DUMMYFUNCTION("""COMPUTED_VALUE"""),"Unsure")</f>
        <v>Unsure</v>
      </c>
      <c r="AL164" t="str">
        <f>IFERROR(__xludf.DUMMYFUNCTION("""COMPUTED_VALUE"""),"The Lancet journals operate an embargo system, whereby journalists are given access to papers and press releases ahead of publication, allowing them a protected window to develop their stories. We believe that this window  an help encourage balanced and a"&amp;"ccurate coverage of peer-reviewed scientific and medical research to inform public debate. As such, we ask that authors and their institutions refrain from actively seeking media attention for articles that have been submitted to The Lancet Neurology or t"&amp;"hat are available as a preprint. The important steps of thorough peer review and experienced editorial scrutiny and guidance, together with putting research findings into a wider context and highlighting implications for clinical practice, will make the f"&amp;"inal published paper in The Lancet Neurology very different to the submitted or preprint version. Coverage that results from pre-publication communication can impact media interest at the time of publication and our ability to support responsible journali"&amp;"sm ")</f>
        <v>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v>
      </c>
      <c r="AM164" t="str">
        <f>IFERROR(__xludf.DUMMYFUNCTION("""COMPUTED_VALUE"""),"")</f>
        <v/>
      </c>
      <c r="AN164" t="str">
        <f>IFERROR(__xludf.DUMMYFUNCTION("""COMPUTED_VALUE"""),"")</f>
        <v/>
      </c>
      <c r="AO164" t="str">
        <f>IFERROR(__xludf.DUMMYFUNCTION("""COMPUTED_VALUE"""),"")</f>
        <v/>
      </c>
      <c r="AP164" t="str">
        <f>IFERROR(__xludf.DUMMYFUNCTION("""COMPUTED_VALUE"""),"")</f>
        <v/>
      </c>
      <c r="AQ164" t="str">
        <f>IFERROR(__xludf.DUMMYFUNCTION("""COMPUTED_VALUE"""),"")</f>
        <v/>
      </c>
      <c r="AR164" t="str">
        <f>IFERROR(__xludf.DUMMYFUNCTION("""COMPUTED_VALUE"""),"")</f>
        <v/>
      </c>
    </row>
    <row r="165">
      <c r="A165" t="str">
        <f>IFERROR(__xludf.DUMMYFUNCTION("""COMPUTED_VALUE"""),"SR")</f>
        <v>SR</v>
      </c>
      <c r="B165" s="34">
        <f>IFERROR(__xludf.DUMMYFUNCTION("""COMPUTED_VALUE"""),43444.0)</f>
        <v>43444</v>
      </c>
      <c r="C165" t="str">
        <f>IFERROR(__xludf.DUMMYFUNCTION("""COMPUTED_VALUE"""),"JP")</f>
        <v>JP</v>
      </c>
      <c r="D165" s="36">
        <f>IFERROR(__xludf.DUMMYFUNCTION("""COMPUTED_VALUE"""),43572.0)</f>
        <v>43572</v>
      </c>
      <c r="E165" t="str">
        <f>IFERROR(__xludf.DUMMYFUNCTION("""COMPUTED_VALUE"""),"TRH")</f>
        <v>TRH</v>
      </c>
      <c r="F165" s="36">
        <f>IFERROR(__xludf.DUMMYFUNCTION("""COMPUTED_VALUE"""),43581.0)</f>
        <v>43581</v>
      </c>
      <c r="G165" t="str">
        <f>IFERROR(__xludf.DUMMYFUNCTION("""COMPUTED_VALUE"""),"")</f>
        <v/>
      </c>
      <c r="H165" t="str">
        <f>IFERROR(__xludf.DUMMYFUNCTION("""COMPUTED_VALUE"""),"1470-2045")</f>
        <v>1470-2045</v>
      </c>
      <c r="I165" t="str">
        <f>IFERROR(__xludf.DUMMYFUNCTION("""COMPUTED_VALUE"""),"The Lancet Oncology")</f>
        <v>The Lancet Oncology</v>
      </c>
      <c r="J165" t="str">
        <f>IFERROR(__xludf.DUMMYFUNCTION("""COMPUTED_VALUE"""),"Health &amp; Medical Sciences")</f>
        <v>Health &amp; Medical Sciences</v>
      </c>
      <c r="K165" t="str">
        <f>IFERROR(__xludf.DUMMYFUNCTION("""COMPUTED_VALUE"""),"Elsevier")</f>
        <v>Elsevier</v>
      </c>
      <c r="L165" t="str">
        <f>IFERROR(__xludf.DUMMYFUNCTION("""COMPUTED_VALUE"""),"Unsure")</f>
        <v>Unsure</v>
      </c>
      <c r="M165" s="78" t="str">
        <f>IFERROR(__xludf.DUMMYFUNCTION("""COMPUTED_VALUE"""),"https://els-jbs-prod-cdn.literatumonline.com/pb/assets/raw/Lancet/authors/tlo-info-for-authors-1541596062097.pdf")</f>
        <v>https://els-jbs-prod-cdn.literatumonline.com/pb/assets/raw/Lancet/authors/tlo-info-for-authors-1541596062097.pdf</v>
      </c>
      <c r="N165" t="str">
        <f>IFERROR(__xludf.DUMMYFUNCTION("""COMPUTED_VALUE"""),"")</f>
        <v/>
      </c>
      <c r="O165" t="str">
        <f>IFERROR(__xludf.DUMMYFUNCTION("""COMPUTED_VALUE"""),"")</f>
        <v/>
      </c>
      <c r="P165" t="str">
        <f>IFERROR(__xludf.DUMMYFUNCTION("""COMPUTED_VALUE"""),"Unsure")</f>
        <v>Unsure</v>
      </c>
      <c r="Q165" t="str">
        <f>IFERROR(__xludf.DUMMYFUNCTION("""COMPUTED_VALUE"""),"If your paper is rejected by The Lancet Oncology, we might judge it suitable to pass it on to other editors in the Lancet-group for consideration, or to editors of other relevant journals within Elsevier's portfolio")</f>
        <v>If your paper is rejected by The Lancet Oncology, we might judge it suitable to pass it on to other editors in the Lancet-group for consideration, or to editors of other relevant journals within Elsevier's portfolio</v>
      </c>
      <c r="R165" s="78" t="str">
        <f>IFERROR(__xludf.DUMMYFUNCTION("""COMPUTED_VALUE"""),"https://els-jbs-prod-cdn.literatumonline.com/pb/assets/raw/Lancet/authors/tlo-info-for-authors-1541596062097.pdf")</f>
        <v>https://els-jbs-prod-cdn.literatumonline.com/pb/assets/raw/Lancet/authors/tlo-info-for-authors-1541596062097.pdf</v>
      </c>
      <c r="S165" t="str">
        <f>IFERROR(__xludf.DUMMYFUNCTION("""COMPUTED_VALUE"""),"Not specified")</f>
        <v>Not specified</v>
      </c>
      <c r="T165" t="str">
        <f>IFERROR(__xludf.DUMMYFUNCTION("""COMPUTED_VALUE"""),"Not specified")</f>
        <v>Not specified</v>
      </c>
      <c r="U165" t="str">
        <f>IFERROR(__xludf.DUMMYFUNCTION("""COMPUTED_VALUE"""),"Not specified")</f>
        <v>Not specified</v>
      </c>
      <c r="V165" t="str">
        <f>IFERROR(__xludf.DUMMYFUNCTION("""COMPUTED_VALUE"""),"Not specified")</f>
        <v>Not specified</v>
      </c>
      <c r="W165" t="str">
        <f>IFERROR(__xludf.DUMMYFUNCTION("""COMPUTED_VALUE"""),"Not specified")</f>
        <v>Not specified</v>
      </c>
      <c r="X165" t="str">
        <f>IFERROR(__xludf.DUMMYFUNCTION("""COMPUTED_VALUE"""),"Not specified")</f>
        <v>Not specified</v>
      </c>
      <c r="Y165" t="str">
        <f>IFERROR(__xludf.DUMMYFUNCTION("""COMPUTED_VALUE"""),"Not specified")</f>
        <v>Not specified</v>
      </c>
      <c r="Z165" t="str">
        <f>IFERROR(__xludf.DUMMYFUNCTION("""COMPUTED_VALUE"""),"Not specified")</f>
        <v>Not specified</v>
      </c>
      <c r="AA165" t="str">
        <f>IFERROR(__xludf.DUMMYFUNCTION("""COMPUTED_VALUE"""),"")</f>
        <v/>
      </c>
      <c r="AB165" t="str">
        <f>IFERROR(__xludf.DUMMYFUNCTION("""COMPUTED_VALUE"""),"")</f>
        <v/>
      </c>
      <c r="AC165" t="str">
        <f>IFERROR(__xludf.DUMMYFUNCTION("""COMPUTED_VALUE"""),"")</f>
        <v/>
      </c>
      <c r="AD165" t="str">
        <f>IFERROR(__xludf.DUMMYFUNCTION("""COMPUTED_VALUE"""),"Unsure")</f>
        <v>Unsure</v>
      </c>
      <c r="AE165" t="str">
        <f>IFERROR(__xludf.DUMMYFUNCTION("""COMPUTED_VALUE"""),"Unsure")</f>
        <v>Unsure</v>
      </c>
      <c r="AF165" t="str">
        <f>IFERROR(__xludf.DUMMYFUNCTION("""COMPUTED_VALUE"""),"Unsure")</f>
        <v>Unsure</v>
      </c>
      <c r="AG165" t="str">
        <f>IFERROR(__xludf.DUMMYFUNCTION("""COMPUTED_VALUE"""),"https://els-jbs-prod-cdn.literatumonline.com/pb/assets/raw/Lancet/authors/tlo-info-for-authors-1553790033677.pdf, https://www.thelancet.com/preprints")</f>
        <v>https://els-jbs-prod-cdn.literatumonline.com/pb/assets/raw/Lancet/authors/tlo-info-for-authors-1553790033677.pdf, https://www.thelancet.com/preprints</v>
      </c>
      <c r="AH165" t="str">
        <f>IFERROR(__xludf.DUMMYFUNCTION("""COMPUTED_VALUE"""),"First submission only")</f>
        <v>First submission only</v>
      </c>
      <c r="AI165" t="str">
        <f>IFERROR(__xludf.DUMMYFUNCTION("""COMPUTED_VALUE"""),"Presentation of data at a scientific meeting, as a poster, abstract, orally, on a CD, or as an abstract on the web, or on a preprint server does not conflict with submission to the Lancet journals. ")</f>
        <v>Presentation of data at a scientific meeting, as a poster, abstract, orally, on a CD, or as an abstract on the web, or on a preprint server does not conflict with submission to the Lancet journals. </v>
      </c>
      <c r="AJ165" t="str">
        <f>IFERROR(__xludf.DUMMYFUNCTION("""COMPUTED_VALUE"""),"Not specified")</f>
        <v>Not specified</v>
      </c>
      <c r="AK165" t="str">
        <f>IFERROR(__xludf.DUMMYFUNCTION("""COMPUTED_VALUE"""),"Unsure")</f>
        <v>Unsure</v>
      </c>
      <c r="AL165" t="str">
        <f>IFERROR(__xludf.DUMMYFUNCTION("""COMPUTED_VALUE"""),"As such, we ask that authors and their institutions refrain from actively seeking media attention for articles that have been submitted to The Lancet Oncology or that are available as a preprint. ")</f>
        <v>As such, we ask that authors and their institutions refrain from actively seeking media attention for articles that have been submitted to The Lancet Oncology or that are available as a preprint. </v>
      </c>
      <c r="AM165" t="str">
        <f>IFERROR(__xludf.DUMMYFUNCTION("""COMPUTED_VALUE"""),"")</f>
        <v/>
      </c>
      <c r="AN165" t="str">
        <f>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f>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v>
      </c>
      <c r="AO165" t="str">
        <f>IFERROR(__xludf.DUMMYFUNCTION("""COMPUTED_VALUE"""),"")</f>
        <v/>
      </c>
      <c r="AP165" t="str">
        <f>IFERROR(__xludf.DUMMYFUNCTION("""COMPUTED_VALUE"""),"The Lancet's website is not specific as to the kind of peer review system employed. However, it does offer rich information on preprints.")</f>
        <v>The Lancet's website is not specific as to the kind of peer review system employed. However, it does offer rich information on preprints.</v>
      </c>
      <c r="AQ165" t="str">
        <f>IFERROR(__xludf.DUMMYFUNCTION("""COMPUTED_VALUE"""),"20 mins")</f>
        <v>20 mins</v>
      </c>
      <c r="AR165" t="str">
        <f>IFERROR(__xludf.DUMMYFUNCTION("""COMPUTED_VALUE"""),"")</f>
        <v/>
      </c>
    </row>
    <row r="166">
      <c r="A166" t="str">
        <f>IFERROR(__xludf.DUMMYFUNCTION("""COMPUTED_VALUE"""),"SR")</f>
        <v>SR</v>
      </c>
      <c r="B166" s="34">
        <f>IFERROR(__xludf.DUMMYFUNCTION("""COMPUTED_VALUE"""),43444.0)</f>
        <v>43444</v>
      </c>
      <c r="C166" t="str">
        <f>IFERROR(__xludf.DUMMYFUNCTION("""COMPUTED_VALUE"""),"NP")</f>
        <v>NP</v>
      </c>
      <c r="D166" s="36">
        <f>IFERROR(__xludf.DUMMYFUNCTION("""COMPUTED_VALUE"""),43576.0)</f>
        <v>43576</v>
      </c>
      <c r="E166" t="str">
        <f>IFERROR(__xludf.DUMMYFUNCTION("""COMPUTED_VALUE"""),"JP")</f>
        <v>JP</v>
      </c>
      <c r="F166" s="36">
        <f>IFERROR(__xludf.DUMMYFUNCTION("""COMPUTED_VALUE"""),43581.0)</f>
        <v>43581</v>
      </c>
      <c r="G166" t="str">
        <f>IFERROR(__xludf.DUMMYFUNCTION("""COMPUTED_VALUE"""),"Removed form link as it goes to a general guide")</f>
        <v>Removed form link as it goes to a general guide</v>
      </c>
      <c r="H166" t="str">
        <f>IFERROR(__xludf.DUMMYFUNCTION("""COMPUTED_VALUE"""),"1540-4781")</f>
        <v>1540-4781</v>
      </c>
      <c r="I166" t="str">
        <f>IFERROR(__xludf.DUMMYFUNCTION("""COMPUTED_VALUE"""),"The Modern Language Journal")</f>
        <v>The Modern Language Journal</v>
      </c>
      <c r="J166" t="str">
        <f>IFERROR(__xludf.DUMMYFUNCTION("""COMPUTED_VALUE"""),"Humanities, Literature &amp; Arts")</f>
        <v>Humanities, Literature &amp; Arts</v>
      </c>
      <c r="K166" t="str">
        <f>IFERROR(__xludf.DUMMYFUNCTION("""COMPUTED_VALUE"""),"Wiley")</f>
        <v>Wiley</v>
      </c>
      <c r="L166" t="str">
        <f>IFERROR(__xludf.DUMMYFUNCTION("""COMPUTED_VALUE"""),"Double blind")</f>
        <v>Double blind</v>
      </c>
      <c r="M166" s="78" t="str">
        <f>IFERROR(__xludf.DUMMYFUNCTION("""COMPUTED_VALUE"""),"https://onlinelibrary.wiley.com/page/journal/15404781/homepage/forauthors.html#Manuscript                ")</f>
        <v>https://onlinelibrary.wiley.com/page/journal/15404781/homepage/forauthors.html#Manuscript                </v>
      </c>
      <c r="N166" t="str">
        <f>IFERROR(__xludf.DUMMYFUNCTION("""COMPUTED_VALUE"""),"")</f>
        <v/>
      </c>
      <c r="O166" s="78" t="str">
        <f>IFERROR(__xludf.DUMMYFUNCTION("""COMPUTED_VALUE"""),"https://authorservices.wiley.com/Reviewers/journal-reviewers/recognition-for-reviewers/index.html")</f>
        <v>https://authorservices.wiley.com/Reviewers/journal-reviewers/recognition-for-reviewers/index.html</v>
      </c>
      <c r="P166" t="str">
        <f>IFERROR(__xludf.DUMMYFUNCTION("""COMPUTED_VALUE"""),"Yes -- both Publons and ORCID")</f>
        <v>Yes -- both Publons and ORCID</v>
      </c>
      <c r="Q166" t="str">
        <f>IFERROR(__xludf.DUMMYFUNCTION("""COMPUTED_VALUE"""),"")</f>
        <v/>
      </c>
      <c r="R166" t="str">
        <f>IFERROR(__xludf.DUMMYFUNCTION("""COMPUTED_VALUE"""),"")</f>
        <v/>
      </c>
      <c r="S166" t="str">
        <f>IFERROR(__xludf.DUMMYFUNCTION("""COMPUTED_VALUE"""),"Not specified")</f>
        <v>Not specified</v>
      </c>
      <c r="T166" t="str">
        <f>IFERROR(__xludf.DUMMYFUNCTION("""COMPUTED_VALUE"""),"Not specified")</f>
        <v>Not specified</v>
      </c>
      <c r="U166" t="str">
        <f>IFERROR(__xludf.DUMMYFUNCTION("""COMPUTED_VALUE"""),"Not specified")</f>
        <v>Not specified</v>
      </c>
      <c r="V166" t="str">
        <f>IFERROR(__xludf.DUMMYFUNCTION("""COMPUTED_VALUE"""),"Not specified")</f>
        <v>Not specified</v>
      </c>
      <c r="W166" t="str">
        <f>IFERROR(__xludf.DUMMYFUNCTION("""COMPUTED_VALUE"""),"Not specified")</f>
        <v>Not specified</v>
      </c>
      <c r="X166" t="str">
        <f>IFERROR(__xludf.DUMMYFUNCTION("""COMPUTED_VALUE"""),"Not specified")</f>
        <v>Not specified</v>
      </c>
      <c r="Y166" t="str">
        <f>IFERROR(__xludf.DUMMYFUNCTION("""COMPUTED_VALUE"""),"Not specified")</f>
        <v>Not specified</v>
      </c>
      <c r="Z166" t="str">
        <f>IFERROR(__xludf.DUMMYFUNCTION("""COMPUTED_VALUE"""),"Not specified")</f>
        <v>Not specified</v>
      </c>
      <c r="AA166" t="str">
        <f>IFERROR(__xludf.DUMMYFUNCTION("""COMPUTED_VALUE"""),"Not included in Wiley's transparent peer review trial (https://authorservices.wiley.com/Reviewers/journal-reviewers/what-is-peer-review/index.html)")</f>
        <v>Not included in Wiley's transparent peer review trial (https://authorservices.wiley.com/Reviewers/journal-reviewers/what-is-peer-review/index.html)</v>
      </c>
      <c r="AB166" t="str">
        <f>IFERROR(__xludf.DUMMYFUNCTION("""COMPUTED_VALUE"""),"")</f>
        <v/>
      </c>
      <c r="AC166" t="str">
        <f>IFERROR(__xludf.DUMMYFUNCTION("""COMPUTED_VALUE"""),"")</f>
        <v/>
      </c>
      <c r="AD166" t="str">
        <f>IFERROR(__xludf.DUMMYFUNCTION("""COMPUTED_VALUE"""),"Unsure")</f>
        <v>Unsure</v>
      </c>
      <c r="AE166" t="str">
        <f>IFERROR(__xludf.DUMMYFUNCTION("""COMPUTED_VALUE"""),"Unsure")</f>
        <v>Unsure</v>
      </c>
      <c r="AF166" t="str">
        <f>IFERROR(__xludf.DUMMYFUNCTION("""COMPUTED_VALUE"""),"Unsure")</f>
        <v>Unsure</v>
      </c>
      <c r="AG166" t="str">
        <f>IFERROR(__xludf.DUMMYFUNCTION("""COMPUTED_VALUE"""),"")</f>
        <v/>
      </c>
      <c r="AH166" t="str">
        <f>IFERROR(__xludf.DUMMYFUNCTION("""COMPUTED_VALUE"""),"No preprint policy")</f>
        <v>No preprint policy</v>
      </c>
      <c r="AI166" t="str">
        <f>IFERROR(__xludf.DUMMYFUNCTION("""COMPUTED_VALUE"""),"")</f>
        <v/>
      </c>
      <c r="AJ166" t="str">
        <f>IFERROR(__xludf.DUMMYFUNCTION("""COMPUTED_VALUE"""),"Not specified")</f>
        <v>Not specified</v>
      </c>
      <c r="AK166" t="str">
        <f>IFERROR(__xludf.DUMMYFUNCTION("""COMPUTED_VALUE"""),"Unsure")</f>
        <v>Unsure</v>
      </c>
      <c r="AL166" t="str">
        <f>IFERROR(__xludf.DUMMYFUNCTION("""COMPUTED_VALUE"""),"")</f>
        <v/>
      </c>
      <c r="AM166" t="str">
        <f>IFERROR(__xludf.DUMMYFUNCTION("""COMPUTED_VALUE"""),"")</f>
        <v/>
      </c>
      <c r="AN166" t="str">
        <f>IFERROR(__xludf.DUMMYFUNCTION("""COMPUTED_VALUE"""),"")</f>
        <v/>
      </c>
      <c r="AO166" t="str">
        <f>IFERROR(__xludf.DUMMYFUNCTION("""COMPUTED_VALUE"""),"")</f>
        <v/>
      </c>
      <c r="AP166" t="str">
        <f>IFERROR(__xludf.DUMMYFUNCTION("""COMPUTED_VALUE"""),"")</f>
        <v/>
      </c>
      <c r="AQ166" t="str">
        <f>IFERROR(__xludf.DUMMYFUNCTION("""COMPUTED_VALUE"""),"")</f>
        <v/>
      </c>
      <c r="AR166" t="str">
        <f>IFERROR(__xludf.DUMMYFUNCTION("""COMPUTED_VALUE"""),"")</f>
        <v/>
      </c>
    </row>
    <row r="167">
      <c r="A167" t="str">
        <f>IFERROR(__xludf.DUMMYFUNCTION("""COMPUTED_VALUE"""),"SR")</f>
        <v>SR</v>
      </c>
      <c r="B167" s="34">
        <f>IFERROR(__xludf.DUMMYFUNCTION("""COMPUTED_VALUE"""),43444.0)</f>
        <v>43444</v>
      </c>
      <c r="C167" t="str">
        <f>IFERROR(__xludf.DUMMYFUNCTION("""COMPUTED_VALUE"""),"NP")</f>
        <v>NP</v>
      </c>
      <c r="D167" s="36">
        <f>IFERROR(__xludf.DUMMYFUNCTION("""COMPUTED_VALUE"""),43576.0)</f>
        <v>43576</v>
      </c>
      <c r="E167" t="str">
        <f>IFERROR(__xludf.DUMMYFUNCTION("""COMPUTED_VALUE"""),"JP")</f>
        <v>JP</v>
      </c>
      <c r="F167" s="36">
        <f>IFERROR(__xludf.DUMMYFUNCTION("""COMPUTED_VALUE"""),43581.0)</f>
        <v>43581</v>
      </c>
      <c r="G167" t="str">
        <f>IFERROR(__xludf.DUMMYFUNCTION("""COMPUTED_VALUE"""),"")</f>
        <v/>
      </c>
      <c r="H167" t="str">
        <f>IFERROR(__xludf.DUMMYFUNCTION("""COMPUTED_VALUE"""),"1533-4406")</f>
        <v>1533-4406</v>
      </c>
      <c r="I167" t="str">
        <f>IFERROR(__xludf.DUMMYFUNCTION("""COMPUTED_VALUE"""),"The New England Journal of Medicine")</f>
        <v>The New England Journal of Medicine</v>
      </c>
      <c r="J167" t="str">
        <f>IFERROR(__xludf.DUMMYFUNCTION("""COMPUTED_VALUE"""),"Health &amp; Medical Sciences")</f>
        <v>Health &amp; Medical Sciences</v>
      </c>
      <c r="K167" t="str">
        <f>IFERROR(__xludf.DUMMYFUNCTION("""COMPUTED_VALUE"""),"Massachusetts Medical Society")</f>
        <v>Massachusetts Medical Society</v>
      </c>
      <c r="L167" t="str">
        <f>IFERROR(__xludf.DUMMYFUNCTION("""COMPUTED_VALUE"""),"Single blind (inferred; reviewers see author identity to know COI)")</f>
        <v>Single blind (inferred; reviewers see author identity to know COI)</v>
      </c>
      <c r="M167" t="str">
        <f>IFERROR(__xludf.DUMMYFUNCTION("""COMPUTED_VALUE"""),"https://www.nejm.org/media-center/publication-process
https://www.nejm.org/about-nejm/editorial-policies")</f>
        <v>https://www.nejm.org/media-center/publication-process
https://www.nejm.org/about-nejm/editorial-policies</v>
      </c>
      <c r="N167" t="str">
        <f>IFERROR(__xludf.DUMMYFUNCTION("""COMPUTED_VALUE"""),"")</f>
        <v/>
      </c>
      <c r="O167" t="str">
        <f>IFERROR(__xludf.DUMMYFUNCTION("""COMPUTED_VALUE"""),"")</f>
        <v/>
      </c>
      <c r="P167" t="str">
        <f>IFERROR(__xludf.DUMMYFUNCTION("""COMPUTED_VALUE"""),"Unsure")</f>
        <v>Unsure</v>
      </c>
      <c r="Q167" t="str">
        <f>IFERROR(__xludf.DUMMYFUNCTION("""COMPUTED_VALUE"""),"")</f>
        <v/>
      </c>
      <c r="R167" t="str">
        <f>IFERROR(__xludf.DUMMYFUNCTION("""COMPUTED_VALUE"""),"")</f>
        <v/>
      </c>
      <c r="S167" t="str">
        <f>IFERROR(__xludf.DUMMYFUNCTION("""COMPUTED_VALUE"""),"Not specified")</f>
        <v>Not specified</v>
      </c>
      <c r="T167" t="str">
        <f>IFERROR(__xludf.DUMMYFUNCTION("""COMPUTED_VALUE"""),"Not specified")</f>
        <v>Not specified</v>
      </c>
      <c r="U167" t="str">
        <f>IFERROR(__xludf.DUMMYFUNCTION("""COMPUTED_VALUE"""),"Not specified")</f>
        <v>Not specified</v>
      </c>
      <c r="V167" t="str">
        <f>IFERROR(__xludf.DUMMYFUNCTION("""COMPUTED_VALUE"""),"Not specified")</f>
        <v>Not specified</v>
      </c>
      <c r="W167" t="str">
        <f>IFERROR(__xludf.DUMMYFUNCTION("""COMPUTED_VALUE"""),"Not specified")</f>
        <v>Not specified</v>
      </c>
      <c r="X167" t="str">
        <f>IFERROR(__xludf.DUMMYFUNCTION("""COMPUTED_VALUE"""),"Not specified")</f>
        <v>Not specified</v>
      </c>
      <c r="Y167" t="str">
        <f>IFERROR(__xludf.DUMMYFUNCTION("""COMPUTED_VALUE"""),"Not specified")</f>
        <v>Not specified</v>
      </c>
      <c r="Z167" t="str">
        <f>IFERROR(__xludf.DUMMYFUNCTION("""COMPUTED_VALUE"""),"Not specified")</f>
        <v>Not specified</v>
      </c>
      <c r="AA167" t="str">
        <f>IFERROR(__xludf.DUMMYFUNCTION("""COMPUTED_VALUE"""),"")</f>
        <v/>
      </c>
      <c r="AB167" t="str">
        <f>IFERROR(__xludf.DUMMYFUNCTION("""COMPUTED_VALUE"""),"")</f>
        <v/>
      </c>
      <c r="AC167" t="str">
        <f>IFERROR(__xludf.DUMMYFUNCTION("""COMPUTED_VALUE"""),"")</f>
        <v/>
      </c>
      <c r="AD167" t="str">
        <f>IFERROR(__xludf.DUMMYFUNCTION("""COMPUTED_VALUE"""),"Unsure")</f>
        <v>Unsure</v>
      </c>
      <c r="AE167" t="str">
        <f>IFERROR(__xludf.DUMMYFUNCTION("""COMPUTED_VALUE"""),"Unsure")</f>
        <v>Unsure</v>
      </c>
      <c r="AF167" t="str">
        <f>IFERROR(__xludf.DUMMYFUNCTION("""COMPUTED_VALUE"""),"Unsure")</f>
        <v>Unsure</v>
      </c>
      <c r="AG167" s="78" t="str">
        <f>IFERROR(__xludf.DUMMYFUNCTION("""COMPUTED_VALUE"""),"https://www.nejm.org/about-nejm/editorial-policies")</f>
        <v>https://www.nejm.org/about-nejm/editorial-policies</v>
      </c>
      <c r="AH167" t="str">
        <f>IFERROR(__xludf.DUMMYFUNCTION("""COMPUTED_VALUE"""),"None (preprints not allowed)")</f>
        <v>None (preprints not allowed)</v>
      </c>
      <c r="AI167" t="str">
        <f>IFERROR(__xludf.DUMMYFUNCTION("""COMPUTED_VALUE"""),"")</f>
        <v/>
      </c>
      <c r="AJ167" t="str">
        <f>IFERROR(__xludf.DUMMYFUNCTION("""COMPUTED_VALUE"""),"Not specified")</f>
        <v>Not specified</v>
      </c>
      <c r="AK167" t="str">
        <f>IFERROR(__xludf.DUMMYFUNCTION("""COMPUTED_VALUE"""),"No")</f>
        <v>No</v>
      </c>
      <c r="AL167" t="str">
        <f>IFERROR(__xludf.DUMMYFUNCTION("""COMPUTED_VALUE"""),"")</f>
        <v/>
      </c>
      <c r="AM167" t="str">
        <f>IFERROR(__xludf.DUMMYFUNCTION("""COMPUTED_VALUE"""),"")</f>
        <v/>
      </c>
      <c r="AN167" t="str">
        <f>IFERROR(__xludf.DUMMYFUNCTION("""COMPUTED_VALUE"""),"")</f>
        <v/>
      </c>
      <c r="AO167" t="str">
        <f>IFERROR(__xludf.DUMMYFUNCTION("""COMPUTED_VALUE"""),"")</f>
        <v/>
      </c>
      <c r="AP167" t="str">
        <f>IFERROR(__xludf.DUMMYFUNCTION("""COMPUTED_VALUE"""),"")</f>
        <v/>
      </c>
      <c r="AQ167" t="str">
        <f>IFERROR(__xludf.DUMMYFUNCTION("""COMPUTED_VALUE"""),"")</f>
        <v/>
      </c>
      <c r="AR167" t="str">
        <f>IFERROR(__xludf.DUMMYFUNCTION("""COMPUTED_VALUE"""),"")</f>
        <v/>
      </c>
    </row>
    <row r="168">
      <c r="A168" t="str">
        <f>IFERROR(__xludf.DUMMYFUNCTION("""COMPUTED_VALUE"""),"SR")</f>
        <v>SR</v>
      </c>
      <c r="B168" s="34">
        <f>IFERROR(__xludf.DUMMYFUNCTION("""COMPUTED_VALUE"""),43444.0)</f>
        <v>43444</v>
      </c>
      <c r="C168" t="str">
        <f>IFERROR(__xludf.DUMMYFUNCTION("""COMPUTED_VALUE"""),"NP")</f>
        <v>NP</v>
      </c>
      <c r="D168" s="36">
        <f>IFERROR(__xludf.DUMMYFUNCTION("""COMPUTED_VALUE"""),43576.0)</f>
        <v>43576</v>
      </c>
      <c r="E168" t="str">
        <f>IFERROR(__xludf.DUMMYFUNCTION("""COMPUTED_VALUE"""),"JP")</f>
        <v>JP</v>
      </c>
      <c r="F168" s="36">
        <f>IFERROR(__xludf.DUMMYFUNCTION("""COMPUTED_VALUE"""),43581.0)</f>
        <v>43581</v>
      </c>
      <c r="G168" t="str">
        <f>IFERROR(__xludf.DUMMYFUNCTION("""COMPUTED_VALUE"""),"")</f>
        <v/>
      </c>
      <c r="H168" t="str">
        <f>IFERROR(__xludf.DUMMYFUNCTION("""COMPUTED_VALUE"""),"1531-4650")</f>
        <v>1531-4650</v>
      </c>
      <c r="I168" t="str">
        <f>IFERROR(__xludf.DUMMYFUNCTION("""COMPUTED_VALUE"""),"The Quarterly Journal of Economics")</f>
        <v>The Quarterly Journal of Economics</v>
      </c>
      <c r="J168" t="str">
        <f>IFERROR(__xludf.DUMMYFUNCTION("""COMPUTED_VALUE"""),"Business, Economics &amp; Management")</f>
        <v>Business, Economics &amp; Management</v>
      </c>
      <c r="K168" t="str">
        <f>IFERROR(__xludf.DUMMYFUNCTION("""COMPUTED_VALUE"""),"Oxford Academic")</f>
        <v>Oxford Academic</v>
      </c>
      <c r="L168" t="str">
        <f>IFERROR(__xludf.DUMMYFUNCTION("""COMPUTED_VALUE"""),"Unsure")</f>
        <v>Unsure</v>
      </c>
      <c r="M168" s="78" t="str">
        <f>IFERROR(__xludf.DUMMYFUNCTION("""COMPUTED_VALUE"""),"https://academic.oup.com/qje/pages/Policies")</f>
        <v>https://academic.oup.com/qje/pages/Policies</v>
      </c>
      <c r="N168" t="str">
        <f>IFERROR(__xludf.DUMMYFUNCTION("""COMPUTED_VALUE"""),"")</f>
        <v/>
      </c>
      <c r="O168" t="str">
        <f>IFERROR(__xludf.DUMMYFUNCTION("""COMPUTED_VALUE"""),"")</f>
        <v/>
      </c>
      <c r="P168" t="str">
        <f>IFERROR(__xludf.DUMMYFUNCTION("""COMPUTED_VALUE"""),"Unsure")</f>
        <v>Unsure</v>
      </c>
      <c r="Q168" t="str">
        <f>IFERROR(__xludf.DUMMYFUNCTION("""COMPUTED_VALUE"""),"")</f>
        <v/>
      </c>
      <c r="R168" t="str">
        <f>IFERROR(__xludf.DUMMYFUNCTION("""COMPUTED_VALUE"""),"")</f>
        <v/>
      </c>
      <c r="S168" t="str">
        <f>IFERROR(__xludf.DUMMYFUNCTION("""COMPUTED_VALUE"""),"Not specified")</f>
        <v>Not specified</v>
      </c>
      <c r="T168" t="str">
        <f>IFERROR(__xludf.DUMMYFUNCTION("""COMPUTED_VALUE"""),"Not specified")</f>
        <v>Not specified</v>
      </c>
      <c r="U168" t="str">
        <f>IFERROR(__xludf.DUMMYFUNCTION("""COMPUTED_VALUE"""),"Not specified")</f>
        <v>Not specified</v>
      </c>
      <c r="V168" t="str">
        <f>IFERROR(__xludf.DUMMYFUNCTION("""COMPUTED_VALUE"""),"Not specified")</f>
        <v>Not specified</v>
      </c>
      <c r="W168" t="str">
        <f>IFERROR(__xludf.DUMMYFUNCTION("""COMPUTED_VALUE"""),"Not specified")</f>
        <v>Not specified</v>
      </c>
      <c r="X168" t="str">
        <f>IFERROR(__xludf.DUMMYFUNCTION("""COMPUTED_VALUE"""),"Not specified")</f>
        <v>Not specified</v>
      </c>
      <c r="Y168" t="str">
        <f>IFERROR(__xludf.DUMMYFUNCTION("""COMPUTED_VALUE"""),"Not specified")</f>
        <v>Not specified</v>
      </c>
      <c r="Z168" t="str">
        <f>IFERROR(__xludf.DUMMYFUNCTION("""COMPUTED_VALUE"""),"Not specified")</f>
        <v>Not specified</v>
      </c>
      <c r="AA168" t="str">
        <f>IFERROR(__xludf.DUMMYFUNCTION("""COMPUTED_VALUE"""),"")</f>
        <v/>
      </c>
      <c r="AB168" t="str">
        <f>IFERROR(__xludf.DUMMYFUNCTION("""COMPUTED_VALUE"""),"")</f>
        <v/>
      </c>
      <c r="AC168" t="str">
        <f>IFERROR(__xludf.DUMMYFUNCTION("""COMPUTED_VALUE"""),"")</f>
        <v/>
      </c>
      <c r="AD168" t="str">
        <f>IFERROR(__xludf.DUMMYFUNCTION("""COMPUTED_VALUE"""),"Unsure")</f>
        <v>Unsure</v>
      </c>
      <c r="AE168" t="str">
        <f>IFERROR(__xludf.DUMMYFUNCTION("""COMPUTED_VALUE"""),"Unsure")</f>
        <v>Unsure</v>
      </c>
      <c r="AF168" t="str">
        <f>IFERROR(__xludf.DUMMYFUNCTION("""COMPUTED_VALUE"""),"Unsure")</f>
        <v>Unsure</v>
      </c>
      <c r="AG168" s="78" t="str">
        <f>IFERROR(__xludf.DUMMYFUNCTION("""COMPUTED_VALUE"""),"https://academic.oup.com/journals/pages/access_purchase/rights_and_permissions/self_archiving_policy_f")</f>
        <v>https://academic.oup.com/journals/pages/access_purchase/rights_and_permissions/self_archiving_policy_f</v>
      </c>
      <c r="AH168" t="str">
        <f>IFERROR(__xludf.DUMMYFUNCTION("""COMPUTED_VALUE"""),"First submission only (before peer review)")</f>
        <v>First submission only (before peer review)</v>
      </c>
      <c r="AI168" t="str">
        <f>IFERROR(__xludf.DUMMYFUNCTION("""COMPUTED_VALUE"""),"")</f>
        <v/>
      </c>
      <c r="AJ168" t="str">
        <f>IFERROR(__xludf.DUMMYFUNCTION("""COMPUTED_VALUE"""),"Not specified")</f>
        <v>Not specified</v>
      </c>
      <c r="AK168" t="str">
        <f>IFERROR(__xludf.DUMMYFUNCTION("""COMPUTED_VALUE"""),"Unsure")</f>
        <v>Unsure</v>
      </c>
      <c r="AL168" t="str">
        <f>IFERROR(__xludf.DUMMYFUNCTION("""COMPUTED_VALUE"""),"")</f>
        <v/>
      </c>
      <c r="AM168" t="str">
        <f>IFERROR(__xludf.DUMMYFUNCTION("""COMPUTED_VALUE"""),"")</f>
        <v/>
      </c>
      <c r="AN168" t="str">
        <f>IFERROR(__xludf.DUMMYFUNCTION("""COMPUTED_VALUE"""),"")</f>
        <v/>
      </c>
      <c r="AO168" t="str">
        <f>IFERROR(__xludf.DUMMYFUNCTION("""COMPUTED_VALUE"""),"")</f>
        <v/>
      </c>
      <c r="AP168" t="str">
        <f>IFERROR(__xludf.DUMMYFUNCTION("""COMPUTED_VALUE"""),"")</f>
        <v/>
      </c>
      <c r="AQ168" t="str">
        <f>IFERROR(__xludf.DUMMYFUNCTION("""COMPUTED_VALUE"""),"")</f>
        <v/>
      </c>
      <c r="AR168" t="str">
        <f>IFERROR(__xludf.DUMMYFUNCTION("""COMPUTED_VALUE"""),"")</f>
        <v/>
      </c>
    </row>
    <row r="169">
      <c r="A169" t="str">
        <f>IFERROR(__xludf.DUMMYFUNCTION("""COMPUTED_VALUE"""),"SR")</f>
        <v>SR</v>
      </c>
      <c r="B169" s="34">
        <f>IFERROR(__xludf.DUMMYFUNCTION("""COMPUTED_VALUE"""),43440.0)</f>
        <v>43440</v>
      </c>
      <c r="C169" t="str">
        <f>IFERROR(__xludf.DUMMYFUNCTION("""COMPUTED_VALUE"""),"NP")</f>
        <v>NP</v>
      </c>
      <c r="D169" s="36">
        <f>IFERROR(__xludf.DUMMYFUNCTION("""COMPUTED_VALUE"""),43576.0)</f>
        <v>43576</v>
      </c>
      <c r="E169" t="str">
        <f>IFERROR(__xludf.DUMMYFUNCTION("""COMPUTED_VALUE"""),"JP")</f>
        <v>JP</v>
      </c>
      <c r="F169" s="36">
        <f>IFERROR(__xludf.DUMMYFUNCTION("""COMPUTED_VALUE"""),43581.0)</f>
        <v>43581</v>
      </c>
      <c r="G169" t="str">
        <f>IFERROR(__xludf.DUMMYFUNCTION("""COMPUTED_VALUE"""),"")</f>
        <v/>
      </c>
      <c r="H169" t="str">
        <f>IFERROR(__xludf.DUMMYFUNCTION("""COMPUTED_VALUE"""),"1467-937X")</f>
        <v>1467-937X</v>
      </c>
      <c r="I169" t="str">
        <f>IFERROR(__xludf.DUMMYFUNCTION("""COMPUTED_VALUE"""),"The Review of Economic Studies")</f>
        <v>The Review of Economic Studies</v>
      </c>
      <c r="J169" t="str">
        <f>IFERROR(__xludf.DUMMYFUNCTION("""COMPUTED_VALUE"""),"Business, Economics &amp; Management")</f>
        <v>Business, Economics &amp; Management</v>
      </c>
      <c r="K169" t="str">
        <f>IFERROR(__xludf.DUMMYFUNCTION("""COMPUTED_VALUE"""),"Oxford University Press")</f>
        <v>Oxford University Press</v>
      </c>
      <c r="L169" t="str">
        <f>IFERROR(__xludf.DUMMYFUNCTION("""COMPUTED_VALUE"""),"Unsure")</f>
        <v>Unsure</v>
      </c>
      <c r="M169" t="str">
        <f>IFERROR(__xludf.DUMMYFUNCTION("""COMPUTED_VALUE"""),"")</f>
        <v/>
      </c>
      <c r="N169" t="str">
        <f>IFERROR(__xludf.DUMMYFUNCTION("""COMPUTED_VALUE"""),"")</f>
        <v/>
      </c>
      <c r="O169" t="str">
        <f>IFERROR(__xludf.DUMMYFUNCTION("""COMPUTED_VALUE"""),"")</f>
        <v/>
      </c>
      <c r="P169" t="str">
        <f>IFERROR(__xludf.DUMMYFUNCTION("""COMPUTED_VALUE"""),"Unsure")</f>
        <v>Unsure</v>
      </c>
      <c r="Q169" t="str">
        <f>IFERROR(__xludf.DUMMYFUNCTION("""COMPUTED_VALUE"""),"")</f>
        <v/>
      </c>
      <c r="R169" t="str">
        <f>IFERROR(__xludf.DUMMYFUNCTION("""COMPUTED_VALUE"""),"")</f>
        <v/>
      </c>
      <c r="S169" t="str">
        <f>IFERROR(__xludf.DUMMYFUNCTION("""COMPUTED_VALUE"""),"Not specified")</f>
        <v>Not specified</v>
      </c>
      <c r="T169" t="str">
        <f>IFERROR(__xludf.DUMMYFUNCTION("""COMPUTED_VALUE"""),"Not specified")</f>
        <v>Not specified</v>
      </c>
      <c r="U169" t="str">
        <f>IFERROR(__xludf.DUMMYFUNCTION("""COMPUTED_VALUE"""),"Not specified")</f>
        <v>Not specified</v>
      </c>
      <c r="V169" t="str">
        <f>IFERROR(__xludf.DUMMYFUNCTION("""COMPUTED_VALUE"""),"Not specified")</f>
        <v>Not specified</v>
      </c>
      <c r="W169" t="str">
        <f>IFERROR(__xludf.DUMMYFUNCTION("""COMPUTED_VALUE"""),"Not specified")</f>
        <v>Not specified</v>
      </c>
      <c r="X169" t="str">
        <f>IFERROR(__xludf.DUMMYFUNCTION("""COMPUTED_VALUE"""),"Not specified")</f>
        <v>Not specified</v>
      </c>
      <c r="Y169" t="str">
        <f>IFERROR(__xludf.DUMMYFUNCTION("""COMPUTED_VALUE"""),"Not specified")</f>
        <v>Not specified</v>
      </c>
      <c r="Z169" t="str">
        <f>IFERROR(__xludf.DUMMYFUNCTION("""COMPUTED_VALUE"""),"Not specified")</f>
        <v>Not specified</v>
      </c>
      <c r="AA169" t="str">
        <f>IFERROR(__xludf.DUMMYFUNCTION("""COMPUTED_VALUE"""),"")</f>
        <v/>
      </c>
      <c r="AB169" t="str">
        <f>IFERROR(__xludf.DUMMYFUNCTION("""COMPUTED_VALUE"""),"")</f>
        <v/>
      </c>
      <c r="AC169" t="str">
        <f>IFERROR(__xludf.DUMMYFUNCTION("""COMPUTED_VALUE"""),"")</f>
        <v/>
      </c>
      <c r="AD169" t="str">
        <f>IFERROR(__xludf.DUMMYFUNCTION("""COMPUTED_VALUE"""),"Unsure")</f>
        <v>Unsure</v>
      </c>
      <c r="AE169" t="str">
        <f>IFERROR(__xludf.DUMMYFUNCTION("""COMPUTED_VALUE"""),"Unsure")</f>
        <v>Unsure</v>
      </c>
      <c r="AF169" t="str">
        <f>IFERROR(__xludf.DUMMYFUNCTION("""COMPUTED_VALUE"""),"Unsure")</f>
        <v>Unsure</v>
      </c>
      <c r="AG169" s="78" t="str">
        <f>IFERROR(__xludf.DUMMYFUNCTION("""COMPUTED_VALUE"""),"https://academic.oup.com/journals/pages/access_purchase/rights_and_permissions/self_archiving_policy_f")</f>
        <v>https://academic.oup.com/journals/pages/access_purchase/rights_and_permissions/self_archiving_policy_f</v>
      </c>
      <c r="AH169" t="str">
        <f>IFERROR(__xludf.DUMMYFUNCTION("""COMPUTED_VALUE"""),"First submission only (before peer review)")</f>
        <v>First submission only (before peer review)</v>
      </c>
      <c r="AI169" t="str">
        <f>IFERROR(__xludf.DUMMYFUNCTION("""COMPUTED_VALUE"""),"own personal websites, institutional or non-commercial subject based repositories, commercial platforms websites or repositories, or social media")</f>
        <v>own personal websites, institutional or non-commercial subject based repositories, commercial platforms websites or repositories, or social media</v>
      </c>
      <c r="AJ169" t="str">
        <f>IFERROR(__xludf.DUMMYFUNCTION("""COMPUTED_VALUE"""),"Not specified")</f>
        <v>Not specified</v>
      </c>
      <c r="AK169" t="str">
        <f>IFERROR(__xludf.DUMMYFUNCTION("""COMPUTED_VALUE"""),"Unsure")</f>
        <v>Unsure</v>
      </c>
      <c r="AL169" t="str">
        <f>IFERROR(__xludf.DUMMYFUNCTION("""COMPUTED_VALUE"""),"")</f>
        <v/>
      </c>
      <c r="AM169" t="str">
        <f>IFERROR(__xludf.DUMMYFUNCTION("""COMPUTED_VALUE"""),"")</f>
        <v/>
      </c>
      <c r="AN169" t="str">
        <f>IFERROR(__xludf.DUMMYFUNCTION("""COMPUTED_VALUE"""),"")</f>
        <v/>
      </c>
      <c r="AO169" t="str">
        <f>IFERROR(__xludf.DUMMYFUNCTION("""COMPUTED_VALUE"""),"")</f>
        <v/>
      </c>
      <c r="AP169" t="str">
        <f>IFERROR(__xludf.DUMMYFUNCTION("""COMPUTED_VALUE"""),"")</f>
        <v/>
      </c>
      <c r="AQ169" t="str">
        <f>IFERROR(__xludf.DUMMYFUNCTION("""COMPUTED_VALUE"""),"")</f>
        <v/>
      </c>
      <c r="AR169" t="str">
        <f>IFERROR(__xludf.DUMMYFUNCTION("""COMPUTED_VALUE"""),"")</f>
        <v/>
      </c>
    </row>
    <row r="170">
      <c r="A170" t="str">
        <f>IFERROR(__xludf.DUMMYFUNCTION("""COMPUTED_VALUE"""),"SR")</f>
        <v>SR</v>
      </c>
      <c r="B170" s="34">
        <f>IFERROR(__xludf.DUMMYFUNCTION("""COMPUTED_VALUE"""),43440.0)</f>
        <v>43440</v>
      </c>
      <c r="C170" t="str">
        <f>IFERROR(__xludf.DUMMYFUNCTION("""COMPUTED_VALUE"""),"JP")</f>
        <v>JP</v>
      </c>
      <c r="D170" s="36">
        <f>IFERROR(__xludf.DUMMYFUNCTION("""COMPUTED_VALUE"""),43566.0)</f>
        <v>43566</v>
      </c>
      <c r="E170" t="str">
        <f>IFERROR(__xludf.DUMMYFUNCTION("""COMPUTED_VALUE"""),"TRH")</f>
        <v>TRH</v>
      </c>
      <c r="F170" s="36">
        <f>IFERROR(__xludf.DUMMYFUNCTION("""COMPUTED_VALUE"""),43581.0)</f>
        <v>43581</v>
      </c>
      <c r="G170" s="36" t="str">
        <f>IFERROR(__xludf.DUMMYFUNCTION("""COMPUTED_VALUE"""),"")</f>
        <v/>
      </c>
      <c r="H170" t="str">
        <f>IFERROR(__xludf.DUMMYFUNCTION("""COMPUTED_VALUE"""),"1465-7368")</f>
        <v>1465-7368</v>
      </c>
      <c r="I170" t="str">
        <f>IFERROR(__xludf.DUMMYFUNCTION("""COMPUTED_VALUE"""),"The Review of Financial Studies")</f>
        <v>The Review of Financial Studies</v>
      </c>
      <c r="J170" t="str">
        <f>IFERROR(__xludf.DUMMYFUNCTION("""COMPUTED_VALUE"""),"Business, Economics &amp; Management")</f>
        <v>Business, Economics &amp; Management</v>
      </c>
      <c r="K170" t="str">
        <f>IFERROR(__xludf.DUMMYFUNCTION("""COMPUTED_VALUE"""),"Society for Financial Studies/Oxford Academic")</f>
        <v>Society for Financial Studies/Oxford Academic</v>
      </c>
      <c r="L170" t="str">
        <f>IFERROR(__xludf.DUMMYFUNCTION("""COMPUTED_VALUE"""),"Unsure")</f>
        <v>Unsure</v>
      </c>
      <c r="M170" t="str">
        <f>IFERROR(__xludf.DUMMYFUNCTION("""COMPUTED_VALUE"""),"http://rfssfs.org/advice-for-referees/, https://editorialexpress.com/cgi-bin/e-editor/e-review_v18.cgi?dbase=rfs&amp;stage=0&amp;stage_completed=&amp;user_id=&amp;sub_id=&amp;password=F7ObH75z")</f>
        <v>http://rfssfs.org/advice-for-referees/, https://editorialexpress.com/cgi-bin/e-editor/e-review_v18.cgi?dbase=rfs&amp;stage=0&amp;stage_completed=&amp;user_id=&amp;sub_id=&amp;password=F7ObH75z</v>
      </c>
      <c r="N170" t="str">
        <f>IFERROR(__xludf.DUMMYFUNCTION("""COMPUTED_VALUE"""),"")</f>
        <v/>
      </c>
      <c r="O170" t="str">
        <f>IFERROR(__xludf.DUMMYFUNCTION("""COMPUTED_VALUE"""),"")</f>
        <v/>
      </c>
      <c r="P170" t="str">
        <f>IFERROR(__xludf.DUMMYFUNCTION("""COMPUTED_VALUE"""),"Unsure")</f>
        <v>Unsure</v>
      </c>
      <c r="Q170" t="str">
        <f>IFERROR(__xludf.DUMMYFUNCTION("""COMPUTED_VALUE"""),"")</f>
        <v/>
      </c>
      <c r="R170" t="str">
        <f>IFERROR(__xludf.DUMMYFUNCTION("""COMPUTED_VALUE"""),"")</f>
        <v/>
      </c>
      <c r="S170" t="str">
        <f>IFERROR(__xludf.DUMMYFUNCTION("""COMPUTED_VALUE"""),"Not specified")</f>
        <v>Not specified</v>
      </c>
      <c r="T170" t="str">
        <f>IFERROR(__xludf.DUMMYFUNCTION("""COMPUTED_VALUE"""),"Not specified")</f>
        <v>Not specified</v>
      </c>
      <c r="U170" t="str">
        <f>IFERROR(__xludf.DUMMYFUNCTION("""COMPUTED_VALUE"""),"Not specified")</f>
        <v>Not specified</v>
      </c>
      <c r="V170" t="str">
        <f>IFERROR(__xludf.DUMMYFUNCTION("""COMPUTED_VALUE"""),"Not specified")</f>
        <v>Not specified</v>
      </c>
      <c r="W170" t="str">
        <f>IFERROR(__xludf.DUMMYFUNCTION("""COMPUTED_VALUE"""),"Not specified")</f>
        <v>Not specified</v>
      </c>
      <c r="X170" t="str">
        <f>IFERROR(__xludf.DUMMYFUNCTION("""COMPUTED_VALUE"""),"Not specified")</f>
        <v>Not specified</v>
      </c>
      <c r="Y170" t="str">
        <f>IFERROR(__xludf.DUMMYFUNCTION("""COMPUTED_VALUE"""),"Not specified")</f>
        <v>Not specified</v>
      </c>
      <c r="Z170" t="str">
        <f>IFERROR(__xludf.DUMMYFUNCTION("""COMPUTED_VALUE"""),"Not specified")</f>
        <v>Not specified</v>
      </c>
      <c r="AA170" t="str">
        <f>IFERROR(__xludf.DUMMYFUNCTION("""COMPUTED_VALUE"""),"")</f>
        <v/>
      </c>
      <c r="AB170" t="str">
        <f>IFERROR(__xludf.DUMMYFUNCTION("""COMPUTED_VALUE"""),"")</f>
        <v/>
      </c>
      <c r="AC170" t="str">
        <f>IFERROR(__xludf.DUMMYFUNCTION("""COMPUTED_VALUE"""),"")</f>
        <v/>
      </c>
      <c r="AD170" t="str">
        <f>IFERROR(__xludf.DUMMYFUNCTION("""COMPUTED_VALUE"""),"Unsure")</f>
        <v>Unsure</v>
      </c>
      <c r="AE170" t="str">
        <f>IFERROR(__xludf.DUMMYFUNCTION("""COMPUTED_VALUE"""),"Unsure")</f>
        <v>Unsure</v>
      </c>
      <c r="AF170" t="str">
        <f>IFERROR(__xludf.DUMMYFUNCTION("""COMPUTED_VALUE"""),"Unsure")</f>
        <v>Unsure</v>
      </c>
      <c r="AG170" t="str">
        <f>IFERROR(__xludf.DUMMYFUNCTION("""COMPUTED_VALUE"""),"https://academic.oup.com/journals/pages/access_purchase/rights_and_permissions/self_archiving_policy_f, https://academic.oup.com/rfs/pages/Instructions_To_Authors")</f>
        <v>https://academic.oup.com/journals/pages/access_purchase/rights_and_permissions/self_archiving_policy_f, https://academic.oup.com/rfs/pages/Instructions_To_Authors</v>
      </c>
      <c r="AH170" t="str">
        <f>IFERROR(__xludf.DUMMYFUNCTION("""COMPUTED_VALUE"""),"After peer review (but not final, copyedited version)")</f>
        <v>After peer review (but not final, copyedited version)</v>
      </c>
      <c r="AI170" t="str">
        <f>IFERROR(__xludf.DUMMYFUNCTION("""COMPUTED_VALUE"""),"Not allowed")</f>
        <v>Not allowed</v>
      </c>
      <c r="AJ170" t="str">
        <f>IFERROR(__xludf.DUMMYFUNCTION("""COMPUTED_VALUE"""),"Not specified")</f>
        <v>Not specified</v>
      </c>
      <c r="AK170" t="str">
        <f>IFERROR(__xludf.DUMMYFUNCTION("""COMPUTED_VALUE"""),"Unsure")</f>
        <v>Unsure</v>
      </c>
      <c r="AL170" t="str">
        <f>IFERROR(__xludf.DUMMYFUNCTION("""COMPUTED_VALUE"""),"")</f>
        <v/>
      </c>
      <c r="AM170" t="str">
        <f>IFERROR(__xludf.DUMMYFUNCTION("""COMPUTED_VALUE"""),"")</f>
        <v/>
      </c>
      <c r="AN170" t="str">
        <f>IFERROR(__xludf.DUMMYFUNCTION("""COMPUTED_VALUE"""),"")</f>
        <v/>
      </c>
      <c r="AO170" t="str">
        <f>IFERROR(__xludf.DUMMYFUNCTION("""COMPUTED_VALUE"""),"")</f>
        <v/>
      </c>
      <c r="AP170" t="str">
        <f>IFERROR(__xludf.DUMMYFUNCTION("""COMPUTED_VALUE"""),"The Review of Financial Studies is published by Oxford University Press. However, it seems exceedingly hard to locate their policies on peer review despite the fact that I previously managed to find them on other OUP journals' websites. /// preprint-versi"&amp;"on: Could be coded as ""After peer review"" since they only disallow posting after acceptance")</f>
        <v>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v>
      </c>
      <c r="AQ170" t="str">
        <f>IFERROR(__xludf.DUMMYFUNCTION("""COMPUTED_VALUE"""),"20 mins")</f>
        <v>20 mins</v>
      </c>
      <c r="AR170" t="str">
        <f>IFERROR(__xludf.DUMMYFUNCTION("""COMPUTED_VALUE"""),"")</f>
        <v/>
      </c>
    </row>
    <row r="171">
      <c r="A171" t="str">
        <f>IFERROR(__xludf.DUMMYFUNCTION("""COMPUTED_VALUE"""),"SR")</f>
        <v>SR</v>
      </c>
      <c r="B171" s="34">
        <f>IFERROR(__xludf.DUMMYFUNCTION("""COMPUTED_VALUE"""),43440.0)</f>
        <v>43440</v>
      </c>
      <c r="C171" t="str">
        <f>IFERROR(__xludf.DUMMYFUNCTION("""COMPUTED_VALUE"""),"SH")</f>
        <v>SH</v>
      </c>
      <c r="D171" s="36">
        <f>IFERROR(__xludf.DUMMYFUNCTION("""COMPUTED_VALUE"""),43575.0)</f>
        <v>43575</v>
      </c>
      <c r="E171" t="str">
        <f>IFERROR(__xludf.DUMMYFUNCTION("""COMPUTED_VALUE"""),"TRH")</f>
        <v>TRH</v>
      </c>
      <c r="F171" s="36">
        <f>IFERROR(__xludf.DUMMYFUNCTION("""COMPUTED_VALUE"""),43581.0)</f>
        <v>43581</v>
      </c>
      <c r="G171" t="str">
        <f>IFERROR(__xludf.DUMMYFUNCTION("""COMPUTED_VALUE"""),"")</f>
        <v/>
      </c>
      <c r="H171" t="str">
        <f>IFERROR(__xludf.DUMMYFUNCTION("""COMPUTED_VALUE"""),"0261-5177")</f>
        <v>0261-5177</v>
      </c>
      <c r="I171" t="str">
        <f>IFERROR(__xludf.DUMMYFUNCTION("""COMPUTED_VALUE"""),"Tourism Management")</f>
        <v>Tourism Management</v>
      </c>
      <c r="J171" t="str">
        <f>IFERROR(__xludf.DUMMYFUNCTION("""COMPUTED_VALUE"""),"Business, Economics &amp; Management")</f>
        <v>Business, Economics &amp; Management</v>
      </c>
      <c r="K171" t="str">
        <f>IFERROR(__xludf.DUMMYFUNCTION("""COMPUTED_VALUE"""),"Elsevier")</f>
        <v>Elsevier</v>
      </c>
      <c r="L171" t="str">
        <f>IFERROR(__xludf.DUMMYFUNCTION("""COMPUTED_VALUE"""),"Double blind")</f>
        <v>Double blind</v>
      </c>
      <c r="M171" s="78" t="str">
        <f>IFERROR(__xludf.DUMMYFUNCTION("""COMPUTED_VALUE"""),"https://www.elsevier.com/journals/tourism-management/0261-5177/guide-for-authors")</f>
        <v>https://www.elsevier.com/journals/tourism-management/0261-5177/guide-for-authors</v>
      </c>
      <c r="N171" t="str">
        <f>IFERROR(__xludf.DUMMYFUNCTION("""COMPUTED_VALUE"""),"")</f>
        <v/>
      </c>
      <c r="O171" s="78" t="str">
        <f>IFERROR(__xludf.DUMMYFUNCTION("""COMPUTED_VALUE"""),"https://www.elsevier.com/reviewers/role#RRP")</f>
        <v>https://www.elsevier.com/reviewers/role#RRP</v>
      </c>
      <c r="P171" t="str">
        <f>IFERROR(__xludf.DUMMYFUNCTION("""COMPUTED_VALUE"""),"No")</f>
        <v>No</v>
      </c>
      <c r="Q171"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1" s="78" t="str">
        <f>IFERROR(__xludf.DUMMYFUNCTION("""COMPUTED_VALUE"""),"https://www.elsevier.com/reviewers/what-is-peer-review")</f>
        <v>https://www.elsevier.com/reviewers/what-is-peer-review</v>
      </c>
      <c r="S171" t="str">
        <f>IFERROR(__xludf.DUMMYFUNCTION("""COMPUTED_VALUE"""),"Not specified")</f>
        <v>Not specified</v>
      </c>
      <c r="T171" t="str">
        <f>IFERROR(__xludf.DUMMYFUNCTION("""COMPUTED_VALUE"""),"Not specified")</f>
        <v>Not specified</v>
      </c>
      <c r="U171" t="str">
        <f>IFERROR(__xludf.DUMMYFUNCTION("""COMPUTED_VALUE"""),"Not specified")</f>
        <v>Not specified</v>
      </c>
      <c r="V171" t="str">
        <f>IFERROR(__xludf.DUMMYFUNCTION("""COMPUTED_VALUE"""),"Not specified")</f>
        <v>Not specified</v>
      </c>
      <c r="W171" t="str">
        <f>IFERROR(__xludf.DUMMYFUNCTION("""COMPUTED_VALUE"""),"Not specified")</f>
        <v>Not specified</v>
      </c>
      <c r="X171" t="str">
        <f>IFERROR(__xludf.DUMMYFUNCTION("""COMPUTED_VALUE"""),"No")</f>
        <v>No</v>
      </c>
      <c r="Y171" t="str">
        <f>IFERROR(__xludf.DUMMYFUNCTION("""COMPUTED_VALUE"""),"Not specified")</f>
        <v>Not specified</v>
      </c>
      <c r="Z171" t="str">
        <f>IFERROR(__xludf.DUMMYFUNCTION("""COMPUTED_VALUE"""),"Not specified")</f>
        <v>Not specified</v>
      </c>
      <c r="AA171" t="str">
        <f>IFERROR(__xludf.DUMMYFUNCTION("""COMPUTED_VALUE"""),"")</f>
        <v/>
      </c>
      <c r="AB171"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1" s="78" t="str">
        <f>IFERROR(__xludf.DUMMYFUNCTION("""COMPUTED_VALUE"""),"https://www.elsevier.com/reviewers/how-to-review")</f>
        <v>https://www.elsevier.com/reviewers/how-to-review</v>
      </c>
      <c r="AD171" t="str">
        <f>IFERROR(__xludf.DUMMYFUNCTION("""COMPUTED_VALUE"""),"Unsure")</f>
        <v>Unsure</v>
      </c>
      <c r="AE171" t="str">
        <f>IFERROR(__xludf.DUMMYFUNCTION("""COMPUTED_VALUE"""),"Unsure")</f>
        <v>Unsure</v>
      </c>
      <c r="AF171" t="str">
        <f>IFERROR(__xludf.DUMMYFUNCTION("""COMPUTED_VALUE"""),"Unsure")</f>
        <v>Unsure</v>
      </c>
      <c r="AG171" s="78" t="str">
        <f>IFERROR(__xludf.DUMMYFUNCTION("""COMPUTED_VALUE"""),"https://www.elsevier.com/about/policies/sharing")</f>
        <v>https://www.elsevier.com/about/policies/sharing</v>
      </c>
      <c r="AH171" t="str">
        <f>IFERROR(__xludf.DUMMYFUNCTION("""COMPUTED_VALUE"""),"First submission only (before peer review)")</f>
        <v>First submission only (before peer review)</v>
      </c>
      <c r="AI171" t="str">
        <f>IFERROR(__xludf.DUMMYFUNCTION("""COMPUTED_VALUE"""),"")</f>
        <v/>
      </c>
      <c r="AJ171" t="str">
        <f>IFERROR(__xludf.DUMMYFUNCTION("""COMPUTED_VALUE"""),"Unsure")</f>
        <v>Unsure</v>
      </c>
      <c r="AK171" t="str">
        <f>IFERROR(__xludf.DUMMYFUNCTION("""COMPUTED_VALUE"""),"Unsure")</f>
        <v>Unsure</v>
      </c>
      <c r="AL171" t="str">
        <f>IFERROR(__xludf.DUMMYFUNCTION("""COMPUTED_VALUE"""),"")</f>
        <v/>
      </c>
      <c r="AM171" t="str">
        <f>IFERROR(__xludf.DUMMYFUNCTION("""COMPUTED_VALUE"""),"")</f>
        <v/>
      </c>
      <c r="AN171" t="str">
        <f>IFERROR(__xludf.DUMMYFUNCTION("""COMPUTED_VALUE"""),"")</f>
        <v/>
      </c>
      <c r="AO171" t="str">
        <f>IFERROR(__xludf.DUMMYFUNCTION("""COMPUTED_VALUE"""),"")</f>
        <v/>
      </c>
      <c r="AP171" t="str">
        <f>IFERROR(__xludf.DUMMYFUNCTION("""COMPUTED_VALUE"""),"Tourism Management is published by Elsevier, which means that most of Elsevier's general policies apply. Interestingly, though, it is difficult to locate the policies on the journal websites even if one has done that before. Once you determine the type of"&amp;" peer review the journal in question employs you can then read their what-is-peer-review page to determine the degree of ""openness"" of the peer review process in question. // On preprint citation: Unsure: ""Please ensure that every reference cited in th"&amp;"e text is also present in the reference list (and vice versa). Any references cited in the abstract must be given in full. Unpublished results and personal communications are not recommended in the reference list, but may be mentioned in the text. If thes"&amp;"e references are included in the reference list they should follow the standard reference style of the journal and should include a substitution of the publication date with either 'Unpublished results' or 'Personal communication'.""")</f>
        <v>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v>
      </c>
      <c r="AQ171" t="str">
        <f>IFERROR(__xludf.DUMMYFUNCTION("""COMPUTED_VALUE"""),"20 mins")</f>
        <v>20 mins</v>
      </c>
      <c r="AR171" t="str">
        <f>IFERROR(__xludf.DUMMYFUNCTION("""COMPUTED_VALUE"""),"")</f>
        <v/>
      </c>
    </row>
    <row r="172">
      <c r="A172" t="str">
        <f>IFERROR(__xludf.DUMMYFUNCTION("""COMPUTED_VALUE"""),"SR")</f>
        <v>SR</v>
      </c>
      <c r="B172" s="34">
        <f>IFERROR(__xludf.DUMMYFUNCTION("""COMPUTED_VALUE"""),43440.0)</f>
        <v>43440</v>
      </c>
      <c r="C172" t="str">
        <f>IFERROR(__xludf.DUMMYFUNCTION("""COMPUTED_VALUE"""),"GMD")</f>
        <v>GMD</v>
      </c>
      <c r="D172" s="36">
        <f>IFERROR(__xludf.DUMMYFUNCTION("""COMPUTED_VALUE"""),43579.0)</f>
        <v>43579</v>
      </c>
      <c r="E172" t="str">
        <f>IFERROR(__xludf.DUMMYFUNCTION("""COMPUTED_VALUE"""),"JP")</f>
        <v>JP</v>
      </c>
      <c r="F172" s="36">
        <f>IFERROR(__xludf.DUMMYFUNCTION("""COMPUTED_VALUE"""),43583.0)</f>
        <v>43583</v>
      </c>
      <c r="G172" t="str">
        <f>IFERROR(__xludf.DUMMYFUNCTION("""COMPUTED_VALUE"""),"Fixed preprint policy link and related fields")</f>
        <v>Fixed preprint policy link and related fields</v>
      </c>
      <c r="H172" t="str">
        <f>IFERROR(__xludf.DUMMYFUNCTION("""COMPUTED_VALUE"""),"1873-5991")</f>
        <v>1873-5991</v>
      </c>
      <c r="I172" t="str">
        <f>IFERROR(__xludf.DUMMYFUNCTION("""COMPUTED_VALUE"""),"World Development")</f>
        <v>World Development</v>
      </c>
      <c r="J172" t="str">
        <f>IFERROR(__xludf.DUMMYFUNCTION("""COMPUTED_VALUE"""),"Business, Economics &amp; Management")</f>
        <v>Business, Economics &amp; Management</v>
      </c>
      <c r="K172" t="str">
        <f>IFERROR(__xludf.DUMMYFUNCTION("""COMPUTED_VALUE"""),"Elsevier")</f>
        <v>Elsevier</v>
      </c>
      <c r="L172" t="str">
        <f>IFERROR(__xludf.DUMMYFUNCTION("""COMPUTED_VALUE"""),"Double blind")</f>
        <v>Double blind</v>
      </c>
      <c r="M172" s="78" t="str">
        <f>IFERROR(__xludf.DUMMYFUNCTION("""COMPUTED_VALUE"""),"https://www.elsevier.com/journals/world-development/0305-750x/guide-for-authors")</f>
        <v>https://www.elsevier.com/journals/world-development/0305-750x/guide-for-authors</v>
      </c>
      <c r="N172" t="str">
        <f>IFERROR(__xludf.DUMMYFUNCTION("""COMPUTED_VALUE"""),"")</f>
        <v/>
      </c>
      <c r="O172" s="78" t="str">
        <f>IFERROR(__xludf.DUMMYFUNCTION("""COMPUTED_VALUE"""),"https://www.elsevier.com/reviewers/role#recognizing ")</f>
        <v>https://www.elsevier.com/reviewers/role#recognizing </v>
      </c>
      <c r="P172" t="str">
        <f>IFERROR(__xludf.DUMMYFUNCTION("""COMPUTED_VALUE"""),"No: Peer Reviewer activity IS deposited into a database by Elsevier, but it is NOT open. This applies across the Elsevier platform.")</f>
        <v>No: Peer Reviewer activity IS deposited into a database by Elsevier, but it is NOT open. This applies across the Elsevier platform.</v>
      </c>
      <c r="Q172" t="str">
        <f>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2" s="78" t="str">
        <f>IFERROR(__xludf.DUMMYFUNCTION("""COMPUTED_VALUE"""),"https://www.elsevier.com/reviewers/what-is-peer-review")</f>
        <v>https://www.elsevier.com/reviewers/what-is-peer-review</v>
      </c>
      <c r="S172" t="str">
        <f>IFERROR(__xludf.DUMMYFUNCTION("""COMPUTED_VALUE"""),"No")</f>
        <v>No</v>
      </c>
      <c r="T172" t="str">
        <f>IFERROR(__xludf.DUMMYFUNCTION("""COMPUTED_VALUE"""),"No")</f>
        <v>No</v>
      </c>
      <c r="U172" t="str">
        <f>IFERROR(__xludf.DUMMYFUNCTION("""COMPUTED_VALUE"""),"No")</f>
        <v>No</v>
      </c>
      <c r="V172" t="str">
        <f>IFERROR(__xludf.DUMMYFUNCTION("""COMPUTED_VALUE"""),"No")</f>
        <v>No</v>
      </c>
      <c r="W172" t="str">
        <f>IFERROR(__xludf.DUMMYFUNCTION("""COMPUTED_VALUE"""),"No")</f>
        <v>No</v>
      </c>
      <c r="X172" t="str">
        <f>IFERROR(__xludf.DUMMYFUNCTION("""COMPUTED_VALUE"""),"No")</f>
        <v>No</v>
      </c>
      <c r="Y172" t="str">
        <f>IFERROR(__xludf.DUMMYFUNCTION("""COMPUTED_VALUE"""),"No")</f>
        <v>No</v>
      </c>
      <c r="Z172" t="str">
        <f>IFERROR(__xludf.DUMMYFUNCTION("""COMPUTED_VALUE"""),"No")</f>
        <v>No</v>
      </c>
      <c r="AA172" t="str">
        <f>IFERROR(__xludf.DUMMYFUNCTION("""COMPUTED_VALUE"""),"")</f>
        <v/>
      </c>
      <c r="AB172" t="str">
        <f>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2" s="78" t="str">
        <f>IFERROR(__xludf.DUMMYFUNCTION("""COMPUTED_VALUE"""),"https://www.elsevier.com/reviewers/how-to-review")</f>
        <v>https://www.elsevier.com/reviewers/how-to-review</v>
      </c>
      <c r="AD172" t="str">
        <f>IFERROR(__xludf.DUMMYFUNCTION("""COMPUTED_VALUE"""),"Unsure")</f>
        <v>Unsure</v>
      </c>
      <c r="AE172" t="str">
        <f>IFERROR(__xludf.DUMMYFUNCTION("""COMPUTED_VALUE"""),"Unsure")</f>
        <v>Unsure</v>
      </c>
      <c r="AF172" t="str">
        <f>IFERROR(__xludf.DUMMYFUNCTION("""COMPUTED_VALUE"""),"Unsure")</f>
        <v>Unsure</v>
      </c>
      <c r="AG172" s="78" t="str">
        <f>IFERROR(__xludf.DUMMYFUNCTION("""COMPUTED_VALUE"""),"https://www.elsevier.com/about/policies/sharing")</f>
        <v>https://www.elsevier.com/about/policies/sharing</v>
      </c>
      <c r="AH172" t="str">
        <f>IFERROR(__xludf.DUMMYFUNCTION("""COMPUTED_VALUE"""),"Unsure (preprints are allowed, but it's not clear what version)")</f>
        <v>Unsure (preprints are allowed, but it's not clear what version)</v>
      </c>
      <c r="AI172" t="str">
        <f>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72" t="str">
        <f>IFERROR(__xludf.DUMMYFUNCTION("""COMPUTED_VALUE"""),"Not specified")</f>
        <v>Not specified</v>
      </c>
      <c r="AK172" t="str">
        <f>IFERROR(__xludf.DUMMYFUNCTION("""COMPUTED_VALUE"""),"Unsure")</f>
        <v>Unsure</v>
      </c>
      <c r="AL172" t="str">
        <f>IFERROR(__xludf.DUMMYFUNCTION("""COMPUTED_VALUE"""),"")</f>
        <v/>
      </c>
      <c r="AM172" t="str">
        <f>IFERROR(__xludf.DUMMYFUNCTION("""COMPUTED_VALUE"""),"")</f>
        <v/>
      </c>
      <c r="AN172" t="str">
        <f>IFERROR(__xludf.DUMMYFUNCTION("""COMPUTED_VALUE"""),"")</f>
        <v/>
      </c>
      <c r="AO172" t="str">
        <f>IFERROR(__xludf.DUMMYFUNCTION("""COMPUTED_VALUE"""),"")</f>
        <v/>
      </c>
      <c r="AP172" t="str">
        <f>IFERROR(__xludf.DUMMYFUNCTION("""COMPUTED_VALUE"""),"")</f>
        <v/>
      </c>
      <c r="AQ172" t="str">
        <f>IFERROR(__xludf.DUMMYFUNCTION("""COMPUTED_VALUE"""),"")</f>
        <v/>
      </c>
      <c r="AR172" t="str">
        <f>IFERROR(__xludf.DUMMYFUNCTION("""COMPUTED_VALUE"""),"")</f>
        <v/>
      </c>
    </row>
  </sheetData>
  <hyperlinks>
    <hyperlink r:id="rId1" ref="R3"/>
    <hyperlink r:id="rId2" ref="M4"/>
    <hyperlink r:id="rId3" ref="AG4"/>
    <hyperlink r:id="rId4" ref="R5"/>
    <hyperlink r:id="rId5" ref="AG5"/>
    <hyperlink r:id="rId6" ref="N6"/>
    <hyperlink r:id="rId7" location="amrR7" ref="AC6"/>
    <hyperlink r:id="rId8" ref="AG6"/>
    <hyperlink r:id="rId9" ref="M7"/>
    <hyperlink r:id="rId10" ref="N7"/>
    <hyperlink r:id="rId11" ref="R7"/>
    <hyperlink r:id="rId12" ref="AG7"/>
    <hyperlink r:id="rId13" ref="M8"/>
    <hyperlink r:id="rId14" ref="M9"/>
    <hyperlink r:id="rId15" ref="AG9"/>
    <hyperlink r:id="rId16" ref="M10"/>
    <hyperlink r:id="rId17" ref="AG10"/>
    <hyperlink r:id="rId18" ref="M11"/>
    <hyperlink r:id="rId19" ref="AC11"/>
    <hyperlink r:id="rId20" ref="AG11"/>
    <hyperlink r:id="rId21" ref="M12"/>
    <hyperlink r:id="rId22" ref="AC12"/>
    <hyperlink r:id="rId23" ref="AG12"/>
    <hyperlink r:id="rId24" ref="M13"/>
    <hyperlink r:id="rId25" ref="AC13"/>
    <hyperlink r:id="rId26" ref="M14"/>
    <hyperlink r:id="rId27" location="submission-guidelines" ref="M15"/>
    <hyperlink r:id="rId28" ref="O15"/>
    <hyperlink r:id="rId29" ref="AC15"/>
    <hyperlink r:id="rId30" ref="AG15"/>
    <hyperlink r:id="rId31" ref="AG16"/>
    <hyperlink r:id="rId32" ref="M17"/>
    <hyperlink r:id="rId33" ref="O17"/>
    <hyperlink r:id="rId34" ref="AC17"/>
    <hyperlink r:id="rId35" ref="AG17"/>
    <hyperlink r:id="rId36" ref="M18"/>
    <hyperlink r:id="rId37" ref="AG18"/>
    <hyperlink r:id="rId38" ref="M19"/>
    <hyperlink r:id="rId39" ref="O19"/>
    <hyperlink r:id="rId40" ref="R19"/>
    <hyperlink r:id="rId41" ref="AC19"/>
    <hyperlink r:id="rId42" ref="AG19"/>
    <hyperlink r:id="rId43" ref="M20"/>
    <hyperlink r:id="rId44" location="recognizing" ref="O20"/>
    <hyperlink r:id="rId45" ref="R20"/>
    <hyperlink r:id="rId46" ref="AG20"/>
    <hyperlink r:id="rId47" location="20910" ref="M21"/>
    <hyperlink r:id="rId48" location="recognizing" ref="O21"/>
    <hyperlink r:id="rId49" ref="R21"/>
    <hyperlink r:id="rId50" ref="AG21"/>
    <hyperlink r:id="rId51" ref="M22"/>
    <hyperlink r:id="rId52" ref="AC22"/>
    <hyperlink r:id="rId53" ref="AG22"/>
    <hyperlink r:id="rId54" ref="M23"/>
    <hyperlink r:id="rId55" ref="R23"/>
    <hyperlink r:id="rId56" ref="AG24"/>
    <hyperlink r:id="rId57" ref="M25"/>
    <hyperlink r:id="rId58" location="recognizing" ref="O25"/>
    <hyperlink r:id="rId59" ref="R25"/>
    <hyperlink r:id="rId60" ref="AC25"/>
    <hyperlink r:id="rId61" ref="M26"/>
    <hyperlink r:id="rId62" ref="O26"/>
    <hyperlink r:id="rId63" ref="AC26"/>
    <hyperlink r:id="rId64" ref="AG26"/>
    <hyperlink r:id="rId65" ref="M27"/>
    <hyperlink r:id="rId66" ref="O27"/>
    <hyperlink r:id="rId67" ref="Q27"/>
    <hyperlink r:id="rId68" ref="R27"/>
    <hyperlink r:id="rId69" ref="AA27"/>
    <hyperlink r:id="rId70" ref="AC27"/>
    <hyperlink r:id="rId71" ref="AG27"/>
    <hyperlink r:id="rId72" ref="M28"/>
    <hyperlink r:id="rId73" ref="R28"/>
    <hyperlink r:id="rId74" ref="AA28"/>
    <hyperlink r:id="rId75" ref="AC28"/>
    <hyperlink r:id="rId76" ref="AG28"/>
    <hyperlink r:id="rId77" ref="AI28"/>
    <hyperlink r:id="rId78" location="prepub" ref="AL28"/>
    <hyperlink r:id="rId79" location="peerrev" ref="M29"/>
    <hyperlink r:id="rId80" ref="O29"/>
    <hyperlink r:id="rId81" ref="R29"/>
    <hyperlink r:id="rId82" ref="AG29"/>
    <hyperlink r:id="rId83" ref="M30"/>
    <hyperlink r:id="rId84" ref="R30"/>
    <hyperlink r:id="rId85" ref="AC30"/>
    <hyperlink r:id="rId86" ref="AG30"/>
    <hyperlink r:id="rId87" ref="AI30"/>
    <hyperlink r:id="rId88" ref="M31"/>
    <hyperlink r:id="rId89" ref="R31"/>
    <hyperlink r:id="rId90" ref="AC31"/>
    <hyperlink r:id="rId91" ref="AG31"/>
    <hyperlink r:id="rId92" ref="AI31"/>
    <hyperlink r:id="rId93" ref="M32"/>
    <hyperlink r:id="rId94" ref="R32"/>
    <hyperlink r:id="rId95" ref="AC32"/>
    <hyperlink r:id="rId96" ref="AG32"/>
    <hyperlink r:id="rId97" ref="AI32"/>
    <hyperlink r:id="rId98" ref="M33"/>
    <hyperlink r:id="rId99" location="becoming-reviewer" ref="O33"/>
    <hyperlink r:id="rId100" location="transfers" ref="R33"/>
    <hyperlink r:id="rId101" location="prior-publication" ref="AG33"/>
    <hyperlink r:id="rId102" ref="M34"/>
    <hyperlink r:id="rId103" ref="R34"/>
    <hyperlink r:id="rId104" ref="AG34"/>
    <hyperlink r:id="rId105" ref="M35"/>
    <hyperlink r:id="rId106" location="becoming-reviewer" ref="O35"/>
    <hyperlink r:id="rId107" location="transfers" ref="R35"/>
    <hyperlink r:id="rId108" location="ethical-responsibilities" ref="AC35"/>
    <hyperlink r:id="rId109" location="prior-publication" ref="AG35"/>
    <hyperlink r:id="rId110" ref="M36"/>
    <hyperlink r:id="rId111" ref="R36"/>
    <hyperlink r:id="rId112" ref="AG36"/>
    <hyperlink r:id="rId113" ref="AP36"/>
    <hyperlink r:id="rId114" ref="M37"/>
    <hyperlink r:id="rId115" ref="AG37"/>
    <hyperlink r:id="rId116" ref="AP37"/>
    <hyperlink r:id="rId117" ref="M38"/>
    <hyperlink r:id="rId118" ref="AC38"/>
    <hyperlink r:id="rId119" ref="AG38"/>
    <hyperlink r:id="rId120" ref="AP38"/>
    <hyperlink r:id="rId121" location="peerrev" ref="M39"/>
    <hyperlink r:id="rId122" ref="O39"/>
    <hyperlink r:id="rId123" ref="R39"/>
    <hyperlink r:id="rId124" ref="AC39"/>
    <hyperlink r:id="rId125" ref="AG39"/>
    <hyperlink r:id="rId126" ref="AP39"/>
    <hyperlink r:id="rId127" ref="M40"/>
    <hyperlink r:id="rId128" location="recognizing" ref="O40"/>
    <hyperlink r:id="rId129" ref="Q40"/>
    <hyperlink r:id="rId130" ref="R40"/>
    <hyperlink r:id="rId131" ref="AG40"/>
    <hyperlink r:id="rId132" ref="AP40"/>
    <hyperlink r:id="rId133" location="peerreview" ref="M41"/>
    <hyperlink r:id="rId134" ref="O41"/>
    <hyperlink r:id="rId135" ref="AC41"/>
    <hyperlink r:id="rId136" location="originality" ref="AG41"/>
    <hyperlink r:id="rId137" ref="AL41"/>
    <hyperlink r:id="rId138" location="Peer_review" ref="M42"/>
    <hyperlink r:id="rId139" ref="AP42"/>
    <hyperlink r:id="rId140" location="reviewprocess" ref="M43"/>
    <hyperlink r:id="rId141" location="sharing" ref="R43"/>
    <hyperlink r:id="rId142" location="priorpublication" ref="AG43"/>
    <hyperlink r:id="rId143" location="review-procedure" ref="M44"/>
    <hyperlink r:id="rId144" location="transfers" ref="R44"/>
    <hyperlink r:id="rId145" location="prior-publication" ref="AG44"/>
    <hyperlink r:id="rId146" ref="M45"/>
    <hyperlink r:id="rId147" ref="R45"/>
    <hyperlink r:id="rId148" ref="AG45"/>
    <hyperlink r:id="rId149" location="3.1" ref="M46"/>
    <hyperlink r:id="rId150" ref="R46"/>
    <hyperlink r:id="rId151" ref="AG46"/>
    <hyperlink r:id="rId152" ref="M47"/>
    <hyperlink r:id="rId153" location="RRP" ref="O47"/>
    <hyperlink r:id="rId154" ref="R47"/>
    <hyperlink r:id="rId155" ref="M48"/>
    <hyperlink r:id="rId156" ref="O48"/>
    <hyperlink r:id="rId157" ref="R48"/>
    <hyperlink r:id="rId158" ref="AC48"/>
    <hyperlink r:id="rId159" ref="AG48"/>
    <hyperlink r:id="rId160" location="submission-guidelines" ref="M49"/>
    <hyperlink r:id="rId161" ref="O49"/>
    <hyperlink r:id="rId162" ref="AG49"/>
    <hyperlink r:id="rId163" ref="M50"/>
    <hyperlink r:id="rId164" ref="O50"/>
    <hyperlink r:id="rId165" ref="AC50"/>
    <hyperlink r:id="rId166" ref="AG50"/>
    <hyperlink r:id="rId167" ref="M51"/>
    <hyperlink r:id="rId168" location="recognizing" ref="O51"/>
    <hyperlink r:id="rId169" ref="R51"/>
    <hyperlink r:id="rId170" ref="AC51"/>
    <hyperlink r:id="rId171" ref="AG51"/>
    <hyperlink r:id="rId172" ref="M52"/>
    <hyperlink r:id="rId173" ref="R52"/>
    <hyperlink r:id="rId174" ref="AC52"/>
    <hyperlink r:id="rId175" ref="AG52"/>
    <hyperlink r:id="rId176" ref="M53"/>
    <hyperlink r:id="rId177" location="manuscript_transfer" ref="R53"/>
    <hyperlink r:id="rId178" ref="AC53"/>
    <hyperlink r:id="rId179" ref="AG53"/>
    <hyperlink r:id="rId180" ref="M54"/>
    <hyperlink r:id="rId181" ref="O54"/>
    <hyperlink r:id="rId182" ref="AC54"/>
    <hyperlink r:id="rId183" ref="AG54"/>
    <hyperlink r:id="rId184" ref="M55"/>
    <hyperlink r:id="rId185" ref="AG55"/>
    <hyperlink r:id="rId186" ref="M56"/>
    <hyperlink r:id="rId187" ref="AG56"/>
    <hyperlink r:id="rId188" ref="M57"/>
    <hyperlink r:id="rId189" ref="AG57"/>
    <hyperlink r:id="rId190" ref="M58"/>
    <hyperlink r:id="rId191" ref="AC58"/>
    <hyperlink r:id="rId192" ref="AG58"/>
    <hyperlink r:id="rId193" ref="M59"/>
    <hyperlink r:id="rId194" ref="AC59"/>
    <hyperlink r:id="rId195" ref="AG59"/>
    <hyperlink r:id="rId196" ref="M60"/>
    <hyperlink r:id="rId197" ref="AG60"/>
    <hyperlink r:id="rId198" ref="M61"/>
    <hyperlink r:id="rId199" ref="AG61"/>
    <hyperlink r:id="rId200" ref="M62"/>
    <hyperlink r:id="rId201" ref="AG62"/>
    <hyperlink r:id="rId202" ref="M63"/>
    <hyperlink r:id="rId203" ref="AG63"/>
    <hyperlink r:id="rId204" ref="M64"/>
    <hyperlink r:id="rId205" ref="AC64"/>
    <hyperlink r:id="rId206" ref="AG64"/>
    <hyperlink r:id="rId207" ref="M65"/>
    <hyperlink r:id="rId208" ref="Q65"/>
    <hyperlink r:id="rId209" ref="AG65"/>
    <hyperlink r:id="rId210" ref="M67"/>
    <hyperlink r:id="rId211" location="RRP" ref="O67"/>
    <hyperlink r:id="rId212" ref="R67"/>
    <hyperlink r:id="rId213" ref="AC67"/>
    <hyperlink r:id="rId214" ref="AG67"/>
    <hyperlink r:id="rId215" ref="M68"/>
    <hyperlink r:id="rId216" ref="R68"/>
    <hyperlink r:id="rId217" location="SecPreviousorPlannedPresentationorReleaseofInformation" ref="AG68"/>
    <hyperlink r:id="rId218" ref="M69"/>
    <hyperlink r:id="rId219" ref="R69"/>
    <hyperlink r:id="rId220" ref="AG69"/>
    <hyperlink r:id="rId221" ref="M70"/>
    <hyperlink r:id="rId222" location="RRP" ref="O70"/>
    <hyperlink r:id="rId223" ref="R70"/>
    <hyperlink r:id="rId224" ref="AC70"/>
    <hyperlink r:id="rId225" ref="AG70"/>
    <hyperlink r:id="rId226" ref="M71"/>
    <hyperlink r:id="rId227" ref="O71"/>
    <hyperlink r:id="rId228" ref="M72"/>
    <hyperlink r:id="rId229" location="recognizing" ref="O72"/>
    <hyperlink r:id="rId230" ref="R72"/>
    <hyperlink r:id="rId231" ref="AC72"/>
    <hyperlink r:id="rId232" ref="AG72"/>
    <hyperlink r:id="rId233" ref="M73"/>
    <hyperlink r:id="rId234" location="RRP" ref="O73"/>
    <hyperlink r:id="rId235" ref="R73"/>
    <hyperlink r:id="rId236" ref="AC73"/>
    <hyperlink r:id="rId237" ref="AG73"/>
    <hyperlink r:id="rId238" ref="M74"/>
    <hyperlink r:id="rId239" ref="O74"/>
    <hyperlink r:id="rId240" ref="AG74"/>
    <hyperlink r:id="rId241" location="Peer%20review" ref="M75"/>
    <hyperlink r:id="rId242" ref="AG75"/>
    <hyperlink r:id="rId243" ref="M76"/>
    <hyperlink r:id="rId244" ref="O76"/>
    <hyperlink r:id="rId245" ref="R76"/>
    <hyperlink r:id="rId246" ref="AC76"/>
    <hyperlink r:id="rId247" ref="AG76"/>
    <hyperlink r:id="rId248" ref="M77"/>
    <hyperlink r:id="rId249" ref="AC78"/>
    <hyperlink r:id="rId250" ref="AG78"/>
    <hyperlink r:id="rId251" ref="M79"/>
    <hyperlink r:id="rId252" location="recognizing" ref="O79"/>
    <hyperlink r:id="rId253" ref="R79"/>
    <hyperlink r:id="rId254" ref="AC79"/>
    <hyperlink r:id="rId255" ref="M80"/>
    <hyperlink r:id="rId256" ref="N80"/>
    <hyperlink r:id="rId257" ref="O80"/>
    <hyperlink r:id="rId258" location="recognizing" ref="O81"/>
    <hyperlink r:id="rId259" ref="AG81"/>
    <hyperlink r:id="rId260" ref="M82"/>
    <hyperlink r:id="rId261" ref="R82"/>
    <hyperlink r:id="rId262" location="arXiv" ref="AG82"/>
    <hyperlink r:id="rId263" ref="M83"/>
    <hyperlink r:id="rId264" ref="O83"/>
    <hyperlink r:id="rId265" ref="AC83"/>
    <hyperlink r:id="rId266" ref="AG83"/>
    <hyperlink r:id="rId267" location="review-procedure" ref="M84"/>
    <hyperlink r:id="rId268" location="review-procedure" ref="O84"/>
    <hyperlink r:id="rId269" location="transfers" ref="R84"/>
    <hyperlink r:id="rId270" location="review-procedure" ref="AC84"/>
    <hyperlink r:id="rId271" location="prior-publication" ref="AG84"/>
    <hyperlink r:id="rId272" ref="M85"/>
    <hyperlink r:id="rId273" ref="R85"/>
    <hyperlink r:id="rId274" ref="M86"/>
    <hyperlink r:id="rId275" ref="R86"/>
    <hyperlink r:id="rId276" ref="AG86"/>
    <hyperlink r:id="rId277" ref="M87"/>
    <hyperlink r:id="rId278" ref="AG87"/>
    <hyperlink r:id="rId279" ref="M88"/>
    <hyperlink r:id="rId280" location="PeerReviewPolicy" ref="M89"/>
    <hyperlink r:id="rId281" ref="O89"/>
    <hyperlink r:id="rId282" ref="AC89"/>
    <hyperlink r:id="rId283" ref="AG89"/>
    <hyperlink r:id="rId284" location="Peer_review" ref="M90"/>
    <hyperlink r:id="rId285" location="Peer_review" ref="M91"/>
    <hyperlink r:id="rId286" ref="M92"/>
    <hyperlink r:id="rId287" location="recognizing" ref="O92"/>
    <hyperlink r:id="rId288" ref="R92"/>
    <hyperlink r:id="rId289" ref="AG92"/>
    <hyperlink r:id="rId290" ref="M93"/>
    <hyperlink r:id="rId291" ref="M94"/>
    <hyperlink r:id="rId292" location="RRP" ref="O94"/>
    <hyperlink r:id="rId293" ref="R94"/>
    <hyperlink r:id="rId294" ref="AC94"/>
    <hyperlink r:id="rId295" ref="M95"/>
    <hyperlink r:id="rId296" ref="M96"/>
    <hyperlink r:id="rId297" location="submission-guidelines" ref="M97"/>
    <hyperlink r:id="rId298" ref="AG97"/>
    <hyperlink r:id="rId299" ref="M98"/>
    <hyperlink r:id="rId300" ref="R98"/>
    <hyperlink r:id="rId301" ref="AG98"/>
    <hyperlink r:id="rId302" location="4%20Editorial%20review" ref="M99"/>
    <hyperlink r:id="rId303" location="4%20Editorial%20review" ref="O99"/>
    <hyperlink r:id="rId304" ref="M100"/>
    <hyperlink r:id="rId305" ref="R100"/>
    <hyperlink r:id="rId306" ref="AC100"/>
    <hyperlink r:id="rId307" ref="AG100"/>
    <hyperlink r:id="rId308" location="review-procedure" ref="M101"/>
    <hyperlink r:id="rId309" location="peer-review-help" ref="O101"/>
    <hyperlink r:id="rId310" location="ethical-responsibilities" ref="AC101"/>
    <hyperlink r:id="rId311" location="prior-publication" ref="AG101"/>
    <hyperlink r:id="rId312" ref="M102"/>
    <hyperlink r:id="rId313" ref="R102"/>
    <hyperlink r:id="rId314" ref="AC102"/>
    <hyperlink r:id="rId315" ref="AG102"/>
    <hyperlink r:id="rId316" ref="M103"/>
    <hyperlink r:id="rId317" ref="O103"/>
    <hyperlink r:id="rId318" ref="R103"/>
    <hyperlink r:id="rId319" ref="AC103"/>
    <hyperlink r:id="rId320" ref="AG103"/>
    <hyperlink r:id="rId321" ref="M104"/>
    <hyperlink r:id="rId322" ref="O104"/>
    <hyperlink r:id="rId323" ref="R104"/>
    <hyperlink r:id="rId324" ref="AC104"/>
    <hyperlink r:id="rId325" ref="AG104"/>
    <hyperlink r:id="rId326" ref="M105"/>
    <hyperlink r:id="rId327" ref="O105"/>
    <hyperlink r:id="rId328" ref="R105"/>
    <hyperlink r:id="rId329" ref="AC105"/>
    <hyperlink r:id="rId330" ref="AG105"/>
    <hyperlink r:id="rId331" ref="M106"/>
    <hyperlink r:id="rId332" ref="O106"/>
    <hyperlink r:id="rId333" ref="R106"/>
    <hyperlink r:id="rId334" ref="AC106"/>
    <hyperlink r:id="rId335" ref="AG106"/>
    <hyperlink r:id="rId336" ref="M107"/>
    <hyperlink r:id="rId337" ref="O107"/>
    <hyperlink r:id="rId338" ref="R107"/>
    <hyperlink r:id="rId339" ref="AC107"/>
    <hyperlink r:id="rId340" ref="AG107"/>
    <hyperlink r:id="rId341" ref="M108"/>
    <hyperlink r:id="rId342" ref="O108"/>
    <hyperlink r:id="rId343" ref="R108"/>
    <hyperlink r:id="rId344" ref="AC108"/>
    <hyperlink r:id="rId345" ref="AG108"/>
    <hyperlink r:id="rId346" ref="M109"/>
    <hyperlink r:id="rId347" ref="O109"/>
    <hyperlink r:id="rId348" ref="R109"/>
    <hyperlink r:id="rId349" ref="AC109"/>
    <hyperlink r:id="rId350" ref="AG109"/>
    <hyperlink r:id="rId351" ref="M110"/>
    <hyperlink r:id="rId352" ref="O110"/>
    <hyperlink r:id="rId353" ref="R110"/>
    <hyperlink r:id="rId354" ref="AC110"/>
    <hyperlink r:id="rId355" ref="AG110"/>
    <hyperlink r:id="rId356" ref="M111"/>
    <hyperlink r:id="rId357" ref="O111"/>
    <hyperlink r:id="rId358" ref="R111"/>
    <hyperlink r:id="rId359" ref="AC111"/>
    <hyperlink r:id="rId360" ref="AG111"/>
    <hyperlink r:id="rId361" ref="M112"/>
    <hyperlink r:id="rId362" ref="O112"/>
    <hyperlink r:id="rId363" ref="R112"/>
    <hyperlink r:id="rId364" ref="AC112"/>
    <hyperlink r:id="rId365" ref="AG112"/>
    <hyperlink r:id="rId366" ref="M113"/>
    <hyperlink r:id="rId367" ref="O113"/>
    <hyperlink r:id="rId368" ref="R113"/>
    <hyperlink r:id="rId369" ref="AC113"/>
    <hyperlink r:id="rId370" ref="AG113"/>
    <hyperlink r:id="rId371" ref="M114"/>
    <hyperlink r:id="rId372" ref="O114"/>
    <hyperlink r:id="rId373" ref="R114"/>
    <hyperlink r:id="rId374" ref="AC114"/>
    <hyperlink r:id="rId375" ref="AG114"/>
    <hyperlink r:id="rId376" ref="M115"/>
    <hyperlink r:id="rId377" ref="O115"/>
    <hyperlink r:id="rId378" ref="R115"/>
    <hyperlink r:id="rId379" ref="AC115"/>
    <hyperlink r:id="rId380" ref="AG115"/>
    <hyperlink r:id="rId381" ref="M116"/>
    <hyperlink r:id="rId382" ref="O116"/>
    <hyperlink r:id="rId383" ref="R116"/>
    <hyperlink r:id="rId384" ref="AC116"/>
    <hyperlink r:id="rId385" ref="AG116"/>
    <hyperlink r:id="rId386" ref="M117"/>
    <hyperlink r:id="rId387" ref="AC117"/>
    <hyperlink r:id="rId388" ref="M118"/>
    <hyperlink r:id="rId389" ref="AC118"/>
    <hyperlink r:id="rId390" ref="M119"/>
    <hyperlink r:id="rId391" ref="AC119"/>
    <hyperlink r:id="rId392" ref="M120"/>
    <hyperlink r:id="rId393" ref="AC120"/>
    <hyperlink r:id="rId394" ref="M121"/>
    <hyperlink r:id="rId395" ref="AC121"/>
    <hyperlink r:id="rId396" ref="M122"/>
    <hyperlink r:id="rId397" ref="AC122"/>
    <hyperlink r:id="rId398" ref="M123"/>
    <hyperlink r:id="rId399" ref="AG123"/>
    <hyperlink r:id="rId400" ref="M124"/>
    <hyperlink r:id="rId401" location="RRP" ref="O124"/>
    <hyperlink r:id="rId402" ref="R124"/>
    <hyperlink r:id="rId403" ref="AC124"/>
    <hyperlink r:id="rId404" ref="AG124"/>
    <hyperlink r:id="rId405" ref="M125"/>
    <hyperlink r:id="rId406" ref="R125"/>
    <hyperlink r:id="rId407" ref="AC125"/>
    <hyperlink r:id="rId408" ref="AG125"/>
    <hyperlink r:id="rId409" location="prepub" ref="AL125"/>
    <hyperlink r:id="rId410" location="PeerReviewPolicy" ref="M126"/>
    <hyperlink r:id="rId411" ref="M127"/>
    <hyperlink r:id="rId412" ref="O127"/>
    <hyperlink r:id="rId413" ref="AC127"/>
    <hyperlink r:id="rId414" ref="AG127"/>
    <hyperlink r:id="rId415" location="Prior%20Publication" ref="AG128"/>
    <hyperlink r:id="rId416" ref="AI128"/>
    <hyperlink r:id="rId417" location="overview" ref="M130"/>
    <hyperlink r:id="rId418" ref="O130"/>
    <hyperlink r:id="rId419" location="overview" ref="AC130"/>
    <hyperlink r:id="rId420" ref="M131"/>
    <hyperlink r:id="rId421" ref="R131"/>
    <hyperlink r:id="rId422" ref="AC131"/>
    <hyperlink r:id="rId423" ref="M132"/>
    <hyperlink r:id="rId424" ref="AP132"/>
    <hyperlink r:id="rId425" ref="M133"/>
    <hyperlink r:id="rId426" location="guide" ref="R133"/>
    <hyperlink r:id="rId427" location="anonymity" ref="AC133"/>
    <hyperlink r:id="rId428" location="anonymity" ref="M134"/>
    <hyperlink r:id="rId429" location="sub" ref="R134"/>
    <hyperlink r:id="rId430" location="anonymity" ref="AC134"/>
    <hyperlink r:id="rId431" location="anonymity" ref="M135"/>
    <hyperlink r:id="rId432" ref="N135"/>
    <hyperlink r:id="rId433" location="anonymity" ref="AC135"/>
    <hyperlink r:id="rId434" ref="M136"/>
    <hyperlink r:id="rId435" ref="N136"/>
    <hyperlink r:id="rId436" ref="R136"/>
    <hyperlink r:id="rId437" ref="AC136"/>
    <hyperlink r:id="rId438" ref="M137"/>
    <hyperlink r:id="rId439" ref="R137"/>
    <hyperlink r:id="rId440" ref="AG137"/>
    <hyperlink r:id="rId441" ref="M138"/>
    <hyperlink r:id="rId442" ref="R138"/>
    <hyperlink r:id="rId443" ref="AC138"/>
    <hyperlink r:id="rId444" ref="AG138"/>
    <hyperlink r:id="rId445" ref="M139"/>
    <hyperlink r:id="rId446" ref="O139"/>
    <hyperlink r:id="rId447" ref="AC139"/>
    <hyperlink r:id="rId448" location="EditorialPolicies" ref="M140"/>
    <hyperlink r:id="rId449" ref="O140"/>
    <hyperlink r:id="rId450" ref="AC140"/>
    <hyperlink r:id="rId451" ref="M141"/>
    <hyperlink r:id="rId452" ref="AG141"/>
    <hyperlink r:id="rId453" ref="M142"/>
    <hyperlink r:id="rId454" ref="M143"/>
    <hyperlink r:id="rId455" location="RRP" ref="O143"/>
    <hyperlink r:id="rId456" ref="R143"/>
    <hyperlink r:id="rId457" ref="AC143"/>
    <hyperlink r:id="rId458" ref="M144"/>
    <hyperlink r:id="rId459" location="RRP" ref="O144"/>
    <hyperlink r:id="rId460" ref="R144"/>
    <hyperlink r:id="rId461" ref="AC144"/>
    <hyperlink r:id="rId462" location="authorposting" ref="AG145"/>
    <hyperlink r:id="rId463" ref="AC146"/>
    <hyperlink r:id="rId464" ref="AG146"/>
    <hyperlink r:id="rId465" ref="M147"/>
    <hyperlink r:id="rId466" ref="R147"/>
    <hyperlink r:id="rId467" ref="AC147"/>
    <hyperlink r:id="rId468" ref="AG147"/>
    <hyperlink r:id="rId469" ref="M148"/>
    <hyperlink r:id="rId470" ref="AC148"/>
    <hyperlink r:id="rId471" ref="AG148"/>
    <hyperlink r:id="rId472" ref="M149"/>
    <hyperlink r:id="rId473" ref="R149"/>
    <hyperlink r:id="rId474" location="confidentiality" ref="AC149"/>
    <hyperlink r:id="rId475" location="confidentiality" ref="AG149"/>
    <hyperlink r:id="rId476" ref="M150"/>
    <hyperlink r:id="rId477" ref="R150"/>
    <hyperlink r:id="rId478" ref="AC151"/>
    <hyperlink r:id="rId479" ref="M152"/>
    <hyperlink r:id="rId480" ref="AG152"/>
    <hyperlink r:id="rId481" ref="M153"/>
    <hyperlink r:id="rId482" location="recognizing" ref="O153"/>
    <hyperlink r:id="rId483" ref="M154"/>
    <hyperlink r:id="rId484" ref="R154"/>
    <hyperlink r:id="rId485" ref="M155"/>
    <hyperlink r:id="rId486" ref="O155"/>
    <hyperlink r:id="rId487" ref="AG155"/>
    <hyperlink r:id="rId488" ref="M158"/>
    <hyperlink r:id="rId489" ref="AG158"/>
    <hyperlink r:id="rId490" ref="M159"/>
    <hyperlink r:id="rId491" location="preprintservers" ref="AG159"/>
    <hyperlink r:id="rId492" location="Editorial_Policies" ref="M160"/>
    <hyperlink r:id="rId493" location="Editorial_Policies" ref="AC160"/>
    <hyperlink r:id="rId494" location="Editorial_Policies" ref="AG160"/>
    <hyperlink r:id="rId495" ref="O161"/>
    <hyperlink r:id="rId496" ref="AC161"/>
    <hyperlink r:id="rId497" ref="AG161"/>
    <hyperlink r:id="rId498" ref="R162"/>
    <hyperlink r:id="rId499" ref="AG162"/>
    <hyperlink r:id="rId500" ref="M163"/>
    <hyperlink r:id="rId501" ref="R163"/>
    <hyperlink r:id="rId502" ref="M164"/>
    <hyperlink r:id="rId503" ref="R164"/>
    <hyperlink r:id="rId504" ref="AG164"/>
    <hyperlink r:id="rId505" ref="M165"/>
    <hyperlink r:id="rId506" ref="R165"/>
    <hyperlink r:id="rId507" location="Manuscript" ref="M166"/>
    <hyperlink r:id="rId508" ref="O166"/>
    <hyperlink r:id="rId509" ref="AG167"/>
    <hyperlink r:id="rId510" ref="M168"/>
    <hyperlink r:id="rId511" ref="AG168"/>
    <hyperlink r:id="rId512" ref="AG169"/>
    <hyperlink r:id="rId513" ref="M171"/>
    <hyperlink r:id="rId514" location="RRP" ref="O171"/>
    <hyperlink r:id="rId515" ref="R171"/>
    <hyperlink r:id="rId516" ref="AC171"/>
    <hyperlink r:id="rId517" ref="AG171"/>
    <hyperlink r:id="rId518" ref="M172"/>
    <hyperlink r:id="rId519" location="recognizing" ref="O172"/>
    <hyperlink r:id="rId520" ref="R172"/>
    <hyperlink r:id="rId521" ref="AC172"/>
    <hyperlink r:id="rId522" ref="AG172"/>
  </hyperlinks>
  <drawing r:id="rId5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2</v>
      </c>
      <c r="B1" s="6" t="s">
        <v>3</v>
      </c>
      <c r="C1" s="6" t="s">
        <v>5</v>
      </c>
      <c r="D1" s="6" t="s">
        <v>6</v>
      </c>
      <c r="E1" s="6" t="s">
        <v>7</v>
      </c>
    </row>
    <row r="2">
      <c r="A2" s="8" t="s">
        <v>8</v>
      </c>
      <c r="B2" s="10" t="s">
        <v>13</v>
      </c>
      <c r="C2" s="12" t="s">
        <v>15</v>
      </c>
      <c r="D2" s="10" t="s">
        <v>17</v>
      </c>
      <c r="E2" s="14" t="s">
        <v>18</v>
      </c>
      <c r="F2" s="20" t="s">
        <v>21</v>
      </c>
    </row>
    <row r="3">
      <c r="A3" s="22" t="s">
        <v>8</v>
      </c>
      <c r="B3" s="26" t="s">
        <v>54</v>
      </c>
      <c r="C3" s="28" t="s">
        <v>57</v>
      </c>
      <c r="D3" s="26" t="s">
        <v>59</v>
      </c>
      <c r="E3" s="30">
        <v>43409.0</v>
      </c>
      <c r="F3" s="36">
        <f t="array" ref="F3:ALQ3">transpose(Filtered!F2:F1005)</f>
        <v>43581</v>
      </c>
      <c r="G3" s="36">
        <v>43581.0</v>
      </c>
      <c r="H3" s="36">
        <v>43581.0</v>
      </c>
      <c r="I3" s="36">
        <v>43581.0</v>
      </c>
      <c r="J3" s="36">
        <v>43581.0</v>
      </c>
      <c r="K3" s="36">
        <v>43581.0</v>
      </c>
      <c r="L3" s="36">
        <v>43581.0</v>
      </c>
      <c r="M3" s="36">
        <v>43581.0</v>
      </c>
      <c r="N3" s="36">
        <v>43579.0</v>
      </c>
      <c r="O3" s="36">
        <v>43579.0</v>
      </c>
      <c r="P3" s="36">
        <v>43579.0</v>
      </c>
      <c r="Q3" s="36">
        <v>43579.0</v>
      </c>
      <c r="R3" s="36">
        <v>43579.0</v>
      </c>
      <c r="S3" s="36">
        <v>43579.0</v>
      </c>
      <c r="T3" s="36">
        <v>43579.0</v>
      </c>
      <c r="U3" s="36">
        <v>43580.0</v>
      </c>
      <c r="V3" s="36">
        <v>43580.0</v>
      </c>
      <c r="W3" s="36">
        <v>43580.0</v>
      </c>
      <c r="X3" s="36">
        <v>43580.0</v>
      </c>
      <c r="Y3" s="36">
        <v>43580.0</v>
      </c>
      <c r="Z3" s="36">
        <v>43583.0</v>
      </c>
      <c r="AA3" s="36">
        <v>43583.0</v>
      </c>
      <c r="AB3" s="36">
        <v>43583.0</v>
      </c>
      <c r="AC3" s="36">
        <v>43583.0</v>
      </c>
      <c r="AD3" s="36">
        <v>43583.0</v>
      </c>
      <c r="AE3" s="36">
        <v>43581.0</v>
      </c>
      <c r="AF3" s="39">
        <v>43581.0</v>
      </c>
      <c r="AG3" s="36">
        <v>43581.0</v>
      </c>
      <c r="AH3" s="36">
        <v>43581.0</v>
      </c>
      <c r="AI3" s="36">
        <v>43581.0</v>
      </c>
      <c r="AJ3" s="36">
        <v>43581.0</v>
      </c>
      <c r="AK3" s="36">
        <v>43581.0</v>
      </c>
      <c r="AL3" s="36">
        <v>43581.0</v>
      </c>
      <c r="AM3" s="36">
        <v>43580.0</v>
      </c>
      <c r="AN3" s="36">
        <v>43580.0</v>
      </c>
      <c r="AO3" s="36">
        <v>43580.0</v>
      </c>
      <c r="AP3" s="36">
        <v>43580.0</v>
      </c>
      <c r="AQ3" s="36">
        <v>43580.0</v>
      </c>
      <c r="AR3" s="36">
        <v>43580.0</v>
      </c>
      <c r="AS3" s="36">
        <v>43580.0</v>
      </c>
      <c r="AT3" s="36">
        <v>43580.0</v>
      </c>
      <c r="AU3" s="36">
        <v>43583.0</v>
      </c>
      <c r="AV3" s="36">
        <v>43583.0</v>
      </c>
      <c r="AW3" s="36">
        <v>43583.0</v>
      </c>
      <c r="AX3" s="36">
        <v>43583.0</v>
      </c>
      <c r="AY3" s="36">
        <v>43580.0</v>
      </c>
      <c r="AZ3" s="36">
        <v>43580.0</v>
      </c>
      <c r="BA3" s="36">
        <v>43580.0</v>
      </c>
      <c r="BB3" s="36">
        <v>43580.0</v>
      </c>
      <c r="BC3" s="36">
        <v>43581.0</v>
      </c>
      <c r="BD3" s="36">
        <v>43583.0</v>
      </c>
      <c r="BE3" s="36">
        <v>43583.0</v>
      </c>
      <c r="BF3" s="36">
        <v>43583.0</v>
      </c>
      <c r="BG3" s="36">
        <v>43581.0</v>
      </c>
      <c r="BH3" s="36">
        <v>43581.0</v>
      </c>
      <c r="BI3" s="36">
        <v>43581.0</v>
      </c>
      <c r="BJ3" s="36">
        <v>43581.0</v>
      </c>
      <c r="BK3" s="36">
        <v>43581.0</v>
      </c>
      <c r="BL3" s="36">
        <v>43581.0</v>
      </c>
      <c r="BM3" s="36">
        <v>43581.0</v>
      </c>
      <c r="BN3" s="36">
        <v>43581.0</v>
      </c>
      <c r="BO3" s="36">
        <v>43581.0</v>
      </c>
      <c r="BP3" s="36">
        <v>43581.0</v>
      </c>
      <c r="BQ3" s="36">
        <v>43581.0</v>
      </c>
      <c r="BR3" s="36">
        <v>43581.0</v>
      </c>
      <c r="BS3" s="36">
        <v>43581.0</v>
      </c>
      <c r="BT3" s="36">
        <v>43581.0</v>
      </c>
      <c r="BU3" s="36">
        <v>43581.0</v>
      </c>
      <c r="BV3" s="36">
        <v>43581.0</v>
      </c>
      <c r="BW3" s="36">
        <v>43581.0</v>
      </c>
      <c r="BX3" s="36">
        <v>43581.0</v>
      </c>
      <c r="BY3" s="36">
        <v>43581.0</v>
      </c>
      <c r="BZ3" s="36">
        <v>43581.0</v>
      </c>
      <c r="CA3" s="36">
        <v>43581.0</v>
      </c>
      <c r="CB3" s="36">
        <v>43581.0</v>
      </c>
      <c r="CC3" s="36">
        <v>43581.0</v>
      </c>
      <c r="CD3" s="36">
        <v>43581.0</v>
      </c>
      <c r="CE3" s="36">
        <v>43583.0</v>
      </c>
      <c r="CF3" s="36">
        <v>43583.0</v>
      </c>
      <c r="CG3" s="36">
        <v>43583.0</v>
      </c>
      <c r="CH3" s="36">
        <v>43583.0</v>
      </c>
      <c r="CI3" s="36">
        <v>43581.0</v>
      </c>
      <c r="CJ3" s="36">
        <v>43581.0</v>
      </c>
      <c r="CK3" s="36">
        <v>43581.0</v>
      </c>
      <c r="CL3" s="36">
        <v>43581.0</v>
      </c>
      <c r="CM3" s="36">
        <v>43581.0</v>
      </c>
      <c r="CN3" s="36">
        <v>43581.0</v>
      </c>
      <c r="CO3" s="36">
        <v>43581.0</v>
      </c>
      <c r="CP3" s="36">
        <v>43581.0</v>
      </c>
      <c r="CQ3" s="36">
        <v>43581.0</v>
      </c>
      <c r="CR3" s="36">
        <v>43581.0</v>
      </c>
      <c r="CS3" s="36">
        <v>43581.0</v>
      </c>
      <c r="CT3" s="36">
        <v>43581.0</v>
      </c>
      <c r="CU3" s="45">
        <v>43581.0</v>
      </c>
      <c r="CV3" s="45">
        <v>43581.0</v>
      </c>
      <c r="CW3" s="45">
        <v>43581.0</v>
      </c>
      <c r="CX3" s="45">
        <v>43581.0</v>
      </c>
      <c r="CY3" s="36">
        <v>43583.0</v>
      </c>
      <c r="CZ3" s="36">
        <v>43583.0</v>
      </c>
      <c r="DA3" s="36">
        <v>43583.0</v>
      </c>
      <c r="DB3" s="36">
        <v>43581.0</v>
      </c>
      <c r="DC3" s="36">
        <v>43581.0</v>
      </c>
      <c r="DD3" s="36">
        <v>43581.0</v>
      </c>
      <c r="DE3" s="36">
        <v>43581.0</v>
      </c>
      <c r="DF3" s="36">
        <v>43581.0</v>
      </c>
      <c r="DG3" s="36">
        <v>43583.0</v>
      </c>
      <c r="DH3" s="36">
        <v>43581.0</v>
      </c>
      <c r="DI3" s="36">
        <v>43581.0</v>
      </c>
      <c r="DJ3" s="36">
        <v>43581.0</v>
      </c>
      <c r="DK3" s="36">
        <v>43581.0</v>
      </c>
      <c r="DL3" s="36">
        <v>43581.0</v>
      </c>
      <c r="DM3" s="36">
        <v>43581.0</v>
      </c>
      <c r="DN3" s="36">
        <v>43581.0</v>
      </c>
      <c r="DO3" s="36">
        <v>43583.0</v>
      </c>
      <c r="DP3" s="36">
        <v>43583.0</v>
      </c>
      <c r="DQ3" s="36">
        <v>43581.0</v>
      </c>
      <c r="DR3" s="36">
        <v>43581.0</v>
      </c>
      <c r="DS3" s="36">
        <v>43583.0</v>
      </c>
      <c r="DT3" s="36">
        <v>43583.0</v>
      </c>
      <c r="DU3" s="36">
        <v>43583.0</v>
      </c>
      <c r="DV3" s="36">
        <v>43583.0</v>
      </c>
      <c r="DW3" s="36">
        <v>43583.0</v>
      </c>
      <c r="DX3" s="36">
        <v>43583.0</v>
      </c>
      <c r="DY3" s="36">
        <v>43583.0</v>
      </c>
      <c r="DZ3" s="36">
        <v>43581.0</v>
      </c>
      <c r="EA3" s="36">
        <v>43581.0</v>
      </c>
      <c r="EB3" s="36">
        <v>43581.0</v>
      </c>
      <c r="EC3" s="36">
        <v>43581.0</v>
      </c>
      <c r="ED3" s="36">
        <v>43581.0</v>
      </c>
      <c r="EE3" s="36">
        <v>43581.0</v>
      </c>
      <c r="EF3" s="36">
        <v>43581.0</v>
      </c>
      <c r="EG3" s="36">
        <v>43581.0</v>
      </c>
      <c r="EH3" s="36">
        <v>43581.0</v>
      </c>
      <c r="EI3" s="36">
        <v>43581.0</v>
      </c>
      <c r="EJ3" s="36">
        <v>43581.0</v>
      </c>
      <c r="EK3" s="36">
        <v>43581.0</v>
      </c>
      <c r="EL3" s="36">
        <v>43581.0</v>
      </c>
      <c r="EM3" s="36">
        <v>43581.0</v>
      </c>
      <c r="EN3" s="36">
        <v>43581.0</v>
      </c>
      <c r="EO3" s="36">
        <v>43581.0</v>
      </c>
      <c r="EP3" s="36">
        <v>43581.0</v>
      </c>
      <c r="EQ3" s="36">
        <v>43581.0</v>
      </c>
      <c r="ER3" s="36">
        <v>43581.0</v>
      </c>
      <c r="ES3" s="36">
        <v>43581.0</v>
      </c>
      <c r="ET3" s="36">
        <v>43581.0</v>
      </c>
      <c r="EU3" s="36">
        <v>43581.0</v>
      </c>
      <c r="EV3" s="36">
        <v>43581.0</v>
      </c>
      <c r="EW3" s="36">
        <v>43581.0</v>
      </c>
      <c r="EX3" s="36">
        <v>43581.0</v>
      </c>
      <c r="EY3" s="36">
        <v>43583.0</v>
      </c>
      <c r="EZ3" s="36">
        <v>43583.0</v>
      </c>
      <c r="FA3" s="36">
        <v>43583.0</v>
      </c>
      <c r="FB3" s="36">
        <v>43581.0</v>
      </c>
      <c r="FC3" s="36">
        <v>43581.0</v>
      </c>
      <c r="FD3" s="36">
        <v>43581.0</v>
      </c>
      <c r="FE3" s="36">
        <v>43581.0</v>
      </c>
      <c r="FF3" s="36">
        <v>43581.0</v>
      </c>
      <c r="FG3" s="36">
        <v>43581.0</v>
      </c>
      <c r="FH3" s="36">
        <v>43581.0</v>
      </c>
      <c r="FI3" s="36">
        <v>43581.0</v>
      </c>
      <c r="FJ3" s="36">
        <v>43581.0</v>
      </c>
      <c r="FK3" s="36">
        <v>43581.0</v>
      </c>
      <c r="FL3" s="36">
        <v>43581.0</v>
      </c>
      <c r="FM3" s="36">
        <v>43581.0</v>
      </c>
      <c r="FN3" s="36">
        <v>43581.0</v>
      </c>
      <c r="FO3" s="36">
        <v>43581.0</v>
      </c>
      <c r="FP3" s="36">
        <v>43581.0</v>
      </c>
      <c r="FQ3" s="36">
        <v>43581.0</v>
      </c>
      <c r="FR3" s="36">
        <v>43581.0</v>
      </c>
      <c r="FS3" s="36">
        <v>43581.0</v>
      </c>
      <c r="FT3" s="36">
        <v>43583.0</v>
      </c>
    </row>
    <row r="4">
      <c r="A4" s="8" t="s">
        <v>94</v>
      </c>
      <c r="B4" s="10" t="s">
        <v>12</v>
      </c>
      <c r="C4" s="12" t="s">
        <v>95</v>
      </c>
      <c r="D4" s="8"/>
      <c r="E4" s="55" t="s">
        <v>96</v>
      </c>
    </row>
    <row r="5">
      <c r="A5" s="8" t="s">
        <v>94</v>
      </c>
      <c r="B5" s="10" t="s">
        <v>14</v>
      </c>
      <c r="C5" s="12" t="s">
        <v>97</v>
      </c>
      <c r="D5" s="10" t="s">
        <v>98</v>
      </c>
      <c r="E5" s="57" t="s">
        <v>99</v>
      </c>
      <c r="F5" t="str">
        <f t="array" ref="F5:ALQ5">TRANSPOSE(Filtered!I2:I1005)</f>
        <v>Academic Medicine</v>
      </c>
      <c r="G5" t="s">
        <v>101</v>
      </c>
      <c r="H5" t="s">
        <v>102</v>
      </c>
      <c r="I5" t="s">
        <v>103</v>
      </c>
      <c r="J5" t="s">
        <v>105</v>
      </c>
      <c r="K5" t="s">
        <v>106</v>
      </c>
      <c r="L5" t="s">
        <v>108</v>
      </c>
      <c r="M5" t="s">
        <v>109</v>
      </c>
      <c r="N5" t="s">
        <v>110</v>
      </c>
      <c r="O5" t="s">
        <v>112</v>
      </c>
      <c r="P5" t="s">
        <v>113</v>
      </c>
      <c r="Q5" t="s">
        <v>114</v>
      </c>
      <c r="R5" t="s">
        <v>115</v>
      </c>
      <c r="S5" t="s">
        <v>116</v>
      </c>
      <c r="T5" t="s">
        <v>117</v>
      </c>
      <c r="U5" t="s">
        <v>118</v>
      </c>
      <c r="V5" t="s">
        <v>119</v>
      </c>
      <c r="W5" t="s">
        <v>120</v>
      </c>
      <c r="X5" t="s">
        <v>121</v>
      </c>
      <c r="Y5" t="s">
        <v>122</v>
      </c>
      <c r="Z5" t="s">
        <v>123</v>
      </c>
      <c r="AA5" t="s">
        <v>124</v>
      </c>
      <c r="AB5" t="s">
        <v>125</v>
      </c>
      <c r="AC5" t="s">
        <v>126</v>
      </c>
      <c r="AD5" t="s">
        <v>127</v>
      </c>
      <c r="AE5" t="s">
        <v>128</v>
      </c>
      <c r="AF5" t="s">
        <v>129</v>
      </c>
      <c r="AG5" t="s">
        <v>130</v>
      </c>
      <c r="AH5" t="s">
        <v>131</v>
      </c>
      <c r="AI5" t="s">
        <v>132</v>
      </c>
      <c r="AJ5" t="s">
        <v>133</v>
      </c>
      <c r="AK5" t="s">
        <v>134</v>
      </c>
      <c r="AL5" t="s">
        <v>135</v>
      </c>
      <c r="AM5" t="s">
        <v>136</v>
      </c>
      <c r="AN5" t="s">
        <v>137</v>
      </c>
      <c r="AO5" t="s">
        <v>138</v>
      </c>
      <c r="AP5" t="s">
        <v>139</v>
      </c>
      <c r="AQ5" t="s">
        <v>140</v>
      </c>
      <c r="AR5" t="s">
        <v>141</v>
      </c>
      <c r="AS5" t="s">
        <v>142</v>
      </c>
      <c r="AT5" t="s">
        <v>143</v>
      </c>
      <c r="AU5" t="s">
        <v>144</v>
      </c>
      <c r="AV5" t="s">
        <v>145</v>
      </c>
      <c r="AW5" t="s">
        <v>147</v>
      </c>
      <c r="AX5" t="s">
        <v>148</v>
      </c>
      <c r="AY5" t="s">
        <v>149</v>
      </c>
      <c r="AZ5" t="s">
        <v>150</v>
      </c>
      <c r="BA5" t="s">
        <v>151</v>
      </c>
      <c r="BB5" t="s">
        <v>152</v>
      </c>
      <c r="BC5" t="s">
        <v>153</v>
      </c>
      <c r="BD5" t="s">
        <v>154</v>
      </c>
      <c r="BE5" t="s">
        <v>155</v>
      </c>
      <c r="BF5" t="s">
        <v>156</v>
      </c>
      <c r="BG5" t="s">
        <v>157</v>
      </c>
      <c r="BH5" t="s">
        <v>158</v>
      </c>
      <c r="BI5" t="s">
        <v>159</v>
      </c>
      <c r="BJ5" t="s">
        <v>160</v>
      </c>
      <c r="BK5" t="s">
        <v>161</v>
      </c>
      <c r="BL5" t="s">
        <v>162</v>
      </c>
      <c r="BM5" t="s">
        <v>163</v>
      </c>
      <c r="BN5" t="s">
        <v>164</v>
      </c>
      <c r="BO5" t="s">
        <v>165</v>
      </c>
      <c r="BP5" t="s">
        <v>166</v>
      </c>
      <c r="BQ5" t="s">
        <v>167</v>
      </c>
      <c r="BR5" t="s">
        <v>168</v>
      </c>
      <c r="BS5" t="s">
        <v>169</v>
      </c>
      <c r="BT5" t="s">
        <v>170</v>
      </c>
      <c r="BU5" t="s">
        <v>171</v>
      </c>
      <c r="BV5" t="s">
        <v>172</v>
      </c>
      <c r="BW5" t="s">
        <v>173</v>
      </c>
      <c r="BX5" t="s">
        <v>174</v>
      </c>
      <c r="BY5" t="s">
        <v>175</v>
      </c>
      <c r="BZ5" t="s">
        <v>176</v>
      </c>
      <c r="CA5" t="s">
        <v>177</v>
      </c>
      <c r="CB5" t="s">
        <v>178</v>
      </c>
      <c r="CC5" t="s">
        <v>180</v>
      </c>
      <c r="CD5" t="s">
        <v>181</v>
      </c>
      <c r="CE5" t="s">
        <v>182</v>
      </c>
      <c r="CF5" t="s">
        <v>183</v>
      </c>
      <c r="CG5" t="s">
        <v>184</v>
      </c>
      <c r="CH5" t="s">
        <v>185</v>
      </c>
      <c r="CI5" t="s">
        <v>186</v>
      </c>
      <c r="CJ5" t="s">
        <v>187</v>
      </c>
      <c r="CK5" t="s">
        <v>188</v>
      </c>
      <c r="CL5" t="s">
        <v>190</v>
      </c>
      <c r="CM5" t="s">
        <v>191</v>
      </c>
      <c r="CN5" t="s">
        <v>193</v>
      </c>
      <c r="CO5" t="s">
        <v>194</v>
      </c>
      <c r="CP5" t="s">
        <v>195</v>
      </c>
      <c r="CQ5" t="s">
        <v>196</v>
      </c>
      <c r="CR5" t="s">
        <v>197</v>
      </c>
      <c r="CS5" t="s">
        <v>198</v>
      </c>
      <c r="CT5" t="s">
        <v>199</v>
      </c>
      <c r="CU5" t="s">
        <v>200</v>
      </c>
      <c r="CV5" t="s">
        <v>201</v>
      </c>
      <c r="CW5" t="s">
        <v>202</v>
      </c>
      <c r="CX5" t="s">
        <v>203</v>
      </c>
      <c r="CY5" t="s">
        <v>204</v>
      </c>
      <c r="CZ5" t="s">
        <v>205</v>
      </c>
      <c r="DA5" t="s">
        <v>206</v>
      </c>
      <c r="DB5" t="s">
        <v>207</v>
      </c>
      <c r="DC5" t="s">
        <v>208</v>
      </c>
      <c r="DD5" t="s">
        <v>209</v>
      </c>
      <c r="DE5" t="s">
        <v>210</v>
      </c>
      <c r="DF5" t="s">
        <v>211</v>
      </c>
      <c r="DG5" t="s">
        <v>212</v>
      </c>
      <c r="DH5" t="s">
        <v>213</v>
      </c>
      <c r="DI5" t="s">
        <v>214</v>
      </c>
      <c r="DJ5" t="s">
        <v>215</v>
      </c>
      <c r="DK5" t="s">
        <v>216</v>
      </c>
      <c r="DL5" t="s">
        <v>217</v>
      </c>
      <c r="DM5" t="s">
        <v>218</v>
      </c>
      <c r="DN5" t="s">
        <v>219</v>
      </c>
      <c r="DO5" t="s">
        <v>220</v>
      </c>
      <c r="DP5" t="s">
        <v>221</v>
      </c>
      <c r="DQ5" t="s">
        <v>222</v>
      </c>
      <c r="DR5" t="s">
        <v>223</v>
      </c>
      <c r="DS5" t="s">
        <v>224</v>
      </c>
      <c r="DT5" t="s">
        <v>225</v>
      </c>
      <c r="DU5" t="s">
        <v>226</v>
      </c>
      <c r="DV5" t="s">
        <v>227</v>
      </c>
      <c r="DW5" t="s">
        <v>228</v>
      </c>
      <c r="DX5" t="s">
        <v>229</v>
      </c>
      <c r="DY5" t="s">
        <v>230</v>
      </c>
      <c r="DZ5" t="s">
        <v>231</v>
      </c>
      <c r="EA5" t="s">
        <v>232</v>
      </c>
      <c r="EB5" t="s">
        <v>233</v>
      </c>
      <c r="EC5" t="s">
        <v>234</v>
      </c>
      <c r="ED5" t="s">
        <v>235</v>
      </c>
      <c r="EE5" t="s">
        <v>236</v>
      </c>
      <c r="EF5" t="s">
        <v>237</v>
      </c>
      <c r="EG5" t="s">
        <v>239</v>
      </c>
      <c r="EH5" t="s">
        <v>240</v>
      </c>
      <c r="EI5" t="s">
        <v>241</v>
      </c>
      <c r="EJ5" t="s">
        <v>242</v>
      </c>
      <c r="EK5" t="s">
        <v>243</v>
      </c>
      <c r="EL5" t="s">
        <v>244</v>
      </c>
      <c r="EM5" t="s">
        <v>245</v>
      </c>
      <c r="EN5" t="s">
        <v>246</v>
      </c>
      <c r="EO5" t="s">
        <v>247</v>
      </c>
      <c r="EP5" t="s">
        <v>248</v>
      </c>
      <c r="EQ5" t="s">
        <v>249</v>
      </c>
      <c r="ER5" t="s">
        <v>250</v>
      </c>
      <c r="ES5" t="s">
        <v>251</v>
      </c>
      <c r="ET5" t="s">
        <v>252</v>
      </c>
      <c r="EU5" t="s">
        <v>253</v>
      </c>
      <c r="EV5" t="s">
        <v>254</v>
      </c>
      <c r="EW5" t="s">
        <v>255</v>
      </c>
      <c r="EX5" t="s">
        <v>256</v>
      </c>
      <c r="EY5" t="s">
        <v>257</v>
      </c>
      <c r="EZ5" t="s">
        <v>259</v>
      </c>
      <c r="FA5" t="s">
        <v>260</v>
      </c>
      <c r="FB5" t="s">
        <v>261</v>
      </c>
      <c r="FC5" t="s">
        <v>262</v>
      </c>
      <c r="FD5" t="s">
        <v>263</v>
      </c>
      <c r="FE5" t="s">
        <v>264</v>
      </c>
      <c r="FF5" t="s">
        <v>265</v>
      </c>
      <c r="FG5" t="s">
        <v>266</v>
      </c>
      <c r="FH5" t="s">
        <v>267</v>
      </c>
      <c r="FI5" t="s">
        <v>268</v>
      </c>
      <c r="FJ5" t="s">
        <v>269</v>
      </c>
      <c r="FK5" t="s">
        <v>270</v>
      </c>
      <c r="FL5" t="s">
        <v>271</v>
      </c>
      <c r="FM5" t="s">
        <v>272</v>
      </c>
      <c r="FN5" t="s">
        <v>273</v>
      </c>
      <c r="FO5" t="s">
        <v>274</v>
      </c>
      <c r="FP5" t="s">
        <v>275</v>
      </c>
      <c r="FQ5" t="s">
        <v>276</v>
      </c>
      <c r="FR5" t="s">
        <v>277</v>
      </c>
      <c r="FS5" t="s">
        <v>278</v>
      </c>
      <c r="FT5" t="s">
        <v>279</v>
      </c>
    </row>
    <row r="6">
      <c r="A6" s="8" t="s">
        <v>281</v>
      </c>
      <c r="B6" s="10" t="s">
        <v>281</v>
      </c>
      <c r="C6" s="75" t="s">
        <v>283</v>
      </c>
      <c r="D6" s="10"/>
      <c r="E6" s="55"/>
    </row>
    <row r="7">
      <c r="A7" s="8"/>
      <c r="B7" s="10" t="s">
        <v>287</v>
      </c>
      <c r="C7" s="75" t="s">
        <v>288</v>
      </c>
      <c r="D7" s="10" t="s">
        <v>289</v>
      </c>
      <c r="E7" s="55"/>
    </row>
    <row r="8">
      <c r="A8" s="8" t="s">
        <v>94</v>
      </c>
      <c r="B8" s="10" t="s">
        <v>19</v>
      </c>
      <c r="C8" s="80" t="s">
        <v>62</v>
      </c>
      <c r="D8" s="10" t="s">
        <v>98</v>
      </c>
      <c r="E8" s="55" t="s">
        <v>292</v>
      </c>
      <c r="F8" t="str">
        <f t="array" ref="F8:ALQ8">Transpose(Filtered!K2:K1005)</f>
        <v>Wolters Kluwer</v>
      </c>
      <c r="G8" t="s">
        <v>294</v>
      </c>
      <c r="H8" t="s">
        <v>294</v>
      </c>
      <c r="I8" t="s">
        <v>294</v>
      </c>
      <c r="J8" t="s">
        <v>295</v>
      </c>
      <c r="K8" t="s">
        <v>294</v>
      </c>
      <c r="L8" t="s">
        <v>296</v>
      </c>
      <c r="M8" t="s">
        <v>296</v>
      </c>
      <c r="N8" t="s">
        <v>296</v>
      </c>
      <c r="O8" t="s">
        <v>297</v>
      </c>
      <c r="P8" t="s">
        <v>298</v>
      </c>
      <c r="R8" t="s">
        <v>299</v>
      </c>
      <c r="S8" t="s">
        <v>300</v>
      </c>
      <c r="T8" t="s">
        <v>296</v>
      </c>
      <c r="U8" t="s">
        <v>302</v>
      </c>
      <c r="V8" t="s">
        <v>303</v>
      </c>
      <c r="W8" t="s">
        <v>304</v>
      </c>
      <c r="X8" t="s">
        <v>305</v>
      </c>
      <c r="Y8" t="s">
        <v>305</v>
      </c>
      <c r="Z8" t="s">
        <v>303</v>
      </c>
      <c r="AA8" t="s">
        <v>306</v>
      </c>
      <c r="AB8" t="s">
        <v>307</v>
      </c>
      <c r="AC8" t="s">
        <v>305</v>
      </c>
      <c r="AE8" t="s">
        <v>308</v>
      </c>
      <c r="AF8" t="s">
        <v>309</v>
      </c>
      <c r="AG8" t="s">
        <v>310</v>
      </c>
      <c r="AH8" t="s">
        <v>309</v>
      </c>
      <c r="AI8" t="s">
        <v>309</v>
      </c>
      <c r="AJ8" t="s">
        <v>309</v>
      </c>
      <c r="AK8" t="s">
        <v>311</v>
      </c>
      <c r="AL8" t="s">
        <v>312</v>
      </c>
      <c r="AM8" t="s">
        <v>311</v>
      </c>
      <c r="AN8" t="s">
        <v>312</v>
      </c>
      <c r="AO8" t="s">
        <v>313</v>
      </c>
      <c r="AP8" t="s">
        <v>314</v>
      </c>
      <c r="AQ8" t="s">
        <v>310</v>
      </c>
      <c r="AR8" t="s">
        <v>305</v>
      </c>
      <c r="AS8" t="s">
        <v>316</v>
      </c>
      <c r="AT8" t="s">
        <v>317</v>
      </c>
      <c r="AU8" t="s">
        <v>318</v>
      </c>
      <c r="AV8" t="s">
        <v>311</v>
      </c>
      <c r="AW8" t="s">
        <v>319</v>
      </c>
      <c r="AX8" t="s">
        <v>320</v>
      </c>
      <c r="AY8" t="s">
        <v>305</v>
      </c>
      <c r="AZ8" t="s">
        <v>321</v>
      </c>
      <c r="BA8" t="s">
        <v>322</v>
      </c>
      <c r="BB8" t="s">
        <v>323</v>
      </c>
      <c r="BC8" t="s">
        <v>305</v>
      </c>
      <c r="BE8" t="s">
        <v>325</v>
      </c>
      <c r="BF8" t="s">
        <v>326</v>
      </c>
      <c r="BG8" t="s">
        <v>328</v>
      </c>
      <c r="BL8" t="s">
        <v>330</v>
      </c>
      <c r="BM8" t="s">
        <v>331</v>
      </c>
      <c r="BN8" t="s">
        <v>331</v>
      </c>
      <c r="BQ8" t="s">
        <v>305</v>
      </c>
      <c r="BR8" t="s">
        <v>332</v>
      </c>
      <c r="BS8" t="s">
        <v>305</v>
      </c>
      <c r="BT8" t="s">
        <v>333</v>
      </c>
      <c r="BU8" t="s">
        <v>334</v>
      </c>
      <c r="BV8" t="s">
        <v>305</v>
      </c>
      <c r="BW8" t="s">
        <v>335</v>
      </c>
      <c r="BX8" t="s">
        <v>305</v>
      </c>
      <c r="BY8" t="s">
        <v>305</v>
      </c>
      <c r="BZ8" t="s">
        <v>336</v>
      </c>
      <c r="CA8" t="s">
        <v>337</v>
      </c>
      <c r="CB8" t="s">
        <v>338</v>
      </c>
      <c r="CC8" t="s">
        <v>297</v>
      </c>
      <c r="CD8" t="s">
        <v>339</v>
      </c>
      <c r="CE8" t="s">
        <v>305</v>
      </c>
      <c r="CF8" t="s">
        <v>340</v>
      </c>
      <c r="CH8" t="s">
        <v>341</v>
      </c>
      <c r="CI8" t="s">
        <v>342</v>
      </c>
      <c r="CJ8" t="s">
        <v>311</v>
      </c>
      <c r="CK8" t="s">
        <v>305</v>
      </c>
      <c r="CL8" t="s">
        <v>319</v>
      </c>
      <c r="CM8" t="s">
        <v>343</v>
      </c>
      <c r="CN8" t="s">
        <v>341</v>
      </c>
      <c r="CO8" t="s">
        <v>322</v>
      </c>
      <c r="CP8" t="s">
        <v>317</v>
      </c>
      <c r="CQ8" t="s">
        <v>317</v>
      </c>
      <c r="CR8" t="s">
        <v>305</v>
      </c>
      <c r="CS8" t="s">
        <v>344</v>
      </c>
      <c r="CT8" t="s">
        <v>305</v>
      </c>
      <c r="CU8" t="s">
        <v>345</v>
      </c>
      <c r="CV8" t="s">
        <v>346</v>
      </c>
      <c r="CW8" t="s">
        <v>322</v>
      </c>
      <c r="CX8" t="s">
        <v>305</v>
      </c>
      <c r="CZ8" t="s">
        <v>319</v>
      </c>
      <c r="DA8" t="s">
        <v>311</v>
      </c>
      <c r="DB8" t="s">
        <v>347</v>
      </c>
      <c r="DC8" t="s">
        <v>347</v>
      </c>
      <c r="DD8" t="s">
        <v>347</v>
      </c>
      <c r="DE8" t="s">
        <v>347</v>
      </c>
      <c r="DF8" t="s">
        <v>347</v>
      </c>
      <c r="DH8" t="s">
        <v>347</v>
      </c>
      <c r="DI8" t="s">
        <v>347</v>
      </c>
      <c r="DJ8" t="s">
        <v>347</v>
      </c>
      <c r="DK8" t="s">
        <v>347</v>
      </c>
      <c r="DL8" t="s">
        <v>347</v>
      </c>
      <c r="DM8" t="s">
        <v>347</v>
      </c>
      <c r="DN8" t="s">
        <v>347</v>
      </c>
      <c r="DO8" t="s">
        <v>347</v>
      </c>
      <c r="DP8" t="s">
        <v>347</v>
      </c>
      <c r="DX8" t="s">
        <v>305</v>
      </c>
      <c r="DY8" t="s">
        <v>348</v>
      </c>
      <c r="DZ8" t="s">
        <v>322</v>
      </c>
      <c r="EA8" t="s">
        <v>344</v>
      </c>
      <c r="EB8" t="s">
        <v>349</v>
      </c>
      <c r="EC8" t="s">
        <v>350</v>
      </c>
      <c r="ED8" t="s">
        <v>351</v>
      </c>
      <c r="EE8" t="s">
        <v>353</v>
      </c>
      <c r="EF8" t="s">
        <v>347</v>
      </c>
      <c r="EG8" t="s">
        <v>354</v>
      </c>
      <c r="EH8" t="s">
        <v>354</v>
      </c>
      <c r="EI8" t="s">
        <v>354</v>
      </c>
      <c r="EJ8" t="s">
        <v>354</v>
      </c>
      <c r="EK8" t="s">
        <v>305</v>
      </c>
      <c r="EL8" t="s">
        <v>355</v>
      </c>
      <c r="EM8" t="s">
        <v>356</v>
      </c>
      <c r="EN8" t="s">
        <v>322</v>
      </c>
      <c r="EO8" t="s">
        <v>349</v>
      </c>
      <c r="EP8" t="s">
        <v>317</v>
      </c>
      <c r="EQ8" t="s">
        <v>305</v>
      </c>
      <c r="ER8" t="s">
        <v>305</v>
      </c>
      <c r="ES8" t="s">
        <v>357</v>
      </c>
      <c r="ET8" t="s">
        <v>354</v>
      </c>
      <c r="EU8" t="s">
        <v>358</v>
      </c>
      <c r="EW8" t="s">
        <v>347</v>
      </c>
      <c r="EX8" t="s">
        <v>305</v>
      </c>
      <c r="EY8" t="s">
        <v>359</v>
      </c>
      <c r="EZ8" t="s">
        <v>341</v>
      </c>
      <c r="FA8" t="s">
        <v>305</v>
      </c>
      <c r="FB8" t="s">
        <v>305</v>
      </c>
      <c r="FC8" t="s">
        <v>360</v>
      </c>
      <c r="FD8" t="s">
        <v>361</v>
      </c>
      <c r="FF8" t="s">
        <v>362</v>
      </c>
      <c r="FG8" t="s">
        <v>341</v>
      </c>
      <c r="FH8" t="s">
        <v>363</v>
      </c>
      <c r="FI8" t="s">
        <v>365</v>
      </c>
      <c r="FJ8" t="s">
        <v>294</v>
      </c>
      <c r="FK8" t="s">
        <v>305</v>
      </c>
      <c r="FL8" t="s">
        <v>305</v>
      </c>
      <c r="FM8" t="s">
        <v>305</v>
      </c>
      <c r="FN8" t="s">
        <v>344</v>
      </c>
      <c r="FO8" t="s">
        <v>367</v>
      </c>
      <c r="FP8" t="s">
        <v>303</v>
      </c>
      <c r="FQ8" t="s">
        <v>349</v>
      </c>
      <c r="FR8" t="s">
        <v>368</v>
      </c>
      <c r="FS8" t="s">
        <v>305</v>
      </c>
      <c r="FT8" t="s">
        <v>305</v>
      </c>
    </row>
    <row r="9">
      <c r="A9" s="8" t="s">
        <v>94</v>
      </c>
      <c r="B9" s="10" t="s">
        <v>371</v>
      </c>
      <c r="C9" s="12" t="s">
        <v>372</v>
      </c>
      <c r="D9" s="8" t="s">
        <v>373</v>
      </c>
      <c r="E9" s="55" t="s">
        <v>369</v>
      </c>
      <c r="F9" s="91" t="s">
        <v>282</v>
      </c>
    </row>
    <row r="10">
      <c r="A10" s="8" t="s">
        <v>94</v>
      </c>
      <c r="B10" s="93" t="s">
        <v>375</v>
      </c>
      <c r="C10" s="75" t="s">
        <v>376</v>
      </c>
      <c r="D10" s="10"/>
      <c r="E10" s="55"/>
    </row>
    <row r="11">
      <c r="A11" s="95" t="s">
        <v>377</v>
      </c>
      <c r="B11" s="97" t="s">
        <v>378</v>
      </c>
      <c r="C11" s="99" t="s">
        <v>379</v>
      </c>
      <c r="D11" s="95"/>
      <c r="E11" s="101"/>
      <c r="F11" s="103">
        <v>43611.0</v>
      </c>
    </row>
    <row r="12">
      <c r="A12" s="95" t="s">
        <v>377</v>
      </c>
      <c r="B12" s="97" t="s">
        <v>380</v>
      </c>
      <c r="C12" s="99" t="s">
        <v>381</v>
      </c>
      <c r="D12" s="95"/>
      <c r="E12" s="101"/>
      <c r="F12" s="91" t="s">
        <v>382</v>
      </c>
    </row>
    <row r="13">
      <c r="A13" s="95" t="s">
        <v>377</v>
      </c>
      <c r="B13" s="97" t="s">
        <v>383</v>
      </c>
      <c r="C13" s="99" t="s">
        <v>384</v>
      </c>
      <c r="D13" s="95"/>
      <c r="E13" s="101"/>
      <c r="F13" s="91" t="s">
        <v>385</v>
      </c>
    </row>
    <row r="14">
      <c r="A14" s="95" t="s">
        <v>377</v>
      </c>
      <c r="B14" s="97" t="s">
        <v>386</v>
      </c>
      <c r="C14" s="99" t="s">
        <v>387</v>
      </c>
      <c r="D14" s="95"/>
      <c r="E14" s="101"/>
    </row>
    <row r="15">
      <c r="A15" s="106" t="s">
        <v>388</v>
      </c>
      <c r="B15" s="107" t="s">
        <v>20</v>
      </c>
      <c r="C15" s="109" t="s">
        <v>389</v>
      </c>
      <c r="D15" s="111" t="s">
        <v>390</v>
      </c>
      <c r="E15" s="113" t="s">
        <v>291</v>
      </c>
      <c r="F15" t="str">
        <f t="array" ref="F15:ALQ15">transpose(Filtered!L2:L1005)</f>
        <v>Single blind</v>
      </c>
      <c r="G15" t="s">
        <v>392</v>
      </c>
      <c r="H15" t="s">
        <v>392</v>
      </c>
      <c r="I15" t="s">
        <v>291</v>
      </c>
      <c r="J15" s="34" t="s">
        <v>393</v>
      </c>
      <c r="K15" s="34" t="s">
        <v>291</v>
      </c>
      <c r="L15" t="s">
        <v>394</v>
      </c>
      <c r="M15" t="s">
        <v>395</v>
      </c>
      <c r="N15" t="s">
        <v>315</v>
      </c>
      <c r="O15" t="s">
        <v>393</v>
      </c>
      <c r="P15" t="s">
        <v>393</v>
      </c>
      <c r="Q15" t="s">
        <v>393</v>
      </c>
      <c r="R15" t="s">
        <v>393</v>
      </c>
      <c r="S15" t="s">
        <v>393</v>
      </c>
      <c r="T15" t="s">
        <v>291</v>
      </c>
      <c r="U15" t="s">
        <v>291</v>
      </c>
      <c r="V15" t="s">
        <v>315</v>
      </c>
      <c r="W15" t="s">
        <v>291</v>
      </c>
      <c r="X15" t="s">
        <v>393</v>
      </c>
      <c r="Y15" t="s">
        <v>291</v>
      </c>
      <c r="Z15" t="s">
        <v>393</v>
      </c>
      <c r="AA15" t="s">
        <v>315</v>
      </c>
      <c r="AB15" t="s">
        <v>315</v>
      </c>
      <c r="AC15" t="s">
        <v>291</v>
      </c>
      <c r="AD15" t="s">
        <v>291</v>
      </c>
      <c r="AE15" t="s">
        <v>396</v>
      </c>
      <c r="AF15" t="s">
        <v>291</v>
      </c>
      <c r="AG15" t="s">
        <v>315</v>
      </c>
      <c r="AH15" t="s">
        <v>291</v>
      </c>
      <c r="AI15" t="s">
        <v>291</v>
      </c>
      <c r="AJ15" t="s">
        <v>291</v>
      </c>
      <c r="AK15" t="s">
        <v>397</v>
      </c>
      <c r="AL15" t="s">
        <v>315</v>
      </c>
      <c r="AM15" t="s">
        <v>315</v>
      </c>
      <c r="AN15" t="s">
        <v>315</v>
      </c>
      <c r="AO15" t="s">
        <v>291</v>
      </c>
      <c r="AP15" t="s">
        <v>291</v>
      </c>
      <c r="AQ15" t="s">
        <v>315</v>
      </c>
      <c r="AR15" t="s">
        <v>393</v>
      </c>
      <c r="AS15" t="s">
        <v>291</v>
      </c>
      <c r="AT15" t="s">
        <v>393</v>
      </c>
      <c r="AU15" t="s">
        <v>315</v>
      </c>
      <c r="AV15" t="s">
        <v>291</v>
      </c>
      <c r="AW15" t="s">
        <v>315</v>
      </c>
      <c r="AX15" t="s">
        <v>315</v>
      </c>
      <c r="AY15" t="s">
        <v>291</v>
      </c>
      <c r="AZ15" t="s">
        <v>291</v>
      </c>
      <c r="BA15" t="s">
        <v>393</v>
      </c>
      <c r="BB15" t="s">
        <v>315</v>
      </c>
      <c r="BC15" t="s">
        <v>393</v>
      </c>
      <c r="BD15" t="s">
        <v>398</v>
      </c>
      <c r="BE15" t="s">
        <v>392</v>
      </c>
      <c r="BF15" t="s">
        <v>393</v>
      </c>
      <c r="BG15" t="s">
        <v>315</v>
      </c>
      <c r="BH15" t="s">
        <v>315</v>
      </c>
      <c r="BI15" t="s">
        <v>315</v>
      </c>
      <c r="BJ15" t="s">
        <v>393</v>
      </c>
      <c r="BK15" t="s">
        <v>393</v>
      </c>
      <c r="BL15" t="s">
        <v>315</v>
      </c>
      <c r="BM15" t="s">
        <v>315</v>
      </c>
      <c r="BN15" t="s">
        <v>315</v>
      </c>
      <c r="BO15" t="s">
        <v>291</v>
      </c>
      <c r="BP15" t="s">
        <v>291</v>
      </c>
      <c r="BQ15" t="s">
        <v>291</v>
      </c>
      <c r="BR15" t="s">
        <v>315</v>
      </c>
      <c r="BS15" t="s">
        <v>393</v>
      </c>
      <c r="BT15" t="s">
        <v>291</v>
      </c>
      <c r="BU15" t="s">
        <v>315</v>
      </c>
      <c r="BV15" t="s">
        <v>393</v>
      </c>
      <c r="BW15" t="s">
        <v>393</v>
      </c>
      <c r="BX15" t="s">
        <v>393</v>
      </c>
      <c r="BY15" t="s">
        <v>291</v>
      </c>
      <c r="BZ15" t="s">
        <v>291</v>
      </c>
      <c r="CA15" t="s">
        <v>315</v>
      </c>
      <c r="CB15" t="s">
        <v>291</v>
      </c>
      <c r="CC15" t="s">
        <v>315</v>
      </c>
      <c r="CD15" t="s">
        <v>393</v>
      </c>
      <c r="CE15" t="s">
        <v>315</v>
      </c>
      <c r="CF15" t="s">
        <v>315</v>
      </c>
      <c r="CG15" t="s">
        <v>315</v>
      </c>
      <c r="CH15" t="s">
        <v>399</v>
      </c>
      <c r="CI15" t="s">
        <v>393</v>
      </c>
      <c r="CJ15" t="s">
        <v>291</v>
      </c>
      <c r="CK15" t="s">
        <v>393</v>
      </c>
      <c r="CL15" t="s">
        <v>291</v>
      </c>
      <c r="CM15" t="s">
        <v>291</v>
      </c>
      <c r="CN15" t="s">
        <v>393</v>
      </c>
      <c r="CO15" t="s">
        <v>393</v>
      </c>
      <c r="CP15" t="s">
        <v>393</v>
      </c>
      <c r="CQ15" t="s">
        <v>393</v>
      </c>
      <c r="CR15" t="s">
        <v>393</v>
      </c>
      <c r="CS15" t="s">
        <v>400</v>
      </c>
      <c r="CT15" t="s">
        <v>393</v>
      </c>
      <c r="CU15" t="s">
        <v>401</v>
      </c>
      <c r="CV15" t="s">
        <v>393</v>
      </c>
      <c r="CW15" t="s">
        <v>393</v>
      </c>
      <c r="CX15" t="s">
        <v>315</v>
      </c>
      <c r="CY15" t="s">
        <v>291</v>
      </c>
      <c r="CZ15" t="s">
        <v>315</v>
      </c>
      <c r="DA15" t="s">
        <v>402</v>
      </c>
      <c r="DB15" t="s">
        <v>403</v>
      </c>
      <c r="DC15" t="s">
        <v>404</v>
      </c>
      <c r="DD15" t="s">
        <v>404</v>
      </c>
      <c r="DE15" t="s">
        <v>404</v>
      </c>
      <c r="DF15" t="s">
        <v>404</v>
      </c>
      <c r="DG15" t="s">
        <v>404</v>
      </c>
      <c r="DH15" t="s">
        <v>404</v>
      </c>
      <c r="DI15" t="s">
        <v>404</v>
      </c>
      <c r="DJ15" t="s">
        <v>404</v>
      </c>
      <c r="DK15" t="s">
        <v>404</v>
      </c>
      <c r="DL15" t="s">
        <v>404</v>
      </c>
      <c r="DM15" t="s">
        <v>404</v>
      </c>
      <c r="DN15" t="s">
        <v>404</v>
      </c>
      <c r="DO15" t="s">
        <v>404</v>
      </c>
      <c r="DP15" t="s">
        <v>404</v>
      </c>
      <c r="DQ15" t="s">
        <v>315</v>
      </c>
      <c r="DR15" t="s">
        <v>315</v>
      </c>
      <c r="DS15" t="s">
        <v>315</v>
      </c>
      <c r="DT15" t="s">
        <v>315</v>
      </c>
      <c r="DU15" t="s">
        <v>315</v>
      </c>
      <c r="DV15" t="s">
        <v>315</v>
      </c>
      <c r="DW15" t="s">
        <v>393</v>
      </c>
      <c r="DX15" t="s">
        <v>291</v>
      </c>
      <c r="DY15" t="s">
        <v>291</v>
      </c>
      <c r="DZ15" t="s">
        <v>393</v>
      </c>
      <c r="EA15" t="s">
        <v>406</v>
      </c>
      <c r="EB15" t="s">
        <v>315</v>
      </c>
      <c r="EC15" t="s">
        <v>315</v>
      </c>
      <c r="ED15" t="s">
        <v>291</v>
      </c>
      <c r="EE15" t="s">
        <v>407</v>
      </c>
      <c r="EF15" t="s">
        <v>393</v>
      </c>
      <c r="EG15" t="s">
        <v>291</v>
      </c>
      <c r="EH15" t="s">
        <v>291</v>
      </c>
      <c r="EI15" t="s">
        <v>291</v>
      </c>
      <c r="EJ15" t="s">
        <v>291</v>
      </c>
      <c r="EK15" t="s">
        <v>291</v>
      </c>
      <c r="EL15" t="s">
        <v>291</v>
      </c>
      <c r="EM15" t="s">
        <v>408</v>
      </c>
      <c r="EN15" t="s">
        <v>393</v>
      </c>
      <c r="EO15" t="s">
        <v>393</v>
      </c>
      <c r="EP15" t="s">
        <v>393</v>
      </c>
      <c r="EQ15" t="s">
        <v>291</v>
      </c>
      <c r="ER15" t="s">
        <v>393</v>
      </c>
      <c r="ES15" t="s">
        <v>315</v>
      </c>
      <c r="ET15" t="s">
        <v>291</v>
      </c>
      <c r="EU15" t="s">
        <v>315</v>
      </c>
      <c r="EV15" t="s">
        <v>315</v>
      </c>
      <c r="EW15" t="s">
        <v>291</v>
      </c>
      <c r="EX15" t="s">
        <v>393</v>
      </c>
      <c r="EY15" t="s">
        <v>315</v>
      </c>
      <c r="EZ15" t="s">
        <v>393</v>
      </c>
      <c r="FA15" t="s">
        <v>393</v>
      </c>
      <c r="FB15" t="s">
        <v>393</v>
      </c>
      <c r="FC15" t="s">
        <v>409</v>
      </c>
      <c r="FD15" t="s">
        <v>315</v>
      </c>
      <c r="FE15" t="s">
        <v>410</v>
      </c>
      <c r="FF15" t="s">
        <v>396</v>
      </c>
      <c r="FG15" t="s">
        <v>291</v>
      </c>
      <c r="FH15" t="s">
        <v>315</v>
      </c>
      <c r="FI15" t="s">
        <v>315</v>
      </c>
      <c r="FJ15" t="s">
        <v>291</v>
      </c>
      <c r="FK15" t="s">
        <v>315</v>
      </c>
      <c r="FL15" t="s">
        <v>315</v>
      </c>
      <c r="FM15" t="s">
        <v>315</v>
      </c>
      <c r="FN15" t="s">
        <v>393</v>
      </c>
      <c r="FO15" t="s">
        <v>411</v>
      </c>
      <c r="FP15" t="s">
        <v>315</v>
      </c>
      <c r="FQ15" t="s">
        <v>315</v>
      </c>
      <c r="FR15" t="s">
        <v>315</v>
      </c>
      <c r="FS15" t="s">
        <v>393</v>
      </c>
      <c r="FT15" t="s">
        <v>393</v>
      </c>
    </row>
    <row r="16">
      <c r="A16" s="106" t="s">
        <v>388</v>
      </c>
      <c r="B16" s="107" t="s">
        <v>24</v>
      </c>
      <c r="C16" s="121" t="s">
        <v>64</v>
      </c>
      <c r="D16" s="107" t="s">
        <v>104</v>
      </c>
      <c r="E16" s="124" t="s">
        <v>412</v>
      </c>
      <c r="F16" s="78" t="str">
        <f t="array" ref="F16:ALQ16">transpose(Filtered!M2:M1005)</f>
        <v>https://journals.lww.com/academicmedicine/Pages/InstructionsforAuthors.aspx#peerreview</v>
      </c>
      <c r="G16" t="s">
        <v>413</v>
      </c>
      <c r="H16" s="78" t="s">
        <v>414</v>
      </c>
      <c r="I16" t="s">
        <v>417</v>
      </c>
      <c r="J16" t="s">
        <v>418</v>
      </c>
      <c r="K16" s="78" t="s">
        <v>419</v>
      </c>
      <c r="L16" s="78" t="s">
        <v>422</v>
      </c>
      <c r="M16" s="78" t="s">
        <v>422</v>
      </c>
      <c r="N16" s="78" t="s">
        <v>426</v>
      </c>
      <c r="O16" s="78" t="s">
        <v>428</v>
      </c>
      <c r="P16" s="78" t="s">
        <v>436</v>
      </c>
      <c r="Q16" s="78" t="s">
        <v>437</v>
      </c>
      <c r="R16" s="78" t="s">
        <v>440</v>
      </c>
      <c r="S16" s="78" t="s">
        <v>444</v>
      </c>
      <c r="T16" t="s">
        <v>448</v>
      </c>
      <c r="U16" s="78" t="s">
        <v>449</v>
      </c>
      <c r="V16" s="78" t="s">
        <v>450</v>
      </c>
      <c r="W16" s="78" t="s">
        <v>452</v>
      </c>
      <c r="X16" s="78" t="s">
        <v>453</v>
      </c>
      <c r="Y16" s="78" t="s">
        <v>456</v>
      </c>
      <c r="Z16" s="78" t="s">
        <v>459</v>
      </c>
      <c r="AA16" s="78" t="s">
        <v>460</v>
      </c>
      <c r="AB16" t="s">
        <v>461</v>
      </c>
      <c r="AC16" s="78" t="s">
        <v>462</v>
      </c>
      <c r="AD16" s="78" t="s">
        <v>463</v>
      </c>
      <c r="AE16" s="78" t="s">
        <v>467</v>
      </c>
      <c r="AF16" s="78" t="s">
        <v>470</v>
      </c>
      <c r="AG16" s="78" t="s">
        <v>472</v>
      </c>
      <c r="AH16" s="78" t="s">
        <v>470</v>
      </c>
      <c r="AI16" s="78" t="s">
        <v>470</v>
      </c>
      <c r="AJ16" s="78" t="s">
        <v>470</v>
      </c>
      <c r="AK16" s="78" t="s">
        <v>475</v>
      </c>
      <c r="AL16" s="78" t="s">
        <v>476</v>
      </c>
      <c r="AM16" s="78" t="s">
        <v>475</v>
      </c>
      <c r="AN16" s="78" t="s">
        <v>477</v>
      </c>
      <c r="AO16" s="78" t="s">
        <v>478</v>
      </c>
      <c r="AP16" s="78" t="s">
        <v>478</v>
      </c>
      <c r="AQ16" s="78" t="s">
        <v>472</v>
      </c>
      <c r="AR16" s="78" t="s">
        <v>480</v>
      </c>
      <c r="AS16" s="78" t="s">
        <v>482</v>
      </c>
      <c r="AT16" s="78" t="s">
        <v>483</v>
      </c>
      <c r="AU16" s="78" t="s">
        <v>484</v>
      </c>
      <c r="AV16" s="78" t="s">
        <v>486</v>
      </c>
      <c r="AW16" s="78" t="s">
        <v>488</v>
      </c>
      <c r="AX16" s="78" t="s">
        <v>489</v>
      </c>
      <c r="AY16" s="78" t="s">
        <v>490</v>
      </c>
      <c r="AZ16" s="78" t="s">
        <v>492</v>
      </c>
      <c r="BA16" s="78" t="s">
        <v>493</v>
      </c>
      <c r="BB16" s="78" t="s">
        <v>500</v>
      </c>
      <c r="BC16" s="78" t="s">
        <v>501</v>
      </c>
      <c r="BD16" s="78" t="s">
        <v>502</v>
      </c>
      <c r="BE16" s="78" t="s">
        <v>503</v>
      </c>
      <c r="BF16" s="78" t="s">
        <v>506</v>
      </c>
      <c r="BG16" s="78" t="s">
        <v>511</v>
      </c>
      <c r="BH16" s="78" t="s">
        <v>512</v>
      </c>
      <c r="BI16" s="78" t="s">
        <v>513</v>
      </c>
      <c r="BJ16" s="78" t="s">
        <v>514</v>
      </c>
      <c r="BK16" s="78" t="s">
        <v>517</v>
      </c>
      <c r="BL16" s="78" t="s">
        <v>521</v>
      </c>
      <c r="BM16" s="78" t="s">
        <v>521</v>
      </c>
      <c r="BN16" s="78" t="s">
        <v>521</v>
      </c>
      <c r="BO16" s="78" t="s">
        <v>528</v>
      </c>
      <c r="BP16" s="78" t="s">
        <v>528</v>
      </c>
      <c r="BQ16" s="78" t="s">
        <v>470</v>
      </c>
      <c r="BS16" s="78" t="s">
        <v>532</v>
      </c>
      <c r="BT16" s="78" t="s">
        <v>533</v>
      </c>
      <c r="BU16" s="78" t="s">
        <v>534</v>
      </c>
      <c r="BV16" s="78" t="s">
        <v>535</v>
      </c>
      <c r="BW16" s="78" t="s">
        <v>536</v>
      </c>
      <c r="BX16" s="78" t="s">
        <v>537</v>
      </c>
      <c r="BY16" s="78" t="s">
        <v>541</v>
      </c>
      <c r="BZ16" s="78" t="s">
        <v>544</v>
      </c>
      <c r="CA16" s="78" t="s">
        <v>548</v>
      </c>
      <c r="CB16" s="78" t="s">
        <v>553</v>
      </c>
      <c r="CC16" s="78" t="s">
        <v>555</v>
      </c>
      <c r="CD16" t="s">
        <v>558</v>
      </c>
      <c r="CE16" s="78" t="s">
        <v>559</v>
      </c>
      <c r="CF16" s="78" t="s">
        <v>560</v>
      </c>
      <c r="CH16" s="78" t="s">
        <v>561</v>
      </c>
      <c r="CI16" s="78" t="s">
        <v>562</v>
      </c>
      <c r="CJ16" s="78" t="s">
        <v>486</v>
      </c>
      <c r="CK16" s="78" t="s">
        <v>566</v>
      </c>
      <c r="CL16" s="78" t="s">
        <v>568</v>
      </c>
      <c r="CM16" s="78" t="s">
        <v>574</v>
      </c>
      <c r="CN16" s="78" t="s">
        <v>579</v>
      </c>
      <c r="CO16" s="78" t="s">
        <v>581</v>
      </c>
      <c r="CP16" s="78" t="s">
        <v>582</v>
      </c>
      <c r="CQ16" s="78" t="s">
        <v>585</v>
      </c>
      <c r="CR16" s="78" t="s">
        <v>586</v>
      </c>
      <c r="CS16" s="78" t="s">
        <v>587</v>
      </c>
      <c r="CT16" s="78" t="s">
        <v>588</v>
      </c>
      <c r="CU16" s="78" t="s">
        <v>589</v>
      </c>
      <c r="CV16" s="78" t="s">
        <v>590</v>
      </c>
      <c r="CW16" s="78" t="s">
        <v>591</v>
      </c>
      <c r="CX16" s="78" t="s">
        <v>592</v>
      </c>
      <c r="CY16" s="78" t="s">
        <v>594</v>
      </c>
      <c r="CZ16" s="78" t="s">
        <v>595</v>
      </c>
      <c r="DA16" s="78" t="s">
        <v>596</v>
      </c>
      <c r="DB16" s="78" t="s">
        <v>597</v>
      </c>
      <c r="DC16" s="78" t="s">
        <v>597</v>
      </c>
      <c r="DD16" s="78" t="s">
        <v>597</v>
      </c>
      <c r="DE16" s="78" t="s">
        <v>597</v>
      </c>
      <c r="DF16" s="78" t="s">
        <v>597</v>
      </c>
      <c r="DG16" s="78" t="s">
        <v>597</v>
      </c>
      <c r="DH16" s="78" t="s">
        <v>597</v>
      </c>
      <c r="DI16" s="78" t="s">
        <v>597</v>
      </c>
      <c r="DJ16" s="78" t="s">
        <v>597</v>
      </c>
      <c r="DK16" s="78" t="s">
        <v>597</v>
      </c>
      <c r="DL16" s="78" t="s">
        <v>597</v>
      </c>
      <c r="DM16" s="78" t="s">
        <v>597</v>
      </c>
      <c r="DN16" s="78" t="s">
        <v>597</v>
      </c>
      <c r="DO16" s="78" t="s">
        <v>597</v>
      </c>
      <c r="DP16" s="78" t="s">
        <v>597</v>
      </c>
      <c r="DQ16" s="78" t="s">
        <v>617</v>
      </c>
      <c r="DR16" s="78" t="s">
        <v>618</v>
      </c>
      <c r="DS16" s="78" t="s">
        <v>617</v>
      </c>
      <c r="DT16" s="78" t="s">
        <v>618</v>
      </c>
      <c r="DU16" s="78" t="s">
        <v>618</v>
      </c>
      <c r="DV16" s="78" t="s">
        <v>618</v>
      </c>
      <c r="DW16" s="78" t="s">
        <v>622</v>
      </c>
      <c r="DX16" s="78" t="s">
        <v>623</v>
      </c>
      <c r="DY16" s="78" t="s">
        <v>470</v>
      </c>
      <c r="DZ16" s="78" t="s">
        <v>624</v>
      </c>
      <c r="EA16" s="78" t="s">
        <v>625</v>
      </c>
      <c r="ED16" s="78" t="s">
        <v>630</v>
      </c>
      <c r="EE16" s="78" t="s">
        <v>631</v>
      </c>
      <c r="EF16" s="78" t="s">
        <v>634</v>
      </c>
      <c r="EG16" s="78" t="s">
        <v>638</v>
      </c>
      <c r="EH16" s="78" t="s">
        <v>641</v>
      </c>
      <c r="EI16" s="78" t="s">
        <v>645</v>
      </c>
      <c r="EJ16" s="78" t="s">
        <v>647</v>
      </c>
      <c r="EK16" s="78" t="s">
        <v>650</v>
      </c>
      <c r="EL16" s="78" t="s">
        <v>653</v>
      </c>
      <c r="EM16" s="78" t="s">
        <v>655</v>
      </c>
      <c r="EN16" s="78" t="s">
        <v>658</v>
      </c>
      <c r="EO16" s="78" t="s">
        <v>662</v>
      </c>
      <c r="EP16" s="78" t="s">
        <v>663</v>
      </c>
      <c r="EQ16" s="78" t="s">
        <v>664</v>
      </c>
      <c r="ER16" s="78" t="s">
        <v>665</v>
      </c>
      <c r="ET16" t="s">
        <v>669</v>
      </c>
      <c r="EU16" s="78" t="s">
        <v>670</v>
      </c>
      <c r="EV16" s="78" t="s">
        <v>672</v>
      </c>
      <c r="EW16" s="78" t="s">
        <v>674</v>
      </c>
      <c r="EX16" s="78" t="s">
        <v>677</v>
      </c>
      <c r="EZ16" s="78" t="s">
        <v>682</v>
      </c>
      <c r="FA16" s="78" t="s">
        <v>684</v>
      </c>
      <c r="FB16" s="78" t="s">
        <v>685</v>
      </c>
      <c r="FC16" s="78" t="s">
        <v>691</v>
      </c>
      <c r="FE16" t="s">
        <v>692</v>
      </c>
      <c r="FF16" s="78" t="s">
        <v>693</v>
      </c>
      <c r="FG16" s="78" t="s">
        <v>695</v>
      </c>
      <c r="FH16" s="78" t="s">
        <v>697</v>
      </c>
      <c r="FJ16" t="s">
        <v>699</v>
      </c>
      <c r="FK16" s="78" t="s">
        <v>701</v>
      </c>
      <c r="FL16" s="78" t="s">
        <v>705</v>
      </c>
      <c r="FM16" s="78" t="s">
        <v>709</v>
      </c>
      <c r="FN16" s="78" t="s">
        <v>717</v>
      </c>
      <c r="FO16" t="s">
        <v>722</v>
      </c>
      <c r="FP16" s="78" t="s">
        <v>723</v>
      </c>
      <c r="FR16" t="s">
        <v>726</v>
      </c>
      <c r="FS16" s="78" t="s">
        <v>727</v>
      </c>
      <c r="FT16" s="78" t="s">
        <v>728</v>
      </c>
    </row>
    <row r="17">
      <c r="A17" s="106" t="s">
        <v>388</v>
      </c>
      <c r="B17" s="107" t="s">
        <v>25</v>
      </c>
      <c r="C17" s="121" t="s">
        <v>65</v>
      </c>
      <c r="D17" s="107" t="s">
        <v>104</v>
      </c>
      <c r="E17" s="124" t="s">
        <v>741</v>
      </c>
      <c r="F17" s="78" t="str">
        <f t="array" ref="F17:ALQ17">transpose(Filtered!N2:N1005)</f>
        <v>https://journals.lww.com/academicmedicine/Documents/ReviewerFAQs_Sept2012_v1.pdf</v>
      </c>
      <c r="J17" s="105" t="s">
        <v>525</v>
      </c>
      <c r="K17" s="105" t="s">
        <v>552</v>
      </c>
      <c r="AG17" t="s">
        <v>750</v>
      </c>
      <c r="AH17" t="s">
        <v>750</v>
      </c>
      <c r="AI17" t="s">
        <v>750</v>
      </c>
      <c r="AJ17" t="s">
        <v>750</v>
      </c>
      <c r="AK17" t="s">
        <v>750</v>
      </c>
      <c r="AL17" t="s">
        <v>750</v>
      </c>
      <c r="AM17" t="s">
        <v>750</v>
      </c>
      <c r="BS17" t="s">
        <v>750</v>
      </c>
      <c r="CF17" s="78" t="s">
        <v>760</v>
      </c>
      <c r="DG17" t="s">
        <v>750</v>
      </c>
      <c r="EI17" s="78" t="s">
        <v>765</v>
      </c>
      <c r="EJ17" s="78" t="s">
        <v>766</v>
      </c>
    </row>
    <row r="18">
      <c r="A18" s="106" t="s">
        <v>388</v>
      </c>
      <c r="B18" s="107" t="s">
        <v>26</v>
      </c>
      <c r="C18" s="121" t="s">
        <v>66</v>
      </c>
      <c r="D18" s="107" t="s">
        <v>104</v>
      </c>
      <c r="E18" s="124" t="s">
        <v>412</v>
      </c>
      <c r="F18" t="str">
        <f t="array" ref="F18:ALQ18">transpose(Filtered!O2:O1005)</f>
        <v/>
      </c>
      <c r="I18" t="s">
        <v>324</v>
      </c>
      <c r="K18" t="s">
        <v>324</v>
      </c>
      <c r="N18" t="s">
        <v>324</v>
      </c>
      <c r="O18" t="s">
        <v>324</v>
      </c>
      <c r="P18" t="s">
        <v>324</v>
      </c>
      <c r="S18" s="78" t="s">
        <v>654</v>
      </c>
      <c r="U18" s="78" t="s">
        <v>449</v>
      </c>
      <c r="W18" s="78" t="s">
        <v>503</v>
      </c>
      <c r="X18" s="78" t="s">
        <v>747</v>
      </c>
      <c r="Y18" s="78" t="s">
        <v>747</v>
      </c>
      <c r="AC18" s="78" t="s">
        <v>747</v>
      </c>
      <c r="AD18" s="78" t="s">
        <v>774</v>
      </c>
      <c r="AE18" s="78" t="s">
        <v>775</v>
      </c>
      <c r="AG18" s="78" t="s">
        <v>776</v>
      </c>
      <c r="AH18" t="s">
        <v>750</v>
      </c>
      <c r="AI18" t="s">
        <v>750</v>
      </c>
      <c r="AJ18" t="s">
        <v>750</v>
      </c>
      <c r="AK18" s="78" t="s">
        <v>778</v>
      </c>
      <c r="AL18" t="s">
        <v>750</v>
      </c>
      <c r="AM18" s="78" t="s">
        <v>778</v>
      </c>
      <c r="AQ18" s="78" t="s">
        <v>776</v>
      </c>
      <c r="AR18" s="78" t="s">
        <v>747</v>
      </c>
      <c r="AS18" s="78" t="s">
        <v>779</v>
      </c>
      <c r="AY18" s="78" t="s">
        <v>780</v>
      </c>
      <c r="AZ18" s="78" t="s">
        <v>492</v>
      </c>
      <c r="BA18" s="78" t="s">
        <v>782</v>
      </c>
      <c r="BB18" s="78" t="s">
        <v>560</v>
      </c>
      <c r="BC18" s="78" t="s">
        <v>747</v>
      </c>
      <c r="BF18" s="78" t="s">
        <v>784</v>
      </c>
      <c r="BS18" s="78" t="s">
        <v>780</v>
      </c>
      <c r="BV18" s="78" t="s">
        <v>780</v>
      </c>
      <c r="BW18" s="78" t="s">
        <v>536</v>
      </c>
      <c r="BX18" s="78" t="s">
        <v>747</v>
      </c>
      <c r="BY18" s="78" t="s">
        <v>780</v>
      </c>
      <c r="BZ18" s="78" t="s">
        <v>787</v>
      </c>
      <c r="CB18" s="78" t="s">
        <v>553</v>
      </c>
      <c r="CE18" s="78" t="s">
        <v>747</v>
      </c>
      <c r="CF18" s="78" t="s">
        <v>560</v>
      </c>
      <c r="CG18" s="78" t="s">
        <v>747</v>
      </c>
      <c r="CI18" s="78" t="s">
        <v>654</v>
      </c>
      <c r="CJ18" s="78" t="s">
        <v>486</v>
      </c>
      <c r="CO18" s="78" t="s">
        <v>654</v>
      </c>
      <c r="CR18" s="78" t="s">
        <v>747</v>
      </c>
      <c r="CT18" s="78" t="s">
        <v>780</v>
      </c>
      <c r="CY18" s="78" t="s">
        <v>594</v>
      </c>
      <c r="DA18" s="78" t="s">
        <v>796</v>
      </c>
      <c r="DC18" s="78" t="s">
        <v>597</v>
      </c>
      <c r="DD18" s="78" t="s">
        <v>597</v>
      </c>
      <c r="DE18" s="78" t="s">
        <v>597</v>
      </c>
      <c r="DF18" s="78" t="s">
        <v>597</v>
      </c>
      <c r="DG18" s="78" t="s">
        <v>797</v>
      </c>
      <c r="DH18" s="78" t="s">
        <v>597</v>
      </c>
      <c r="DI18" s="78" t="s">
        <v>597</v>
      </c>
      <c r="DJ18" s="78" t="s">
        <v>597</v>
      </c>
      <c r="DK18" s="78" t="s">
        <v>597</v>
      </c>
      <c r="DL18" s="78" t="s">
        <v>597</v>
      </c>
      <c r="DM18" s="78" t="s">
        <v>597</v>
      </c>
      <c r="DN18" s="78" t="s">
        <v>597</v>
      </c>
      <c r="DO18" s="78" t="s">
        <v>597</v>
      </c>
      <c r="DP18" s="78" t="s">
        <v>597</v>
      </c>
      <c r="DX18" s="78" t="s">
        <v>780</v>
      </c>
      <c r="EA18" s="78" t="s">
        <v>683</v>
      </c>
      <c r="ED18" s="78" t="s">
        <v>803</v>
      </c>
      <c r="EM18" s="78" t="s">
        <v>804</v>
      </c>
      <c r="EN18" s="78" t="s">
        <v>805</v>
      </c>
      <c r="EQ18" s="78" t="s">
        <v>780</v>
      </c>
      <c r="ER18" s="78" t="s">
        <v>780</v>
      </c>
      <c r="FA18" s="78" t="s">
        <v>806</v>
      </c>
      <c r="FC18" s="78" t="s">
        <v>683</v>
      </c>
      <c r="FF18" t="s">
        <v>809</v>
      </c>
      <c r="FI18" s="78" t="s">
        <v>683</v>
      </c>
      <c r="FN18" s="78" t="s">
        <v>683</v>
      </c>
      <c r="FS18" s="78" t="s">
        <v>780</v>
      </c>
      <c r="FT18" s="78" t="s">
        <v>806</v>
      </c>
    </row>
    <row r="19">
      <c r="A19" s="106" t="s">
        <v>388</v>
      </c>
      <c r="B19" s="107" t="s">
        <v>27</v>
      </c>
      <c r="C19" s="266" t="s">
        <v>814</v>
      </c>
      <c r="D19" s="107" t="s">
        <v>816</v>
      </c>
      <c r="E19" s="267"/>
      <c r="F19" t="str">
        <f t="array" ref="F19:ALQ19">transpose(Filtered!P2:P1005)</f>
        <v>Unsure</v>
      </c>
      <c r="G19" t="s">
        <v>315</v>
      </c>
      <c r="H19" t="s">
        <v>315</v>
      </c>
      <c r="I19" t="s">
        <v>315</v>
      </c>
      <c r="J19" s="36" t="s">
        <v>315</v>
      </c>
      <c r="K19" s="36" t="s">
        <v>315</v>
      </c>
      <c r="L19" t="s">
        <v>315</v>
      </c>
      <c r="M19" t="s">
        <v>315</v>
      </c>
      <c r="N19" t="s">
        <v>315</v>
      </c>
      <c r="O19" t="s">
        <v>315</v>
      </c>
      <c r="P19" t="s">
        <v>315</v>
      </c>
      <c r="Q19" t="s">
        <v>315</v>
      </c>
      <c r="R19" t="s">
        <v>315</v>
      </c>
      <c r="S19" t="s">
        <v>369</v>
      </c>
      <c r="T19" t="s">
        <v>315</v>
      </c>
      <c r="U19" t="s">
        <v>315</v>
      </c>
      <c r="V19" t="s">
        <v>315</v>
      </c>
      <c r="W19" t="s">
        <v>315</v>
      </c>
      <c r="X19" t="s">
        <v>369</v>
      </c>
      <c r="Y19" t="s">
        <v>315</v>
      </c>
      <c r="Z19" t="s">
        <v>315</v>
      </c>
      <c r="AA19" t="s">
        <v>315</v>
      </c>
      <c r="AB19" t="s">
        <v>315</v>
      </c>
      <c r="AC19" t="s">
        <v>369</v>
      </c>
      <c r="AD19" t="s">
        <v>282</v>
      </c>
      <c r="AE19" t="s">
        <v>315</v>
      </c>
      <c r="AF19" t="s">
        <v>315</v>
      </c>
      <c r="AG19" t="s">
        <v>315</v>
      </c>
      <c r="AH19" t="s">
        <v>315</v>
      </c>
      <c r="AI19" t="s">
        <v>315</v>
      </c>
      <c r="AJ19" t="s">
        <v>315</v>
      </c>
      <c r="AK19" t="s">
        <v>818</v>
      </c>
      <c r="AL19" t="s">
        <v>315</v>
      </c>
      <c r="AM19" t="s">
        <v>818</v>
      </c>
      <c r="AN19" t="s">
        <v>315</v>
      </c>
      <c r="AO19" t="s">
        <v>315</v>
      </c>
      <c r="AP19" t="s">
        <v>315</v>
      </c>
      <c r="AQ19" t="s">
        <v>315</v>
      </c>
      <c r="AR19" t="s">
        <v>315</v>
      </c>
      <c r="AS19" t="s">
        <v>315</v>
      </c>
      <c r="AT19" t="s">
        <v>315</v>
      </c>
      <c r="AU19" t="s">
        <v>315</v>
      </c>
      <c r="AV19" t="s">
        <v>282</v>
      </c>
      <c r="AW19" t="s">
        <v>315</v>
      </c>
      <c r="AX19" t="s">
        <v>315</v>
      </c>
      <c r="AY19" t="s">
        <v>315</v>
      </c>
      <c r="AZ19" t="s">
        <v>282</v>
      </c>
      <c r="BA19" t="s">
        <v>369</v>
      </c>
      <c r="BB19" t="s">
        <v>282</v>
      </c>
      <c r="BC19" t="s">
        <v>819</v>
      </c>
      <c r="BD19" t="s">
        <v>315</v>
      </c>
      <c r="BE19" t="s">
        <v>315</v>
      </c>
      <c r="BF19" t="s">
        <v>315</v>
      </c>
      <c r="BG19" t="s">
        <v>315</v>
      </c>
      <c r="BH19" t="s">
        <v>315</v>
      </c>
      <c r="BI19" t="s">
        <v>315</v>
      </c>
      <c r="BJ19" t="s">
        <v>315</v>
      </c>
      <c r="BK19" t="s">
        <v>315</v>
      </c>
      <c r="BL19" t="s">
        <v>315</v>
      </c>
      <c r="BM19" t="s">
        <v>315</v>
      </c>
      <c r="BN19" t="s">
        <v>315</v>
      </c>
      <c r="BO19" t="s">
        <v>315</v>
      </c>
      <c r="BP19" t="s">
        <v>315</v>
      </c>
      <c r="BQ19" t="s">
        <v>315</v>
      </c>
      <c r="BR19" t="s">
        <v>315</v>
      </c>
      <c r="BS19" t="s">
        <v>315</v>
      </c>
      <c r="BT19" t="s">
        <v>315</v>
      </c>
      <c r="BU19" t="s">
        <v>315</v>
      </c>
      <c r="BV19" t="s">
        <v>315</v>
      </c>
      <c r="BW19" t="s">
        <v>369</v>
      </c>
      <c r="BX19" t="s">
        <v>369</v>
      </c>
      <c r="BY19" t="s">
        <v>369</v>
      </c>
      <c r="BZ19" t="s">
        <v>282</v>
      </c>
      <c r="CA19" t="s">
        <v>315</v>
      </c>
      <c r="CB19" t="s">
        <v>369</v>
      </c>
      <c r="CC19" t="s">
        <v>315</v>
      </c>
      <c r="CD19" t="s">
        <v>315</v>
      </c>
      <c r="CE19" t="s">
        <v>820</v>
      </c>
      <c r="CF19" t="s">
        <v>369</v>
      </c>
      <c r="CG19" t="s">
        <v>315</v>
      </c>
      <c r="CH19" t="s">
        <v>315</v>
      </c>
      <c r="CI19" t="s">
        <v>369</v>
      </c>
      <c r="CJ19" t="s">
        <v>369</v>
      </c>
      <c r="CK19" t="s">
        <v>315</v>
      </c>
      <c r="CL19" t="s">
        <v>315</v>
      </c>
      <c r="CM19" t="s">
        <v>315</v>
      </c>
      <c r="CN19" t="s">
        <v>315</v>
      </c>
      <c r="CO19" t="s">
        <v>369</v>
      </c>
      <c r="CP19" t="s">
        <v>315</v>
      </c>
      <c r="CQ19" t="s">
        <v>315</v>
      </c>
      <c r="CR19" t="s">
        <v>315</v>
      </c>
      <c r="CS19" t="s">
        <v>315</v>
      </c>
      <c r="CT19" t="s">
        <v>315</v>
      </c>
      <c r="CU19" t="s">
        <v>315</v>
      </c>
      <c r="CV19" t="s">
        <v>315</v>
      </c>
      <c r="CW19" t="s">
        <v>282</v>
      </c>
      <c r="CX19" t="s">
        <v>315</v>
      </c>
      <c r="CY19" t="s">
        <v>315</v>
      </c>
      <c r="CZ19" t="s">
        <v>315</v>
      </c>
      <c r="DA19" t="s">
        <v>282</v>
      </c>
      <c r="DB19" t="s">
        <v>315</v>
      </c>
      <c r="DC19" t="s">
        <v>315</v>
      </c>
      <c r="DD19" t="s">
        <v>315</v>
      </c>
      <c r="DE19" t="s">
        <v>315</v>
      </c>
      <c r="DF19" t="s">
        <v>315</v>
      </c>
      <c r="DG19" t="s">
        <v>315</v>
      </c>
      <c r="DH19" t="s">
        <v>315</v>
      </c>
      <c r="DI19" t="s">
        <v>315</v>
      </c>
      <c r="DJ19" t="s">
        <v>315</v>
      </c>
      <c r="DK19" t="s">
        <v>315</v>
      </c>
      <c r="DL19" t="s">
        <v>315</v>
      </c>
      <c r="DM19" t="s">
        <v>315</v>
      </c>
      <c r="DN19" t="s">
        <v>315</v>
      </c>
      <c r="DO19" t="s">
        <v>315</v>
      </c>
      <c r="DP19" t="s">
        <v>315</v>
      </c>
      <c r="DQ19" t="s">
        <v>315</v>
      </c>
      <c r="DR19" t="s">
        <v>315</v>
      </c>
      <c r="DS19" t="s">
        <v>315</v>
      </c>
      <c r="DT19" t="s">
        <v>315</v>
      </c>
      <c r="DU19" t="s">
        <v>315</v>
      </c>
      <c r="DV19" t="s">
        <v>315</v>
      </c>
      <c r="DW19" t="s">
        <v>315</v>
      </c>
      <c r="DX19" t="s">
        <v>315</v>
      </c>
      <c r="DY19" t="s">
        <v>315</v>
      </c>
      <c r="DZ19" t="s">
        <v>315</v>
      </c>
      <c r="EA19" t="s">
        <v>369</v>
      </c>
      <c r="EB19" t="s">
        <v>315</v>
      </c>
      <c r="EC19" t="s">
        <v>315</v>
      </c>
      <c r="ED19" t="s">
        <v>315</v>
      </c>
      <c r="EE19" t="s">
        <v>315</v>
      </c>
      <c r="EF19" t="s">
        <v>315</v>
      </c>
      <c r="EG19" t="s">
        <v>315</v>
      </c>
      <c r="EH19" t="s">
        <v>315</v>
      </c>
      <c r="EI19" t="s">
        <v>315</v>
      </c>
      <c r="EJ19" t="s">
        <v>315</v>
      </c>
      <c r="EK19" t="s">
        <v>315</v>
      </c>
      <c r="EL19" t="s">
        <v>315</v>
      </c>
      <c r="EM19" t="s">
        <v>315</v>
      </c>
      <c r="EN19" t="s">
        <v>369</v>
      </c>
      <c r="EO19" t="s">
        <v>315</v>
      </c>
      <c r="EP19" t="s">
        <v>315</v>
      </c>
      <c r="EQ19" t="s">
        <v>315</v>
      </c>
      <c r="ER19" t="s">
        <v>315</v>
      </c>
      <c r="ES19" t="s">
        <v>315</v>
      </c>
      <c r="ET19" t="s">
        <v>282</v>
      </c>
      <c r="EU19" t="s">
        <v>282</v>
      </c>
      <c r="EV19" t="s">
        <v>282</v>
      </c>
      <c r="EW19" t="s">
        <v>282</v>
      </c>
      <c r="EX19" t="s">
        <v>315</v>
      </c>
      <c r="EY19" t="s">
        <v>315</v>
      </c>
      <c r="EZ19" t="s">
        <v>315</v>
      </c>
      <c r="FA19" t="s">
        <v>822</v>
      </c>
      <c r="FB19" t="s">
        <v>315</v>
      </c>
      <c r="FC19" t="s">
        <v>369</v>
      </c>
      <c r="FD19" t="s">
        <v>315</v>
      </c>
      <c r="FE19" t="s">
        <v>315</v>
      </c>
      <c r="FF19" t="s">
        <v>315</v>
      </c>
      <c r="FG19" t="s">
        <v>315</v>
      </c>
      <c r="FH19" t="s">
        <v>315</v>
      </c>
      <c r="FI19" t="s">
        <v>369</v>
      </c>
      <c r="FJ19" t="s">
        <v>315</v>
      </c>
      <c r="FK19" t="s">
        <v>315</v>
      </c>
      <c r="FL19" t="s">
        <v>315</v>
      </c>
      <c r="FM19" t="s">
        <v>315</v>
      </c>
      <c r="FN19" t="s">
        <v>823</v>
      </c>
      <c r="FO19" t="s">
        <v>315</v>
      </c>
      <c r="FP19" t="s">
        <v>315</v>
      </c>
      <c r="FQ19" t="s">
        <v>315</v>
      </c>
      <c r="FR19" t="s">
        <v>315</v>
      </c>
      <c r="FS19" t="s">
        <v>282</v>
      </c>
      <c r="FT19" t="s">
        <v>824</v>
      </c>
    </row>
    <row r="20">
      <c r="A20" s="106" t="s">
        <v>388</v>
      </c>
      <c r="B20" s="107" t="s">
        <v>28</v>
      </c>
      <c r="C20" s="121" t="s">
        <v>68</v>
      </c>
      <c r="D20" s="107" t="s">
        <v>98</v>
      </c>
      <c r="E20" s="267" t="s">
        <v>825</v>
      </c>
      <c r="F20" t="str">
        <f t="array" ref="F20:ALQ20">transpose(Filtered!Q2:Q1005)</f>
        <v>Not specified</v>
      </c>
      <c r="G20" t="s">
        <v>423</v>
      </c>
      <c r="H20" t="s">
        <v>468</v>
      </c>
      <c r="I20" t="s">
        <v>457</v>
      </c>
      <c r="K20" t="s">
        <v>554</v>
      </c>
      <c r="W20" t="s">
        <v>742</v>
      </c>
      <c r="X20" t="s">
        <v>748</v>
      </c>
      <c r="Y20" t="s">
        <v>748</v>
      </c>
      <c r="Z20" t="s">
        <v>324</v>
      </c>
      <c r="AA20" t="s">
        <v>785</v>
      </c>
      <c r="AB20" t="s">
        <v>324</v>
      </c>
      <c r="AC20" t="s">
        <v>748</v>
      </c>
      <c r="AD20" t="s">
        <v>324</v>
      </c>
      <c r="AE20" s="78" t="s">
        <v>826</v>
      </c>
      <c r="AF20" t="s">
        <v>828</v>
      </c>
      <c r="AG20" t="s">
        <v>829</v>
      </c>
      <c r="AH20" t="s">
        <v>830</v>
      </c>
      <c r="AI20" t="s">
        <v>830</v>
      </c>
      <c r="AJ20" t="s">
        <v>830</v>
      </c>
      <c r="AK20" t="s">
        <v>831</v>
      </c>
      <c r="AL20" t="s">
        <v>832</v>
      </c>
      <c r="AM20" t="s">
        <v>831</v>
      </c>
      <c r="AN20" t="s">
        <v>833</v>
      </c>
      <c r="AQ20" t="s">
        <v>829</v>
      </c>
      <c r="AR20" s="78" t="s">
        <v>834</v>
      </c>
      <c r="AU20" t="s">
        <v>835</v>
      </c>
      <c r="AV20" t="s">
        <v>836</v>
      </c>
      <c r="AW20" t="s">
        <v>837</v>
      </c>
      <c r="AX20" t="s">
        <v>838</v>
      </c>
      <c r="AY20" t="s">
        <v>748</v>
      </c>
      <c r="AZ20" t="s">
        <v>748</v>
      </c>
      <c r="BB20" t="s">
        <v>324</v>
      </c>
      <c r="BC20" t="s">
        <v>748</v>
      </c>
      <c r="BD20" t="s">
        <v>840</v>
      </c>
      <c r="BE20" t="s">
        <v>841</v>
      </c>
      <c r="BQ20" s="78" t="s">
        <v>842</v>
      </c>
      <c r="BS20" t="s">
        <v>748</v>
      </c>
      <c r="BT20" t="s">
        <v>843</v>
      </c>
      <c r="BU20" t="s">
        <v>844</v>
      </c>
      <c r="BV20" t="s">
        <v>748</v>
      </c>
      <c r="BX20" t="s">
        <v>748</v>
      </c>
      <c r="BY20" t="s">
        <v>748</v>
      </c>
      <c r="CB20" t="s">
        <v>845</v>
      </c>
      <c r="CD20" t="s">
        <v>315</v>
      </c>
      <c r="CE20" t="s">
        <v>847</v>
      </c>
      <c r="CH20" t="s">
        <v>848</v>
      </c>
      <c r="CI20" t="s">
        <v>315</v>
      </c>
      <c r="CJ20" t="s">
        <v>849</v>
      </c>
      <c r="CK20" t="s">
        <v>847</v>
      </c>
      <c r="CL20" t="s">
        <v>850</v>
      </c>
      <c r="CR20" t="s">
        <v>847</v>
      </c>
      <c r="CT20" t="s">
        <v>748</v>
      </c>
      <c r="CX20" t="s">
        <v>842</v>
      </c>
      <c r="CZ20" t="s">
        <v>852</v>
      </c>
      <c r="DA20" t="s">
        <v>853</v>
      </c>
      <c r="DB20" t="s">
        <v>854</v>
      </c>
      <c r="DC20" t="s">
        <v>854</v>
      </c>
      <c r="DD20" t="s">
        <v>854</v>
      </c>
      <c r="DE20" t="s">
        <v>854</v>
      </c>
      <c r="DF20" t="s">
        <v>854</v>
      </c>
      <c r="DG20" t="s">
        <v>854</v>
      </c>
      <c r="DH20" t="s">
        <v>854</v>
      </c>
      <c r="DI20" t="s">
        <v>854</v>
      </c>
      <c r="DJ20" t="s">
        <v>854</v>
      </c>
      <c r="DK20" t="s">
        <v>854</v>
      </c>
      <c r="DL20" t="s">
        <v>854</v>
      </c>
      <c r="DM20" t="s">
        <v>854</v>
      </c>
      <c r="DN20" t="s">
        <v>854</v>
      </c>
      <c r="DO20" t="s">
        <v>854</v>
      </c>
      <c r="DP20" t="s">
        <v>854</v>
      </c>
      <c r="DX20" t="s">
        <v>748</v>
      </c>
      <c r="DY20" t="s">
        <v>855</v>
      </c>
      <c r="EE20" t="s">
        <v>856</v>
      </c>
      <c r="EG20" t="s">
        <v>857</v>
      </c>
      <c r="EH20" t="s">
        <v>858</v>
      </c>
      <c r="EJ20" t="s">
        <v>859</v>
      </c>
      <c r="EK20" t="s">
        <v>860</v>
      </c>
      <c r="EL20" t="s">
        <v>861</v>
      </c>
      <c r="EM20" t="s">
        <v>324</v>
      </c>
      <c r="EQ20" t="s">
        <v>748</v>
      </c>
      <c r="ER20" t="s">
        <v>748</v>
      </c>
      <c r="EU20" t="s">
        <v>863</v>
      </c>
      <c r="EW20" t="s">
        <v>864</v>
      </c>
      <c r="EX20" t="s">
        <v>844</v>
      </c>
      <c r="FA20" t="s">
        <v>865</v>
      </c>
      <c r="FB20" t="s">
        <v>866</v>
      </c>
      <c r="FJ20" t="s">
        <v>867</v>
      </c>
      <c r="FK20" t="s">
        <v>868</v>
      </c>
      <c r="FL20" t="s">
        <v>869</v>
      </c>
      <c r="FM20" t="s">
        <v>870</v>
      </c>
      <c r="FS20" t="s">
        <v>748</v>
      </c>
      <c r="FT20" t="s">
        <v>748</v>
      </c>
    </row>
    <row r="21">
      <c r="A21" s="106" t="s">
        <v>388</v>
      </c>
      <c r="B21" s="107" t="s">
        <v>29</v>
      </c>
      <c r="C21" s="121" t="s">
        <v>69</v>
      </c>
      <c r="D21" s="107" t="s">
        <v>104</v>
      </c>
      <c r="E21" s="124" t="s">
        <v>871</v>
      </c>
      <c r="F21" t="str">
        <f t="array" ref="F21:ALQ21">transpose(Filtered!R2:R1005)</f>
        <v>Not specified</v>
      </c>
      <c r="G21" s="78" t="s">
        <v>421</v>
      </c>
      <c r="H21" t="s">
        <v>469</v>
      </c>
      <c r="I21" s="78" t="s">
        <v>458</v>
      </c>
      <c r="K21" s="78" t="s">
        <v>458</v>
      </c>
      <c r="W21" s="78" t="s">
        <v>503</v>
      </c>
      <c r="X21" s="78" t="s">
        <v>749</v>
      </c>
      <c r="Y21" s="78" t="s">
        <v>749</v>
      </c>
      <c r="AA21" s="78" t="s">
        <v>460</v>
      </c>
      <c r="AC21" s="78" t="s">
        <v>749</v>
      </c>
      <c r="AE21" s="78" t="s">
        <v>503</v>
      </c>
      <c r="AF21" s="78" t="s">
        <v>879</v>
      </c>
      <c r="AG21" s="78" t="s">
        <v>880</v>
      </c>
      <c r="AH21" s="78" t="s">
        <v>882</v>
      </c>
      <c r="AI21" s="78" t="s">
        <v>885</v>
      </c>
      <c r="AJ21" s="78" t="s">
        <v>886</v>
      </c>
      <c r="AK21" s="78" t="s">
        <v>887</v>
      </c>
      <c r="AL21" s="78" t="s">
        <v>458</v>
      </c>
      <c r="AM21" s="78" t="s">
        <v>887</v>
      </c>
      <c r="AN21" s="78" t="s">
        <v>458</v>
      </c>
      <c r="AQ21" s="78" t="s">
        <v>880</v>
      </c>
      <c r="AR21" s="78" t="s">
        <v>749</v>
      </c>
      <c r="AU21" s="78" t="s">
        <v>892</v>
      </c>
      <c r="AV21" s="78" t="s">
        <v>893</v>
      </c>
      <c r="AW21" s="78" t="s">
        <v>894</v>
      </c>
      <c r="AX21" s="78" t="s">
        <v>895</v>
      </c>
      <c r="AY21" s="78" t="s">
        <v>749</v>
      </c>
      <c r="AZ21" s="78" t="s">
        <v>749</v>
      </c>
      <c r="BC21" s="78" t="s">
        <v>749</v>
      </c>
      <c r="BD21" s="78" t="s">
        <v>896</v>
      </c>
      <c r="BE21" s="78" t="s">
        <v>897</v>
      </c>
      <c r="BQ21" t="s">
        <v>898</v>
      </c>
      <c r="BS21" s="78" t="s">
        <v>749</v>
      </c>
      <c r="BT21" s="78" t="s">
        <v>533</v>
      </c>
      <c r="BU21" s="78" t="s">
        <v>899</v>
      </c>
      <c r="BV21" s="78" t="s">
        <v>749</v>
      </c>
      <c r="BX21" s="78" t="s">
        <v>749</v>
      </c>
      <c r="BY21" s="78" t="s">
        <v>749</v>
      </c>
      <c r="CB21" s="78" t="s">
        <v>901</v>
      </c>
      <c r="CE21" s="78" t="s">
        <v>899</v>
      </c>
      <c r="CH21" s="78" t="s">
        <v>905</v>
      </c>
      <c r="CJ21" s="78" t="s">
        <v>887</v>
      </c>
      <c r="CK21" s="78" t="s">
        <v>899</v>
      </c>
      <c r="CL21" s="78" t="s">
        <v>458</v>
      </c>
      <c r="CR21" s="78" t="s">
        <v>899</v>
      </c>
      <c r="CT21" s="78" t="s">
        <v>749</v>
      </c>
      <c r="CX21" s="78" t="s">
        <v>592</v>
      </c>
      <c r="CZ21" s="78" t="s">
        <v>458</v>
      </c>
      <c r="DA21" t="s">
        <v>853</v>
      </c>
      <c r="DB21" s="78" t="s">
        <v>910</v>
      </c>
      <c r="DC21" s="78" t="s">
        <v>910</v>
      </c>
      <c r="DD21" s="78" t="s">
        <v>910</v>
      </c>
      <c r="DE21" s="78" t="s">
        <v>910</v>
      </c>
      <c r="DF21" s="78" t="s">
        <v>910</v>
      </c>
      <c r="DG21" s="78" t="s">
        <v>910</v>
      </c>
      <c r="DH21" s="78" t="s">
        <v>910</v>
      </c>
      <c r="DI21" s="78" t="s">
        <v>910</v>
      </c>
      <c r="DJ21" s="78" t="s">
        <v>910</v>
      </c>
      <c r="DK21" s="78" t="s">
        <v>910</v>
      </c>
      <c r="DL21" s="78" t="s">
        <v>910</v>
      </c>
      <c r="DM21" s="78" t="s">
        <v>910</v>
      </c>
      <c r="DN21" s="78" t="s">
        <v>910</v>
      </c>
      <c r="DO21" s="78" t="s">
        <v>910</v>
      </c>
      <c r="DP21" s="78" t="s">
        <v>910</v>
      </c>
      <c r="DX21" s="78" t="s">
        <v>749</v>
      </c>
      <c r="DY21" s="78" t="s">
        <v>919</v>
      </c>
      <c r="EE21" s="78" t="s">
        <v>921</v>
      </c>
      <c r="EG21" s="78" t="s">
        <v>923</v>
      </c>
      <c r="EH21" s="78" t="s">
        <v>925</v>
      </c>
      <c r="EJ21" s="78" t="s">
        <v>647</v>
      </c>
      <c r="EK21" s="78" t="s">
        <v>650</v>
      </c>
      <c r="EL21" s="78" t="s">
        <v>653</v>
      </c>
      <c r="EM21" t="s">
        <v>324</v>
      </c>
      <c r="EQ21" s="78" t="s">
        <v>749</v>
      </c>
      <c r="ER21" s="78" t="s">
        <v>749</v>
      </c>
      <c r="EU21" s="78" t="s">
        <v>930</v>
      </c>
      <c r="EW21" s="78" t="s">
        <v>910</v>
      </c>
      <c r="EX21" s="78" t="s">
        <v>677</v>
      </c>
      <c r="FB21" s="78" t="s">
        <v>685</v>
      </c>
      <c r="FJ21" s="78" t="s">
        <v>936</v>
      </c>
      <c r="FK21" s="78" t="s">
        <v>701</v>
      </c>
      <c r="FL21" s="78" t="s">
        <v>705</v>
      </c>
      <c r="FM21" s="78" t="s">
        <v>709</v>
      </c>
      <c r="FS21" s="78" t="s">
        <v>749</v>
      </c>
      <c r="FT21" s="78" t="s">
        <v>749</v>
      </c>
    </row>
    <row r="22">
      <c r="A22" s="349" t="s">
        <v>940</v>
      </c>
      <c r="B22" s="350" t="s">
        <v>30</v>
      </c>
      <c r="C22" s="351" t="s">
        <v>941</v>
      </c>
      <c r="D22" s="352" t="s">
        <v>942</v>
      </c>
      <c r="E22" s="353" t="s">
        <v>943</v>
      </c>
      <c r="F22" t="str">
        <f t="array" ref="F22:ALQ22">transpose(Filtered!S2:S1005)</f>
        <v>Not specified</v>
      </c>
      <c r="G22" t="s">
        <v>324</v>
      </c>
      <c r="H22" t="s">
        <v>324</v>
      </c>
      <c r="I22" t="s">
        <v>324</v>
      </c>
      <c r="J22" t="s">
        <v>324</v>
      </c>
      <c r="K22" t="s">
        <v>324</v>
      </c>
      <c r="L22" t="s">
        <v>324</v>
      </c>
      <c r="M22" t="s">
        <v>324</v>
      </c>
      <c r="N22" t="s">
        <v>324</v>
      </c>
      <c r="O22" t="s">
        <v>324</v>
      </c>
      <c r="P22" t="s">
        <v>324</v>
      </c>
      <c r="Q22" t="s">
        <v>324</v>
      </c>
      <c r="R22" t="s">
        <v>324</v>
      </c>
      <c r="S22" t="s">
        <v>324</v>
      </c>
      <c r="T22" t="s">
        <v>324</v>
      </c>
      <c r="U22" t="s">
        <v>324</v>
      </c>
      <c r="V22" t="s">
        <v>324</v>
      </c>
      <c r="W22" t="s">
        <v>324</v>
      </c>
      <c r="X22" t="s">
        <v>324</v>
      </c>
      <c r="Y22" t="s">
        <v>324</v>
      </c>
      <c r="Z22" t="s">
        <v>282</v>
      </c>
      <c r="AA22" t="s">
        <v>324</v>
      </c>
      <c r="AB22" t="s">
        <v>324</v>
      </c>
      <c r="AC22" t="s">
        <v>282</v>
      </c>
      <c r="AD22" t="s">
        <v>324</v>
      </c>
      <c r="AE22" t="s">
        <v>890</v>
      </c>
      <c r="AF22" t="s">
        <v>324</v>
      </c>
      <c r="AG22" t="s">
        <v>324</v>
      </c>
      <c r="AH22" t="s">
        <v>324</v>
      </c>
      <c r="AI22" t="s">
        <v>324</v>
      </c>
      <c r="AJ22" t="s">
        <v>324</v>
      </c>
      <c r="AK22" t="s">
        <v>282</v>
      </c>
      <c r="AL22" t="s">
        <v>324</v>
      </c>
      <c r="AM22" t="s">
        <v>282</v>
      </c>
      <c r="AN22" t="s">
        <v>324</v>
      </c>
      <c r="AO22" t="s">
        <v>324</v>
      </c>
      <c r="AP22" t="s">
        <v>324</v>
      </c>
      <c r="AQ22" t="s">
        <v>324</v>
      </c>
      <c r="AR22" t="s">
        <v>324</v>
      </c>
      <c r="AS22" t="s">
        <v>324</v>
      </c>
      <c r="AT22" t="s">
        <v>324</v>
      </c>
      <c r="AU22" t="s">
        <v>324</v>
      </c>
      <c r="AV22" t="s">
        <v>329</v>
      </c>
      <c r="AW22" t="s">
        <v>324</v>
      </c>
      <c r="AX22" t="s">
        <v>324</v>
      </c>
      <c r="AY22" t="s">
        <v>324</v>
      </c>
      <c r="AZ22" t="s">
        <v>282</v>
      </c>
      <c r="BA22" t="s">
        <v>324</v>
      </c>
      <c r="BB22" t="s">
        <v>324</v>
      </c>
      <c r="BC22" t="s">
        <v>324</v>
      </c>
      <c r="BD22" t="s">
        <v>324</v>
      </c>
      <c r="BE22" t="s">
        <v>282</v>
      </c>
      <c r="BF22" t="s">
        <v>282</v>
      </c>
      <c r="BG22" t="s">
        <v>324</v>
      </c>
      <c r="BH22" t="s">
        <v>324</v>
      </c>
      <c r="BI22" t="s">
        <v>324</v>
      </c>
      <c r="BJ22" t="s">
        <v>282</v>
      </c>
      <c r="BK22" t="s">
        <v>282</v>
      </c>
      <c r="BL22" t="s">
        <v>324</v>
      </c>
      <c r="BM22" t="s">
        <v>324</v>
      </c>
      <c r="BN22" t="s">
        <v>324</v>
      </c>
      <c r="BO22" t="s">
        <v>324</v>
      </c>
      <c r="BP22" t="s">
        <v>324</v>
      </c>
      <c r="BQ22" t="s">
        <v>324</v>
      </c>
      <c r="BR22" t="s">
        <v>324</v>
      </c>
      <c r="BS22" t="s">
        <v>282</v>
      </c>
      <c r="BT22" t="s">
        <v>282</v>
      </c>
      <c r="BU22" t="s">
        <v>324</v>
      </c>
      <c r="BV22" t="s">
        <v>282</v>
      </c>
      <c r="BW22" t="s">
        <v>324</v>
      </c>
      <c r="BX22" t="s">
        <v>324</v>
      </c>
      <c r="BY22" t="s">
        <v>324</v>
      </c>
      <c r="BZ22" t="s">
        <v>324</v>
      </c>
      <c r="CA22" t="s">
        <v>324</v>
      </c>
      <c r="CB22" t="s">
        <v>282</v>
      </c>
      <c r="CC22" t="s">
        <v>324</v>
      </c>
      <c r="CD22" t="s">
        <v>324</v>
      </c>
      <c r="CE22" t="s">
        <v>324</v>
      </c>
      <c r="CF22" t="s">
        <v>324</v>
      </c>
      <c r="CG22" t="s">
        <v>324</v>
      </c>
      <c r="CH22" t="s">
        <v>324</v>
      </c>
      <c r="CI22" t="s">
        <v>324</v>
      </c>
      <c r="CJ22" t="s">
        <v>324</v>
      </c>
      <c r="CK22" t="s">
        <v>324</v>
      </c>
      <c r="CL22" t="s">
        <v>324</v>
      </c>
      <c r="CM22" t="s">
        <v>324</v>
      </c>
      <c r="CN22" t="s">
        <v>324</v>
      </c>
      <c r="CO22" t="s">
        <v>324</v>
      </c>
      <c r="CP22" t="s">
        <v>324</v>
      </c>
      <c r="CQ22" t="s">
        <v>324</v>
      </c>
      <c r="CR22" t="s">
        <v>324</v>
      </c>
      <c r="CS22" t="s">
        <v>324</v>
      </c>
      <c r="CT22" t="s">
        <v>324</v>
      </c>
      <c r="CU22" t="s">
        <v>324</v>
      </c>
      <c r="CV22" t="s">
        <v>324</v>
      </c>
      <c r="CW22" t="s">
        <v>324</v>
      </c>
      <c r="CX22" t="s">
        <v>324</v>
      </c>
      <c r="CY22" t="s">
        <v>324</v>
      </c>
      <c r="CZ22" t="s">
        <v>324</v>
      </c>
      <c r="DA22" t="s">
        <v>282</v>
      </c>
      <c r="DB22" t="s">
        <v>282</v>
      </c>
      <c r="DC22" t="s">
        <v>324</v>
      </c>
      <c r="DD22" t="s">
        <v>324</v>
      </c>
      <c r="DE22" t="s">
        <v>324</v>
      </c>
      <c r="DF22" t="s">
        <v>324</v>
      </c>
      <c r="DG22" t="s">
        <v>327</v>
      </c>
      <c r="DH22" t="s">
        <v>324</v>
      </c>
      <c r="DI22" t="s">
        <v>324</v>
      </c>
      <c r="DJ22" t="s">
        <v>324</v>
      </c>
      <c r="DK22" t="s">
        <v>324</v>
      </c>
      <c r="DL22" t="s">
        <v>324</v>
      </c>
      <c r="DM22" t="s">
        <v>324</v>
      </c>
      <c r="DN22" t="s">
        <v>324</v>
      </c>
      <c r="DO22" t="s">
        <v>324</v>
      </c>
      <c r="DP22" t="s">
        <v>324</v>
      </c>
      <c r="DQ22" t="s">
        <v>324</v>
      </c>
      <c r="DR22" t="s">
        <v>324</v>
      </c>
      <c r="DS22" t="s">
        <v>324</v>
      </c>
      <c r="DT22" t="s">
        <v>324</v>
      </c>
      <c r="DU22" t="s">
        <v>324</v>
      </c>
      <c r="DV22" t="s">
        <v>324</v>
      </c>
      <c r="DW22" t="s">
        <v>875</v>
      </c>
      <c r="DX22" t="s">
        <v>282</v>
      </c>
      <c r="DY22" t="s">
        <v>324</v>
      </c>
      <c r="DZ22" t="s">
        <v>324</v>
      </c>
      <c r="EA22" t="s">
        <v>324</v>
      </c>
      <c r="EB22" t="s">
        <v>324</v>
      </c>
      <c r="EC22" t="s">
        <v>324</v>
      </c>
      <c r="ED22" t="s">
        <v>324</v>
      </c>
      <c r="EE22" t="s">
        <v>324</v>
      </c>
      <c r="EF22" t="s">
        <v>324</v>
      </c>
      <c r="EG22" t="s">
        <v>282</v>
      </c>
      <c r="EH22" t="s">
        <v>282</v>
      </c>
      <c r="EI22" t="s">
        <v>282</v>
      </c>
      <c r="EJ22" t="s">
        <v>282</v>
      </c>
      <c r="EK22" t="s">
        <v>324</v>
      </c>
      <c r="EL22" t="s">
        <v>324</v>
      </c>
      <c r="EM22" t="s">
        <v>324</v>
      </c>
      <c r="EN22" t="s">
        <v>324</v>
      </c>
      <c r="EO22" t="s">
        <v>324</v>
      </c>
      <c r="EP22" t="s">
        <v>324</v>
      </c>
      <c r="EQ22" t="s">
        <v>324</v>
      </c>
      <c r="ER22" t="s">
        <v>324</v>
      </c>
      <c r="ES22" t="s">
        <v>324</v>
      </c>
      <c r="ET22" t="s">
        <v>282</v>
      </c>
      <c r="EU22" t="s">
        <v>282</v>
      </c>
      <c r="EV22" t="s">
        <v>282</v>
      </c>
      <c r="EW22" t="s">
        <v>324</v>
      </c>
      <c r="EX22" t="s">
        <v>324</v>
      </c>
      <c r="EY22" t="s">
        <v>324</v>
      </c>
      <c r="EZ22" t="s">
        <v>324</v>
      </c>
      <c r="FA22" t="s">
        <v>324</v>
      </c>
      <c r="FB22" t="s">
        <v>324</v>
      </c>
      <c r="FC22" t="s">
        <v>324</v>
      </c>
      <c r="FD22" t="s">
        <v>324</v>
      </c>
      <c r="FE22" t="s">
        <v>324</v>
      </c>
      <c r="FF22" t="s">
        <v>282</v>
      </c>
      <c r="FG22" t="s">
        <v>324</v>
      </c>
      <c r="FH22" t="s">
        <v>324</v>
      </c>
      <c r="FI22" t="s">
        <v>324</v>
      </c>
      <c r="FJ22" t="s">
        <v>324</v>
      </c>
      <c r="FK22" t="s">
        <v>324</v>
      </c>
      <c r="FL22" t="s">
        <v>324</v>
      </c>
      <c r="FM22" t="s">
        <v>324</v>
      </c>
      <c r="FN22" t="s">
        <v>324</v>
      </c>
      <c r="FO22" t="s">
        <v>324</v>
      </c>
      <c r="FP22" t="s">
        <v>324</v>
      </c>
      <c r="FQ22" t="s">
        <v>324</v>
      </c>
      <c r="FR22" t="s">
        <v>324</v>
      </c>
      <c r="FS22" t="s">
        <v>324</v>
      </c>
      <c r="FT22" t="s">
        <v>282</v>
      </c>
    </row>
    <row r="23">
      <c r="A23" s="349" t="s">
        <v>940</v>
      </c>
      <c r="B23" s="354" t="s">
        <v>31</v>
      </c>
      <c r="C23" s="355" t="s">
        <v>71</v>
      </c>
      <c r="D23" s="356"/>
      <c r="E23" s="353" t="s">
        <v>949</v>
      </c>
      <c r="F23" t="str">
        <f t="array" ref="F23:ALQ23">transpose(Filtered!T2:T1005)</f>
        <v>Not specified</v>
      </c>
      <c r="G23" t="s">
        <v>324</v>
      </c>
      <c r="H23" t="s">
        <v>324</v>
      </c>
      <c r="I23" t="s">
        <v>324</v>
      </c>
      <c r="J23" t="s">
        <v>324</v>
      </c>
      <c r="K23" t="s">
        <v>324</v>
      </c>
      <c r="L23" t="s">
        <v>324</v>
      </c>
      <c r="M23" t="s">
        <v>324</v>
      </c>
      <c r="N23" t="s">
        <v>324</v>
      </c>
      <c r="O23" t="s">
        <v>324</v>
      </c>
      <c r="P23" t="s">
        <v>324</v>
      </c>
      <c r="Q23" t="s">
        <v>324</v>
      </c>
      <c r="R23" t="s">
        <v>324</v>
      </c>
      <c r="S23" t="s">
        <v>324</v>
      </c>
      <c r="T23" t="s">
        <v>324</v>
      </c>
      <c r="U23" t="s">
        <v>324</v>
      </c>
      <c r="V23" t="s">
        <v>324</v>
      </c>
      <c r="W23" t="s">
        <v>324</v>
      </c>
      <c r="X23" t="s">
        <v>324</v>
      </c>
      <c r="Y23" t="s">
        <v>324</v>
      </c>
      <c r="Z23" t="s">
        <v>324</v>
      </c>
      <c r="AA23" t="s">
        <v>324</v>
      </c>
      <c r="AB23" t="s">
        <v>324</v>
      </c>
      <c r="AC23" t="s">
        <v>282</v>
      </c>
      <c r="AD23" t="s">
        <v>324</v>
      </c>
      <c r="AE23" t="s">
        <v>890</v>
      </c>
      <c r="AF23" t="s">
        <v>324</v>
      </c>
      <c r="AG23" t="s">
        <v>324</v>
      </c>
      <c r="AH23" t="s">
        <v>324</v>
      </c>
      <c r="AI23" t="s">
        <v>324</v>
      </c>
      <c r="AJ23" t="s">
        <v>324</v>
      </c>
      <c r="AK23" t="s">
        <v>324</v>
      </c>
      <c r="AL23" t="s">
        <v>324</v>
      </c>
      <c r="AM23" t="s">
        <v>324</v>
      </c>
      <c r="AN23" t="s">
        <v>324</v>
      </c>
      <c r="AO23" t="s">
        <v>324</v>
      </c>
      <c r="AP23" t="s">
        <v>324</v>
      </c>
      <c r="AQ23" t="s">
        <v>324</v>
      </c>
      <c r="AR23" t="s">
        <v>324</v>
      </c>
      <c r="AS23" t="s">
        <v>324</v>
      </c>
      <c r="AT23" t="s">
        <v>324</v>
      </c>
      <c r="AU23" t="s">
        <v>324</v>
      </c>
      <c r="AV23" t="s">
        <v>327</v>
      </c>
      <c r="AW23" t="s">
        <v>324</v>
      </c>
      <c r="AX23" t="s">
        <v>324</v>
      </c>
      <c r="AY23" t="s">
        <v>324</v>
      </c>
      <c r="AZ23" t="s">
        <v>324</v>
      </c>
      <c r="BA23" t="s">
        <v>324</v>
      </c>
      <c r="BB23" t="s">
        <v>324</v>
      </c>
      <c r="BC23" t="s">
        <v>324</v>
      </c>
      <c r="BD23" t="s">
        <v>324</v>
      </c>
      <c r="BE23" t="s">
        <v>282</v>
      </c>
      <c r="BF23" t="s">
        <v>324</v>
      </c>
      <c r="BG23" t="s">
        <v>324</v>
      </c>
      <c r="BH23" t="s">
        <v>324</v>
      </c>
      <c r="BI23" t="s">
        <v>324</v>
      </c>
      <c r="BJ23" t="s">
        <v>282</v>
      </c>
      <c r="BK23" t="s">
        <v>282</v>
      </c>
      <c r="BL23" t="s">
        <v>324</v>
      </c>
      <c r="BM23" t="s">
        <v>324</v>
      </c>
      <c r="BN23" t="s">
        <v>324</v>
      </c>
      <c r="BO23" t="s">
        <v>324</v>
      </c>
      <c r="BP23" t="s">
        <v>324</v>
      </c>
      <c r="BQ23" t="s">
        <v>324</v>
      </c>
      <c r="BR23" t="s">
        <v>324</v>
      </c>
      <c r="BS23" t="s">
        <v>282</v>
      </c>
      <c r="BT23" t="s">
        <v>324</v>
      </c>
      <c r="BU23" t="s">
        <v>324</v>
      </c>
      <c r="BV23" t="s">
        <v>282</v>
      </c>
      <c r="BW23" t="s">
        <v>324</v>
      </c>
      <c r="BX23" t="s">
        <v>324</v>
      </c>
      <c r="BY23" t="s">
        <v>324</v>
      </c>
      <c r="BZ23" t="s">
        <v>324</v>
      </c>
      <c r="CA23" t="s">
        <v>324</v>
      </c>
      <c r="CB23" t="s">
        <v>282</v>
      </c>
      <c r="CC23" t="s">
        <v>324</v>
      </c>
      <c r="CD23" t="s">
        <v>324</v>
      </c>
      <c r="CE23" t="s">
        <v>324</v>
      </c>
      <c r="CF23" t="s">
        <v>324</v>
      </c>
      <c r="CG23" t="s">
        <v>324</v>
      </c>
      <c r="CH23" t="s">
        <v>324</v>
      </c>
      <c r="CI23" t="s">
        <v>324</v>
      </c>
      <c r="CJ23" t="s">
        <v>324</v>
      </c>
      <c r="CK23" t="s">
        <v>324</v>
      </c>
      <c r="CL23" t="s">
        <v>324</v>
      </c>
      <c r="CM23" t="s">
        <v>324</v>
      </c>
      <c r="CN23" t="s">
        <v>324</v>
      </c>
      <c r="CO23" t="s">
        <v>324</v>
      </c>
      <c r="CP23" t="s">
        <v>324</v>
      </c>
      <c r="CQ23" t="s">
        <v>324</v>
      </c>
      <c r="CR23" t="s">
        <v>324</v>
      </c>
      <c r="CS23" t="s">
        <v>324</v>
      </c>
      <c r="CT23" t="s">
        <v>324</v>
      </c>
      <c r="CU23" t="s">
        <v>324</v>
      </c>
      <c r="CV23" t="s">
        <v>324</v>
      </c>
      <c r="CW23" t="s">
        <v>324</v>
      </c>
      <c r="CX23" t="s">
        <v>324</v>
      </c>
      <c r="CY23" t="s">
        <v>324</v>
      </c>
      <c r="CZ23" t="s">
        <v>324</v>
      </c>
      <c r="DA23" t="s">
        <v>282</v>
      </c>
      <c r="DB23" t="s">
        <v>282</v>
      </c>
      <c r="DC23" t="s">
        <v>324</v>
      </c>
      <c r="DD23" t="s">
        <v>324</v>
      </c>
      <c r="DE23" t="s">
        <v>324</v>
      </c>
      <c r="DF23" t="s">
        <v>324</v>
      </c>
      <c r="DG23" t="s">
        <v>327</v>
      </c>
      <c r="DH23" t="s">
        <v>324</v>
      </c>
      <c r="DI23" t="s">
        <v>324</v>
      </c>
      <c r="DJ23" t="s">
        <v>324</v>
      </c>
      <c r="DK23" t="s">
        <v>324</v>
      </c>
      <c r="DL23" t="s">
        <v>324</v>
      </c>
      <c r="DM23" t="s">
        <v>324</v>
      </c>
      <c r="DN23" t="s">
        <v>324</v>
      </c>
      <c r="DO23" t="s">
        <v>324</v>
      </c>
      <c r="DP23" t="s">
        <v>324</v>
      </c>
      <c r="DQ23" t="s">
        <v>324</v>
      </c>
      <c r="DR23" t="s">
        <v>324</v>
      </c>
      <c r="DS23" t="s">
        <v>324</v>
      </c>
      <c r="DT23" t="s">
        <v>324</v>
      </c>
      <c r="DU23" t="s">
        <v>324</v>
      </c>
      <c r="DV23" t="s">
        <v>324</v>
      </c>
      <c r="DW23" t="s">
        <v>875</v>
      </c>
      <c r="DX23" t="s">
        <v>282</v>
      </c>
      <c r="DY23" t="s">
        <v>324</v>
      </c>
      <c r="DZ23" t="s">
        <v>324</v>
      </c>
      <c r="EA23" t="s">
        <v>324</v>
      </c>
      <c r="EB23" t="s">
        <v>324</v>
      </c>
      <c r="EC23" t="s">
        <v>324</v>
      </c>
      <c r="ED23" t="s">
        <v>324</v>
      </c>
      <c r="EE23" t="s">
        <v>324</v>
      </c>
      <c r="EF23" t="s">
        <v>324</v>
      </c>
      <c r="EG23" t="s">
        <v>282</v>
      </c>
      <c r="EH23" t="s">
        <v>282</v>
      </c>
      <c r="EI23" t="s">
        <v>282</v>
      </c>
      <c r="EJ23" t="s">
        <v>282</v>
      </c>
      <c r="EK23" t="s">
        <v>324</v>
      </c>
      <c r="EL23" t="s">
        <v>324</v>
      </c>
      <c r="EM23" t="s">
        <v>324</v>
      </c>
      <c r="EN23" t="s">
        <v>324</v>
      </c>
      <c r="EO23" t="s">
        <v>324</v>
      </c>
      <c r="EP23" t="s">
        <v>324</v>
      </c>
      <c r="EQ23" t="s">
        <v>324</v>
      </c>
      <c r="ER23" t="s">
        <v>324</v>
      </c>
      <c r="ES23" t="s">
        <v>324</v>
      </c>
      <c r="ET23" t="s">
        <v>282</v>
      </c>
      <c r="EU23" t="s">
        <v>324</v>
      </c>
      <c r="EV23" t="s">
        <v>324</v>
      </c>
      <c r="EW23" t="s">
        <v>324</v>
      </c>
      <c r="EX23" t="s">
        <v>324</v>
      </c>
      <c r="EY23" t="s">
        <v>324</v>
      </c>
      <c r="EZ23" t="s">
        <v>324</v>
      </c>
      <c r="FA23" t="s">
        <v>324</v>
      </c>
      <c r="FB23" t="s">
        <v>324</v>
      </c>
      <c r="FC23" t="s">
        <v>324</v>
      </c>
      <c r="FD23" t="s">
        <v>324</v>
      </c>
      <c r="FE23" t="s">
        <v>324</v>
      </c>
      <c r="FF23" t="s">
        <v>282</v>
      </c>
      <c r="FG23" t="s">
        <v>324</v>
      </c>
      <c r="FH23" t="s">
        <v>324</v>
      </c>
      <c r="FI23" t="s">
        <v>324</v>
      </c>
      <c r="FJ23" t="s">
        <v>324</v>
      </c>
      <c r="FK23" t="s">
        <v>324</v>
      </c>
      <c r="FL23" t="s">
        <v>324</v>
      </c>
      <c r="FM23" t="s">
        <v>324</v>
      </c>
      <c r="FN23" t="s">
        <v>324</v>
      </c>
      <c r="FO23" t="s">
        <v>324</v>
      </c>
      <c r="FP23" t="s">
        <v>324</v>
      </c>
      <c r="FQ23" t="s">
        <v>324</v>
      </c>
      <c r="FR23" t="s">
        <v>324</v>
      </c>
      <c r="FS23" t="s">
        <v>324</v>
      </c>
      <c r="FT23" t="s">
        <v>282</v>
      </c>
    </row>
    <row r="24">
      <c r="A24" s="349" t="s">
        <v>940</v>
      </c>
      <c r="B24" s="354" t="s">
        <v>32</v>
      </c>
      <c r="C24" s="355" t="s">
        <v>72</v>
      </c>
      <c r="D24" s="356"/>
      <c r="E24" s="353" t="s">
        <v>282</v>
      </c>
      <c r="F24" t="str">
        <f t="array" ref="F24:ALQ24">transpose(Filtered!U2:U1005)</f>
        <v>Not specified</v>
      </c>
      <c r="G24" t="s">
        <v>324</v>
      </c>
      <c r="H24" t="s">
        <v>324</v>
      </c>
      <c r="I24" t="s">
        <v>324</v>
      </c>
      <c r="J24" t="s">
        <v>324</v>
      </c>
      <c r="K24" t="s">
        <v>324</v>
      </c>
      <c r="L24" t="s">
        <v>324</v>
      </c>
      <c r="M24" t="s">
        <v>324</v>
      </c>
      <c r="N24" t="s">
        <v>324</v>
      </c>
      <c r="O24" t="s">
        <v>324</v>
      </c>
      <c r="P24" t="s">
        <v>324</v>
      </c>
      <c r="Q24" t="s">
        <v>324</v>
      </c>
      <c r="R24" t="s">
        <v>324</v>
      </c>
      <c r="S24" t="s">
        <v>324</v>
      </c>
      <c r="T24" t="s">
        <v>324</v>
      </c>
      <c r="U24" t="s">
        <v>324</v>
      </c>
      <c r="V24" t="s">
        <v>324</v>
      </c>
      <c r="W24" t="s">
        <v>324</v>
      </c>
      <c r="X24" t="s">
        <v>324</v>
      </c>
      <c r="Y24" t="s">
        <v>324</v>
      </c>
      <c r="Z24" t="s">
        <v>282</v>
      </c>
      <c r="AA24" t="s">
        <v>324</v>
      </c>
      <c r="AB24" t="s">
        <v>324</v>
      </c>
      <c r="AC24" t="s">
        <v>282</v>
      </c>
      <c r="AD24" t="s">
        <v>324</v>
      </c>
      <c r="AE24" t="s">
        <v>890</v>
      </c>
      <c r="AF24" t="s">
        <v>324</v>
      </c>
      <c r="AG24" t="s">
        <v>324</v>
      </c>
      <c r="AH24" t="s">
        <v>324</v>
      </c>
      <c r="AI24" t="s">
        <v>324</v>
      </c>
      <c r="AJ24" t="s">
        <v>324</v>
      </c>
      <c r="AK24" t="s">
        <v>324</v>
      </c>
      <c r="AL24" t="s">
        <v>324</v>
      </c>
      <c r="AM24" t="s">
        <v>324</v>
      </c>
      <c r="AN24" t="s">
        <v>324</v>
      </c>
      <c r="AO24" t="s">
        <v>324</v>
      </c>
      <c r="AP24" t="s">
        <v>324</v>
      </c>
      <c r="AQ24" t="s">
        <v>324</v>
      </c>
      <c r="AR24" t="s">
        <v>324</v>
      </c>
      <c r="AS24" t="s">
        <v>324</v>
      </c>
      <c r="AT24" t="s">
        <v>324</v>
      </c>
      <c r="AU24" t="s">
        <v>324</v>
      </c>
      <c r="AV24" t="s">
        <v>324</v>
      </c>
      <c r="AW24" t="s">
        <v>324</v>
      </c>
      <c r="AX24" t="s">
        <v>324</v>
      </c>
      <c r="AY24" t="s">
        <v>324</v>
      </c>
      <c r="AZ24" t="s">
        <v>282</v>
      </c>
      <c r="BA24" t="s">
        <v>324</v>
      </c>
      <c r="BB24" t="s">
        <v>324</v>
      </c>
      <c r="BC24" t="s">
        <v>324</v>
      </c>
      <c r="BD24" t="s">
        <v>324</v>
      </c>
      <c r="BE24" t="s">
        <v>324</v>
      </c>
      <c r="BF24" t="s">
        <v>324</v>
      </c>
      <c r="BG24" t="s">
        <v>324</v>
      </c>
      <c r="BH24" t="s">
        <v>324</v>
      </c>
      <c r="BI24" t="s">
        <v>324</v>
      </c>
      <c r="BJ24" t="s">
        <v>282</v>
      </c>
      <c r="BK24" t="s">
        <v>282</v>
      </c>
      <c r="BL24" t="s">
        <v>324</v>
      </c>
      <c r="BM24" t="s">
        <v>324</v>
      </c>
      <c r="BN24" t="s">
        <v>324</v>
      </c>
      <c r="BO24" t="s">
        <v>324</v>
      </c>
      <c r="BP24" t="s">
        <v>324</v>
      </c>
      <c r="BQ24" t="s">
        <v>324</v>
      </c>
      <c r="BR24" t="s">
        <v>324</v>
      </c>
      <c r="BS24" t="s">
        <v>282</v>
      </c>
      <c r="BT24" t="s">
        <v>324</v>
      </c>
      <c r="BU24" t="s">
        <v>324</v>
      </c>
      <c r="BV24" t="s">
        <v>282</v>
      </c>
      <c r="BW24" t="s">
        <v>324</v>
      </c>
      <c r="BX24" t="s">
        <v>324</v>
      </c>
      <c r="BY24" t="s">
        <v>324</v>
      </c>
      <c r="BZ24" t="s">
        <v>324</v>
      </c>
      <c r="CA24" t="s">
        <v>324</v>
      </c>
      <c r="CB24" t="s">
        <v>282</v>
      </c>
      <c r="CC24" t="s">
        <v>324</v>
      </c>
      <c r="CD24" t="s">
        <v>324</v>
      </c>
      <c r="CE24" t="s">
        <v>324</v>
      </c>
      <c r="CF24" t="s">
        <v>324</v>
      </c>
      <c r="CG24" t="s">
        <v>324</v>
      </c>
      <c r="CH24" t="s">
        <v>324</v>
      </c>
      <c r="CI24" t="s">
        <v>324</v>
      </c>
      <c r="CJ24" t="s">
        <v>324</v>
      </c>
      <c r="CK24" t="s">
        <v>324</v>
      </c>
      <c r="CL24" t="s">
        <v>951</v>
      </c>
      <c r="CM24" t="s">
        <v>324</v>
      </c>
      <c r="CN24" t="s">
        <v>324</v>
      </c>
      <c r="CO24" t="s">
        <v>324</v>
      </c>
      <c r="CP24" t="s">
        <v>324</v>
      </c>
      <c r="CQ24" t="s">
        <v>324</v>
      </c>
      <c r="CR24" t="s">
        <v>324</v>
      </c>
      <c r="CS24" t="s">
        <v>324</v>
      </c>
      <c r="CT24" t="s">
        <v>324</v>
      </c>
      <c r="CU24" t="s">
        <v>324</v>
      </c>
      <c r="CV24" t="s">
        <v>324</v>
      </c>
      <c r="CW24" t="s">
        <v>324</v>
      </c>
      <c r="CX24" t="s">
        <v>324</v>
      </c>
      <c r="CY24" t="s">
        <v>324</v>
      </c>
      <c r="CZ24" t="s">
        <v>324</v>
      </c>
      <c r="DA24" t="s">
        <v>282</v>
      </c>
      <c r="DB24" t="s">
        <v>282</v>
      </c>
      <c r="DC24" t="s">
        <v>324</v>
      </c>
      <c r="DD24" t="s">
        <v>324</v>
      </c>
      <c r="DE24" t="s">
        <v>324</v>
      </c>
      <c r="DF24" t="s">
        <v>324</v>
      </c>
      <c r="DG24" t="s">
        <v>324</v>
      </c>
      <c r="DH24" t="s">
        <v>324</v>
      </c>
      <c r="DI24" t="s">
        <v>324</v>
      </c>
      <c r="DJ24" t="s">
        <v>324</v>
      </c>
      <c r="DK24" t="s">
        <v>324</v>
      </c>
      <c r="DL24" t="s">
        <v>324</v>
      </c>
      <c r="DM24" t="s">
        <v>324</v>
      </c>
      <c r="DN24" t="s">
        <v>324</v>
      </c>
      <c r="DO24" t="s">
        <v>324</v>
      </c>
      <c r="DP24" t="s">
        <v>324</v>
      </c>
      <c r="DQ24" t="s">
        <v>324</v>
      </c>
      <c r="DR24" t="s">
        <v>324</v>
      </c>
      <c r="DS24" t="s">
        <v>324</v>
      </c>
      <c r="DT24" t="s">
        <v>324</v>
      </c>
      <c r="DU24" t="s">
        <v>324</v>
      </c>
      <c r="DV24" t="s">
        <v>324</v>
      </c>
      <c r="DW24" t="s">
        <v>875</v>
      </c>
      <c r="DX24" t="s">
        <v>282</v>
      </c>
      <c r="DY24" t="s">
        <v>324</v>
      </c>
      <c r="DZ24" t="s">
        <v>324</v>
      </c>
      <c r="EA24" t="s">
        <v>324</v>
      </c>
      <c r="EB24" t="s">
        <v>324</v>
      </c>
      <c r="EC24" t="s">
        <v>324</v>
      </c>
      <c r="ED24" t="s">
        <v>324</v>
      </c>
      <c r="EE24" t="s">
        <v>324</v>
      </c>
      <c r="EF24" t="s">
        <v>324</v>
      </c>
      <c r="EG24" t="s">
        <v>282</v>
      </c>
      <c r="EH24" t="s">
        <v>282</v>
      </c>
      <c r="EI24" t="s">
        <v>282</v>
      </c>
      <c r="EJ24" t="s">
        <v>282</v>
      </c>
      <c r="EK24" t="s">
        <v>324</v>
      </c>
      <c r="EL24" t="s">
        <v>324</v>
      </c>
      <c r="EM24" t="s">
        <v>324</v>
      </c>
      <c r="EN24" t="s">
        <v>324</v>
      </c>
      <c r="EO24" t="s">
        <v>324</v>
      </c>
      <c r="EP24" t="s">
        <v>324</v>
      </c>
      <c r="EQ24" t="s">
        <v>324</v>
      </c>
      <c r="ER24" t="s">
        <v>324</v>
      </c>
      <c r="ES24" t="s">
        <v>324</v>
      </c>
      <c r="ET24" t="s">
        <v>282</v>
      </c>
      <c r="EU24" t="s">
        <v>324</v>
      </c>
      <c r="EV24" t="s">
        <v>324</v>
      </c>
      <c r="EW24" t="s">
        <v>324</v>
      </c>
      <c r="EX24" t="s">
        <v>324</v>
      </c>
      <c r="EY24" t="s">
        <v>324</v>
      </c>
      <c r="EZ24" t="s">
        <v>324</v>
      </c>
      <c r="FA24" t="s">
        <v>324</v>
      </c>
      <c r="FB24" t="s">
        <v>324</v>
      </c>
      <c r="FC24" t="s">
        <v>324</v>
      </c>
      <c r="FD24" t="s">
        <v>324</v>
      </c>
      <c r="FE24" t="s">
        <v>324</v>
      </c>
      <c r="FF24" t="s">
        <v>282</v>
      </c>
      <c r="FG24" t="s">
        <v>324</v>
      </c>
      <c r="FH24" t="s">
        <v>324</v>
      </c>
      <c r="FI24" t="s">
        <v>324</v>
      </c>
      <c r="FJ24" t="s">
        <v>324</v>
      </c>
      <c r="FK24" t="s">
        <v>324</v>
      </c>
      <c r="FL24" t="s">
        <v>324</v>
      </c>
      <c r="FM24" t="s">
        <v>324</v>
      </c>
      <c r="FN24" t="s">
        <v>324</v>
      </c>
      <c r="FO24" t="s">
        <v>324</v>
      </c>
      <c r="FP24" t="s">
        <v>324</v>
      </c>
      <c r="FQ24" t="s">
        <v>324</v>
      </c>
      <c r="FR24" t="s">
        <v>324</v>
      </c>
      <c r="FS24" t="s">
        <v>324</v>
      </c>
      <c r="FT24" t="s">
        <v>282</v>
      </c>
    </row>
    <row r="25">
      <c r="A25" s="349" t="s">
        <v>940</v>
      </c>
      <c r="B25" s="359" t="s">
        <v>33</v>
      </c>
      <c r="C25" s="360" t="s">
        <v>73</v>
      </c>
      <c r="D25" s="356"/>
      <c r="E25" s="353" t="s">
        <v>282</v>
      </c>
      <c r="F25" t="str">
        <f t="array" ref="F25:ALQ25">transpose(Filtered!V2:V1005)</f>
        <v>Not specified</v>
      </c>
      <c r="G25" t="s">
        <v>324</v>
      </c>
      <c r="H25" t="s">
        <v>324</v>
      </c>
      <c r="I25" t="s">
        <v>324</v>
      </c>
      <c r="J25" t="s">
        <v>324</v>
      </c>
      <c r="K25" t="s">
        <v>324</v>
      </c>
      <c r="L25" t="s">
        <v>324</v>
      </c>
      <c r="M25" t="s">
        <v>324</v>
      </c>
      <c r="N25" t="s">
        <v>324</v>
      </c>
      <c r="O25" t="s">
        <v>324</v>
      </c>
      <c r="P25" t="s">
        <v>324</v>
      </c>
      <c r="Q25" t="s">
        <v>324</v>
      </c>
      <c r="R25" t="s">
        <v>324</v>
      </c>
      <c r="S25" t="s">
        <v>324</v>
      </c>
      <c r="T25" t="s">
        <v>324</v>
      </c>
      <c r="U25" t="s">
        <v>324</v>
      </c>
      <c r="V25" t="s">
        <v>324</v>
      </c>
      <c r="W25" t="s">
        <v>324</v>
      </c>
      <c r="X25" t="s">
        <v>324</v>
      </c>
      <c r="Y25" t="s">
        <v>324</v>
      </c>
      <c r="Z25" t="s">
        <v>282</v>
      </c>
      <c r="AA25" t="s">
        <v>324</v>
      </c>
      <c r="AB25" t="s">
        <v>324</v>
      </c>
      <c r="AC25" t="s">
        <v>282</v>
      </c>
      <c r="AD25" t="s">
        <v>324</v>
      </c>
      <c r="AE25" t="s">
        <v>890</v>
      </c>
      <c r="AF25" t="s">
        <v>324</v>
      </c>
      <c r="AG25" t="s">
        <v>324</v>
      </c>
      <c r="AH25" t="s">
        <v>324</v>
      </c>
      <c r="AI25" t="s">
        <v>324</v>
      </c>
      <c r="AJ25" t="s">
        <v>324</v>
      </c>
      <c r="AK25" t="s">
        <v>324</v>
      </c>
      <c r="AL25" t="s">
        <v>324</v>
      </c>
      <c r="AM25" t="s">
        <v>324</v>
      </c>
      <c r="AN25" t="s">
        <v>324</v>
      </c>
      <c r="AO25" t="s">
        <v>324</v>
      </c>
      <c r="AP25" t="s">
        <v>324</v>
      </c>
      <c r="AQ25" t="s">
        <v>324</v>
      </c>
      <c r="AR25" t="s">
        <v>324</v>
      </c>
      <c r="AS25" t="s">
        <v>324</v>
      </c>
      <c r="AT25" t="s">
        <v>324</v>
      </c>
      <c r="AU25" t="s">
        <v>324</v>
      </c>
      <c r="AV25" t="s">
        <v>324</v>
      </c>
      <c r="AW25" t="s">
        <v>324</v>
      </c>
      <c r="AX25" t="s">
        <v>324</v>
      </c>
      <c r="AY25" t="s">
        <v>324</v>
      </c>
      <c r="AZ25" t="s">
        <v>324</v>
      </c>
      <c r="BA25" t="s">
        <v>324</v>
      </c>
      <c r="BB25" t="s">
        <v>324</v>
      </c>
      <c r="BC25" t="s">
        <v>324</v>
      </c>
      <c r="BD25" t="s">
        <v>324</v>
      </c>
      <c r="BE25" t="s">
        <v>324</v>
      </c>
      <c r="BF25" t="s">
        <v>282</v>
      </c>
      <c r="BG25" t="s">
        <v>324</v>
      </c>
      <c r="BH25" t="s">
        <v>324</v>
      </c>
      <c r="BI25" t="s">
        <v>324</v>
      </c>
      <c r="BJ25" t="s">
        <v>282</v>
      </c>
      <c r="BK25" t="s">
        <v>282</v>
      </c>
      <c r="BL25" t="s">
        <v>324</v>
      </c>
      <c r="BM25" t="s">
        <v>324</v>
      </c>
      <c r="BN25" t="s">
        <v>324</v>
      </c>
      <c r="BO25" t="s">
        <v>324</v>
      </c>
      <c r="BP25" t="s">
        <v>324</v>
      </c>
      <c r="BQ25" t="s">
        <v>324</v>
      </c>
      <c r="BR25" t="s">
        <v>324</v>
      </c>
      <c r="BS25" t="s">
        <v>282</v>
      </c>
      <c r="BT25" t="s">
        <v>282</v>
      </c>
      <c r="BU25" t="s">
        <v>324</v>
      </c>
      <c r="BV25" t="s">
        <v>282</v>
      </c>
      <c r="BW25" t="s">
        <v>324</v>
      </c>
      <c r="BX25" t="s">
        <v>324</v>
      </c>
      <c r="BY25" t="s">
        <v>324</v>
      </c>
      <c r="BZ25" t="s">
        <v>324</v>
      </c>
      <c r="CA25" t="s">
        <v>324</v>
      </c>
      <c r="CB25" t="s">
        <v>282</v>
      </c>
      <c r="CC25" t="s">
        <v>324</v>
      </c>
      <c r="CD25" t="s">
        <v>324</v>
      </c>
      <c r="CE25" t="s">
        <v>324</v>
      </c>
      <c r="CF25" t="s">
        <v>324</v>
      </c>
      <c r="CG25" t="s">
        <v>324</v>
      </c>
      <c r="CH25" t="s">
        <v>324</v>
      </c>
      <c r="CI25" t="s">
        <v>324</v>
      </c>
      <c r="CJ25" t="s">
        <v>324</v>
      </c>
      <c r="CK25" t="s">
        <v>324</v>
      </c>
      <c r="CL25" t="s">
        <v>324</v>
      </c>
      <c r="CM25" t="s">
        <v>324</v>
      </c>
      <c r="CN25" t="s">
        <v>324</v>
      </c>
      <c r="CO25" t="s">
        <v>324</v>
      </c>
      <c r="CP25" t="s">
        <v>324</v>
      </c>
      <c r="CQ25" t="s">
        <v>324</v>
      </c>
      <c r="CR25" t="s">
        <v>324</v>
      </c>
      <c r="CS25" t="s">
        <v>324</v>
      </c>
      <c r="CT25" t="s">
        <v>324</v>
      </c>
      <c r="CU25" t="s">
        <v>324</v>
      </c>
      <c r="CV25" t="s">
        <v>324</v>
      </c>
      <c r="CW25" t="s">
        <v>324</v>
      </c>
      <c r="CX25" t="s">
        <v>324</v>
      </c>
      <c r="CY25" t="s">
        <v>324</v>
      </c>
      <c r="CZ25" t="s">
        <v>324</v>
      </c>
      <c r="DA25" t="s">
        <v>282</v>
      </c>
      <c r="DB25" t="s">
        <v>282</v>
      </c>
      <c r="DC25" t="s">
        <v>324</v>
      </c>
      <c r="DD25" t="s">
        <v>324</v>
      </c>
      <c r="DE25" t="s">
        <v>324</v>
      </c>
      <c r="DF25" t="s">
        <v>324</v>
      </c>
      <c r="DG25" t="s">
        <v>324</v>
      </c>
      <c r="DH25" t="s">
        <v>324</v>
      </c>
      <c r="DI25" t="s">
        <v>324</v>
      </c>
      <c r="DJ25" t="s">
        <v>324</v>
      </c>
      <c r="DK25" t="s">
        <v>324</v>
      </c>
      <c r="DL25" t="s">
        <v>324</v>
      </c>
      <c r="DM25" t="s">
        <v>324</v>
      </c>
      <c r="DN25" t="s">
        <v>324</v>
      </c>
      <c r="DO25" t="s">
        <v>324</v>
      </c>
      <c r="DP25" t="s">
        <v>324</v>
      </c>
      <c r="DQ25" t="s">
        <v>324</v>
      </c>
      <c r="DR25" t="s">
        <v>324</v>
      </c>
      <c r="DS25" t="s">
        <v>324</v>
      </c>
      <c r="DT25" t="s">
        <v>324</v>
      </c>
      <c r="DU25" t="s">
        <v>324</v>
      </c>
      <c r="DV25" t="s">
        <v>324</v>
      </c>
      <c r="DW25" t="s">
        <v>324</v>
      </c>
      <c r="DX25" t="s">
        <v>282</v>
      </c>
      <c r="DY25" t="s">
        <v>324</v>
      </c>
      <c r="DZ25" t="s">
        <v>324</v>
      </c>
      <c r="EA25" t="s">
        <v>324</v>
      </c>
      <c r="EB25" t="s">
        <v>324</v>
      </c>
      <c r="EC25" t="s">
        <v>324</v>
      </c>
      <c r="ED25" t="s">
        <v>324</v>
      </c>
      <c r="EE25" t="s">
        <v>324</v>
      </c>
      <c r="EF25" t="s">
        <v>324</v>
      </c>
      <c r="EG25" t="s">
        <v>324</v>
      </c>
      <c r="EH25" t="s">
        <v>324</v>
      </c>
      <c r="EI25" t="s">
        <v>282</v>
      </c>
      <c r="EJ25" t="s">
        <v>282</v>
      </c>
      <c r="EK25" t="s">
        <v>324</v>
      </c>
      <c r="EL25" t="s">
        <v>324</v>
      </c>
      <c r="EM25" t="s">
        <v>324</v>
      </c>
      <c r="EN25" t="s">
        <v>324</v>
      </c>
      <c r="EO25" t="s">
        <v>324</v>
      </c>
      <c r="EP25" t="s">
        <v>324</v>
      </c>
      <c r="EQ25" t="s">
        <v>324</v>
      </c>
      <c r="ER25" t="s">
        <v>324</v>
      </c>
      <c r="ES25" t="s">
        <v>324</v>
      </c>
      <c r="ET25" t="s">
        <v>324</v>
      </c>
      <c r="EU25" t="s">
        <v>324</v>
      </c>
      <c r="EV25" t="s">
        <v>324</v>
      </c>
      <c r="EW25" t="s">
        <v>324</v>
      </c>
      <c r="EX25" t="s">
        <v>324</v>
      </c>
      <c r="EY25" t="s">
        <v>324</v>
      </c>
      <c r="EZ25" t="s">
        <v>324</v>
      </c>
      <c r="FA25" t="s">
        <v>324</v>
      </c>
      <c r="FB25" t="s">
        <v>324</v>
      </c>
      <c r="FC25" t="s">
        <v>324</v>
      </c>
      <c r="FD25" t="s">
        <v>324</v>
      </c>
      <c r="FE25" t="s">
        <v>324</v>
      </c>
      <c r="FF25" t="s">
        <v>282</v>
      </c>
      <c r="FG25" t="s">
        <v>324</v>
      </c>
      <c r="FH25" t="s">
        <v>324</v>
      </c>
      <c r="FI25" t="s">
        <v>324</v>
      </c>
      <c r="FJ25" t="s">
        <v>324</v>
      </c>
      <c r="FK25" t="s">
        <v>324</v>
      </c>
      <c r="FL25" t="s">
        <v>324</v>
      </c>
      <c r="FM25" t="s">
        <v>324</v>
      </c>
      <c r="FN25" t="s">
        <v>324</v>
      </c>
      <c r="FO25" t="s">
        <v>324</v>
      </c>
      <c r="FP25" t="s">
        <v>324</v>
      </c>
      <c r="FQ25" t="s">
        <v>324</v>
      </c>
      <c r="FR25" t="s">
        <v>324</v>
      </c>
      <c r="FS25" t="s">
        <v>324</v>
      </c>
      <c r="FT25" t="s">
        <v>282</v>
      </c>
    </row>
    <row r="26">
      <c r="A26" s="349" t="s">
        <v>940</v>
      </c>
      <c r="B26" s="354" t="s">
        <v>34</v>
      </c>
      <c r="C26" s="355" t="s">
        <v>74</v>
      </c>
      <c r="D26" s="352" t="s">
        <v>146</v>
      </c>
      <c r="E26" s="353" t="s">
        <v>327</v>
      </c>
      <c r="F26" t="str">
        <f t="array" ref="F26:ALQ26">transpose(Filtered!W2:W1005)</f>
        <v>Not specified</v>
      </c>
      <c r="G26" t="s">
        <v>282</v>
      </c>
      <c r="H26" t="s">
        <v>282</v>
      </c>
      <c r="I26" t="s">
        <v>282</v>
      </c>
      <c r="J26" t="s">
        <v>324</v>
      </c>
      <c r="K26" t="s">
        <v>324</v>
      </c>
      <c r="L26" t="s">
        <v>282</v>
      </c>
      <c r="M26" t="s">
        <v>282</v>
      </c>
      <c r="N26" t="s">
        <v>324</v>
      </c>
      <c r="O26" t="s">
        <v>324</v>
      </c>
      <c r="P26" t="s">
        <v>324</v>
      </c>
      <c r="Q26" t="s">
        <v>324</v>
      </c>
      <c r="R26" t="s">
        <v>324</v>
      </c>
      <c r="S26" t="s">
        <v>324</v>
      </c>
      <c r="T26" t="s">
        <v>324</v>
      </c>
      <c r="U26" t="s">
        <v>324</v>
      </c>
      <c r="V26" t="s">
        <v>324</v>
      </c>
      <c r="W26" t="s">
        <v>324</v>
      </c>
      <c r="X26" t="s">
        <v>324</v>
      </c>
      <c r="Y26" t="s">
        <v>324</v>
      </c>
      <c r="Z26" t="s">
        <v>282</v>
      </c>
      <c r="AA26" t="s">
        <v>324</v>
      </c>
      <c r="AB26" t="s">
        <v>324</v>
      </c>
      <c r="AC26" t="s">
        <v>282</v>
      </c>
      <c r="AD26" t="s">
        <v>324</v>
      </c>
      <c r="AE26" t="s">
        <v>890</v>
      </c>
      <c r="AF26" t="s">
        <v>282</v>
      </c>
      <c r="AG26" t="s">
        <v>324</v>
      </c>
      <c r="AH26" t="s">
        <v>282</v>
      </c>
      <c r="AI26" t="s">
        <v>282</v>
      </c>
      <c r="AJ26" t="s">
        <v>282</v>
      </c>
      <c r="AK26" t="s">
        <v>327</v>
      </c>
      <c r="AL26" t="s">
        <v>324</v>
      </c>
      <c r="AM26" t="s">
        <v>324</v>
      </c>
      <c r="AN26" t="s">
        <v>324</v>
      </c>
      <c r="AO26" t="s">
        <v>324</v>
      </c>
      <c r="AP26" t="s">
        <v>324</v>
      </c>
      <c r="AQ26" t="s">
        <v>324</v>
      </c>
      <c r="AR26" t="s">
        <v>324</v>
      </c>
      <c r="AS26" t="s">
        <v>324</v>
      </c>
      <c r="AT26" t="s">
        <v>324</v>
      </c>
      <c r="AU26" t="s">
        <v>324</v>
      </c>
      <c r="AV26" t="s">
        <v>324</v>
      </c>
      <c r="AW26" t="s">
        <v>324</v>
      </c>
      <c r="AX26" t="s">
        <v>324</v>
      </c>
      <c r="AY26" t="s">
        <v>324</v>
      </c>
      <c r="AZ26" t="s">
        <v>282</v>
      </c>
      <c r="BA26" t="s">
        <v>324</v>
      </c>
      <c r="BB26" t="s">
        <v>324</v>
      </c>
      <c r="BC26" t="s">
        <v>324</v>
      </c>
      <c r="BD26" t="s">
        <v>324</v>
      </c>
      <c r="BE26" t="s">
        <v>282</v>
      </c>
      <c r="BF26" t="s">
        <v>324</v>
      </c>
      <c r="BG26" t="s">
        <v>282</v>
      </c>
      <c r="BH26" t="s">
        <v>324</v>
      </c>
      <c r="BI26" t="s">
        <v>324</v>
      </c>
      <c r="BJ26" t="s">
        <v>282</v>
      </c>
      <c r="BK26" t="s">
        <v>282</v>
      </c>
      <c r="BL26" t="s">
        <v>324</v>
      </c>
      <c r="BM26" t="s">
        <v>324</v>
      </c>
      <c r="BN26" t="s">
        <v>324</v>
      </c>
      <c r="BO26" t="s">
        <v>282</v>
      </c>
      <c r="BP26" t="s">
        <v>282</v>
      </c>
      <c r="BQ26" t="s">
        <v>282</v>
      </c>
      <c r="BR26" t="s">
        <v>324</v>
      </c>
      <c r="BS26" t="s">
        <v>282</v>
      </c>
      <c r="BT26" t="s">
        <v>324</v>
      </c>
      <c r="BU26" t="s">
        <v>324</v>
      </c>
      <c r="BV26" t="s">
        <v>282</v>
      </c>
      <c r="BW26" t="s">
        <v>324</v>
      </c>
      <c r="BX26" t="s">
        <v>324</v>
      </c>
      <c r="BY26" t="s">
        <v>324</v>
      </c>
      <c r="BZ26" t="s">
        <v>324</v>
      </c>
      <c r="CA26" t="s">
        <v>324</v>
      </c>
      <c r="CB26" t="s">
        <v>282</v>
      </c>
      <c r="CC26" t="s">
        <v>324</v>
      </c>
      <c r="CD26" t="s">
        <v>324</v>
      </c>
      <c r="CE26" t="s">
        <v>324</v>
      </c>
      <c r="CF26" t="s">
        <v>324</v>
      </c>
      <c r="CG26" t="s">
        <v>324</v>
      </c>
      <c r="CH26" t="s">
        <v>324</v>
      </c>
      <c r="CI26" t="s">
        <v>324</v>
      </c>
      <c r="CJ26" t="s">
        <v>324</v>
      </c>
      <c r="CK26" t="s">
        <v>324</v>
      </c>
      <c r="CL26" t="s">
        <v>324</v>
      </c>
      <c r="CM26" t="s">
        <v>324</v>
      </c>
      <c r="CN26" t="s">
        <v>324</v>
      </c>
      <c r="CO26" t="s">
        <v>324</v>
      </c>
      <c r="CP26" t="s">
        <v>324</v>
      </c>
      <c r="CQ26" t="s">
        <v>324</v>
      </c>
      <c r="CR26" t="s">
        <v>324</v>
      </c>
      <c r="CS26" t="s">
        <v>329</v>
      </c>
      <c r="CT26" t="s">
        <v>324</v>
      </c>
      <c r="CU26" t="s">
        <v>324</v>
      </c>
      <c r="CV26" t="s">
        <v>324</v>
      </c>
      <c r="CW26" t="s">
        <v>324</v>
      </c>
      <c r="CX26" t="s">
        <v>324</v>
      </c>
      <c r="CY26" t="s">
        <v>324</v>
      </c>
      <c r="CZ26" t="s">
        <v>324</v>
      </c>
      <c r="DA26" t="s">
        <v>282</v>
      </c>
      <c r="DB26" t="s">
        <v>282</v>
      </c>
      <c r="DC26" t="s">
        <v>324</v>
      </c>
      <c r="DD26" t="s">
        <v>324</v>
      </c>
      <c r="DE26" t="s">
        <v>324</v>
      </c>
      <c r="DF26" t="s">
        <v>324</v>
      </c>
      <c r="DG26" t="s">
        <v>327</v>
      </c>
      <c r="DH26" t="s">
        <v>324</v>
      </c>
      <c r="DI26" t="s">
        <v>324</v>
      </c>
      <c r="DJ26" t="s">
        <v>324</v>
      </c>
      <c r="DK26" t="s">
        <v>324</v>
      </c>
      <c r="DL26" t="s">
        <v>324</v>
      </c>
      <c r="DM26" t="s">
        <v>324</v>
      </c>
      <c r="DN26" t="s">
        <v>324</v>
      </c>
      <c r="DO26" t="s">
        <v>324</v>
      </c>
      <c r="DP26" t="s">
        <v>324</v>
      </c>
      <c r="DQ26" t="s">
        <v>324</v>
      </c>
      <c r="DR26" t="s">
        <v>324</v>
      </c>
      <c r="DS26" t="s">
        <v>324</v>
      </c>
      <c r="DT26" t="s">
        <v>324</v>
      </c>
      <c r="DU26" t="s">
        <v>324</v>
      </c>
      <c r="DV26" t="s">
        <v>324</v>
      </c>
      <c r="DW26" t="s">
        <v>282</v>
      </c>
      <c r="DX26" t="s">
        <v>282</v>
      </c>
      <c r="DY26" t="s">
        <v>324</v>
      </c>
      <c r="DZ26" t="s">
        <v>324</v>
      </c>
      <c r="EA26" t="s">
        <v>324</v>
      </c>
      <c r="EB26" t="s">
        <v>324</v>
      </c>
      <c r="EC26" t="s">
        <v>324</v>
      </c>
      <c r="ED26" t="s">
        <v>324</v>
      </c>
      <c r="EE26" t="s">
        <v>324</v>
      </c>
      <c r="EF26" t="s">
        <v>324</v>
      </c>
      <c r="EG26" t="s">
        <v>282</v>
      </c>
      <c r="EH26" t="s">
        <v>282</v>
      </c>
      <c r="EI26" t="s">
        <v>282</v>
      </c>
      <c r="EJ26" t="s">
        <v>282</v>
      </c>
      <c r="EK26" t="s">
        <v>324</v>
      </c>
      <c r="EL26" t="s">
        <v>324</v>
      </c>
      <c r="EM26" t="s">
        <v>329</v>
      </c>
      <c r="EN26" t="s">
        <v>324</v>
      </c>
      <c r="EO26" t="s">
        <v>324</v>
      </c>
      <c r="EP26" t="s">
        <v>324</v>
      </c>
      <c r="EQ26" t="s">
        <v>324</v>
      </c>
      <c r="ER26" t="s">
        <v>324</v>
      </c>
      <c r="ES26" t="s">
        <v>324</v>
      </c>
      <c r="ET26" t="s">
        <v>282</v>
      </c>
      <c r="EU26" t="s">
        <v>282</v>
      </c>
      <c r="EV26" t="s">
        <v>282</v>
      </c>
      <c r="EW26" t="s">
        <v>324</v>
      </c>
      <c r="EX26" t="s">
        <v>324</v>
      </c>
      <c r="EY26" t="s">
        <v>324</v>
      </c>
      <c r="EZ26" t="s">
        <v>324</v>
      </c>
      <c r="FA26" t="s">
        <v>324</v>
      </c>
      <c r="FB26" t="s">
        <v>282</v>
      </c>
      <c r="FC26" t="s">
        <v>324</v>
      </c>
      <c r="FD26" t="s">
        <v>324</v>
      </c>
      <c r="FE26" t="s">
        <v>324</v>
      </c>
      <c r="FF26" t="s">
        <v>282</v>
      </c>
      <c r="FG26" t="s">
        <v>324</v>
      </c>
      <c r="FH26" t="s">
        <v>324</v>
      </c>
      <c r="FI26" t="s">
        <v>324</v>
      </c>
      <c r="FJ26" t="s">
        <v>324</v>
      </c>
      <c r="FK26" t="s">
        <v>324</v>
      </c>
      <c r="FL26" t="s">
        <v>324</v>
      </c>
      <c r="FM26" t="s">
        <v>324</v>
      </c>
      <c r="FN26" t="s">
        <v>324</v>
      </c>
      <c r="FO26" t="s">
        <v>324</v>
      </c>
      <c r="FP26" t="s">
        <v>324</v>
      </c>
      <c r="FQ26" t="s">
        <v>324</v>
      </c>
      <c r="FR26" t="s">
        <v>324</v>
      </c>
      <c r="FS26" t="s">
        <v>324</v>
      </c>
      <c r="FT26" t="s">
        <v>282</v>
      </c>
    </row>
    <row r="27">
      <c r="A27" s="349" t="s">
        <v>940</v>
      </c>
      <c r="B27" s="359" t="s">
        <v>35</v>
      </c>
      <c r="C27" s="360" t="s">
        <v>75</v>
      </c>
      <c r="D27" s="356"/>
      <c r="E27" s="353" t="s">
        <v>327</v>
      </c>
      <c r="F27" t="str">
        <f t="array" ref="F27:ALQ27">transpose(Filtered!X2:X1005)</f>
        <v>Not specified</v>
      </c>
      <c r="G27" t="s">
        <v>329</v>
      </c>
      <c r="H27" t="s">
        <v>329</v>
      </c>
      <c r="I27" t="s">
        <v>329</v>
      </c>
      <c r="J27" t="s">
        <v>324</v>
      </c>
      <c r="K27" t="s">
        <v>329</v>
      </c>
      <c r="L27" t="s">
        <v>324</v>
      </c>
      <c r="M27" t="s">
        <v>324</v>
      </c>
      <c r="N27" t="s">
        <v>324</v>
      </c>
      <c r="O27" t="s">
        <v>324</v>
      </c>
      <c r="P27" t="s">
        <v>324</v>
      </c>
      <c r="Q27" t="s">
        <v>324</v>
      </c>
      <c r="R27" t="s">
        <v>324</v>
      </c>
      <c r="S27" t="s">
        <v>324</v>
      </c>
      <c r="T27" t="s">
        <v>324</v>
      </c>
      <c r="U27" t="s">
        <v>327</v>
      </c>
      <c r="V27" t="s">
        <v>324</v>
      </c>
      <c r="W27" t="s">
        <v>324</v>
      </c>
      <c r="X27" t="s">
        <v>324</v>
      </c>
      <c r="Y27" t="s">
        <v>324</v>
      </c>
      <c r="Z27" t="s">
        <v>282</v>
      </c>
      <c r="AA27" t="s">
        <v>324</v>
      </c>
      <c r="AB27" t="s">
        <v>324</v>
      </c>
      <c r="AC27" t="s">
        <v>282</v>
      </c>
      <c r="AD27" t="s">
        <v>324</v>
      </c>
      <c r="AE27" t="s">
        <v>875</v>
      </c>
      <c r="AF27" t="s">
        <v>282</v>
      </c>
      <c r="AG27" t="s">
        <v>324</v>
      </c>
      <c r="AH27" t="s">
        <v>327</v>
      </c>
      <c r="AI27" t="s">
        <v>327</v>
      </c>
      <c r="AJ27" t="s">
        <v>327</v>
      </c>
      <c r="AK27" t="s">
        <v>327</v>
      </c>
      <c r="AL27" t="s">
        <v>324</v>
      </c>
      <c r="AM27" t="s">
        <v>327</v>
      </c>
      <c r="AN27" t="s">
        <v>324</v>
      </c>
      <c r="AO27" t="s">
        <v>324</v>
      </c>
      <c r="AP27" t="s">
        <v>324</v>
      </c>
      <c r="AQ27" t="s">
        <v>324</v>
      </c>
      <c r="AR27" t="s">
        <v>324</v>
      </c>
      <c r="AS27" t="s">
        <v>324</v>
      </c>
      <c r="AT27" t="s">
        <v>324</v>
      </c>
      <c r="AU27" t="s">
        <v>324</v>
      </c>
      <c r="AV27" t="s">
        <v>327</v>
      </c>
      <c r="AW27" t="s">
        <v>324</v>
      </c>
      <c r="AX27" t="s">
        <v>324</v>
      </c>
      <c r="AY27" t="s">
        <v>324</v>
      </c>
      <c r="AZ27" t="s">
        <v>282</v>
      </c>
      <c r="BA27" t="s">
        <v>324</v>
      </c>
      <c r="BB27" t="s">
        <v>324</v>
      </c>
      <c r="BC27" t="s">
        <v>324</v>
      </c>
      <c r="BD27" t="s">
        <v>324</v>
      </c>
      <c r="BE27" t="s">
        <v>282</v>
      </c>
      <c r="BF27" t="s">
        <v>324</v>
      </c>
      <c r="BG27" t="s">
        <v>282</v>
      </c>
      <c r="BH27" t="s">
        <v>324</v>
      </c>
      <c r="BI27" t="s">
        <v>324</v>
      </c>
      <c r="BJ27" t="s">
        <v>282</v>
      </c>
      <c r="BK27" t="s">
        <v>282</v>
      </c>
      <c r="BL27" t="s">
        <v>324</v>
      </c>
      <c r="BM27" t="s">
        <v>324</v>
      </c>
      <c r="BN27" t="s">
        <v>324</v>
      </c>
      <c r="BO27" t="s">
        <v>282</v>
      </c>
      <c r="BP27" t="s">
        <v>282</v>
      </c>
      <c r="BQ27" t="s">
        <v>282</v>
      </c>
      <c r="BR27" t="s">
        <v>324</v>
      </c>
      <c r="BS27" t="s">
        <v>282</v>
      </c>
      <c r="BT27" t="s">
        <v>327</v>
      </c>
      <c r="BU27" t="s">
        <v>324</v>
      </c>
      <c r="BV27" t="s">
        <v>282</v>
      </c>
      <c r="BW27" t="s">
        <v>324</v>
      </c>
      <c r="BX27" t="s">
        <v>324</v>
      </c>
      <c r="BY27" t="s">
        <v>324</v>
      </c>
      <c r="BZ27" t="s">
        <v>324</v>
      </c>
      <c r="CA27" t="s">
        <v>324</v>
      </c>
      <c r="CB27" t="s">
        <v>327</v>
      </c>
      <c r="CC27" t="s">
        <v>324</v>
      </c>
      <c r="CD27" t="s">
        <v>324</v>
      </c>
      <c r="CE27" t="s">
        <v>324</v>
      </c>
      <c r="CF27" t="s">
        <v>324</v>
      </c>
      <c r="CG27" t="s">
        <v>324</v>
      </c>
      <c r="CH27" t="s">
        <v>324</v>
      </c>
      <c r="CI27" t="s">
        <v>282</v>
      </c>
      <c r="CJ27" t="s">
        <v>324</v>
      </c>
      <c r="CK27" t="s">
        <v>324</v>
      </c>
      <c r="CL27" t="s">
        <v>282</v>
      </c>
      <c r="CM27" t="s">
        <v>324</v>
      </c>
      <c r="CN27" t="s">
        <v>324</v>
      </c>
      <c r="CO27" t="s">
        <v>324</v>
      </c>
      <c r="CP27" t="s">
        <v>324</v>
      </c>
      <c r="CQ27" t="s">
        <v>324</v>
      </c>
      <c r="CR27" t="s">
        <v>282</v>
      </c>
      <c r="CS27" t="s">
        <v>324</v>
      </c>
      <c r="CT27" t="s">
        <v>282</v>
      </c>
      <c r="CU27" t="s">
        <v>282</v>
      </c>
      <c r="CV27" t="s">
        <v>282</v>
      </c>
      <c r="CW27" t="s">
        <v>282</v>
      </c>
      <c r="CX27" t="s">
        <v>324</v>
      </c>
      <c r="CY27" t="s">
        <v>324</v>
      </c>
      <c r="CZ27" t="s">
        <v>324</v>
      </c>
      <c r="DA27" t="s">
        <v>282</v>
      </c>
      <c r="DB27" t="s">
        <v>282</v>
      </c>
      <c r="DC27" t="s">
        <v>327</v>
      </c>
      <c r="DD27" t="s">
        <v>327</v>
      </c>
      <c r="DE27" t="s">
        <v>327</v>
      </c>
      <c r="DF27" t="s">
        <v>327</v>
      </c>
      <c r="DG27" t="s">
        <v>327</v>
      </c>
      <c r="DH27" t="s">
        <v>327</v>
      </c>
      <c r="DI27" t="s">
        <v>327</v>
      </c>
      <c r="DJ27" t="s">
        <v>327</v>
      </c>
      <c r="DK27" t="s">
        <v>327</v>
      </c>
      <c r="DL27" t="s">
        <v>327</v>
      </c>
      <c r="DM27" t="s">
        <v>327</v>
      </c>
      <c r="DN27" t="s">
        <v>327</v>
      </c>
      <c r="DO27" t="s">
        <v>327</v>
      </c>
      <c r="DP27" t="s">
        <v>327</v>
      </c>
      <c r="DQ27" t="s">
        <v>959</v>
      </c>
      <c r="DR27" t="s">
        <v>959</v>
      </c>
      <c r="DS27" t="s">
        <v>959</v>
      </c>
      <c r="DT27" t="s">
        <v>959</v>
      </c>
      <c r="DU27" t="s">
        <v>959</v>
      </c>
      <c r="DV27" t="s">
        <v>959</v>
      </c>
      <c r="DW27" t="s">
        <v>282</v>
      </c>
      <c r="DX27" t="s">
        <v>282</v>
      </c>
      <c r="DY27" t="s">
        <v>282</v>
      </c>
      <c r="DZ27" t="s">
        <v>282</v>
      </c>
      <c r="EA27" t="s">
        <v>282</v>
      </c>
      <c r="EB27" t="s">
        <v>324</v>
      </c>
      <c r="EC27" t="s">
        <v>324</v>
      </c>
      <c r="ED27" t="s">
        <v>327</v>
      </c>
      <c r="EE27" t="s">
        <v>282</v>
      </c>
      <c r="EF27" t="s">
        <v>282</v>
      </c>
      <c r="EG27" t="s">
        <v>282</v>
      </c>
      <c r="EH27" t="s">
        <v>282</v>
      </c>
      <c r="EI27" t="s">
        <v>282</v>
      </c>
      <c r="EJ27" t="s">
        <v>282</v>
      </c>
      <c r="EK27" t="s">
        <v>324</v>
      </c>
      <c r="EL27" t="s">
        <v>327</v>
      </c>
      <c r="EM27" t="s">
        <v>329</v>
      </c>
      <c r="EN27" t="s">
        <v>324</v>
      </c>
      <c r="EO27" t="s">
        <v>324</v>
      </c>
      <c r="EP27" t="s">
        <v>324</v>
      </c>
      <c r="EQ27" t="s">
        <v>324</v>
      </c>
      <c r="ER27" t="s">
        <v>324</v>
      </c>
      <c r="ES27" t="s">
        <v>324</v>
      </c>
      <c r="ET27" t="s">
        <v>282</v>
      </c>
      <c r="EU27" t="s">
        <v>282</v>
      </c>
      <c r="EV27" t="s">
        <v>282</v>
      </c>
      <c r="EW27" t="s">
        <v>327</v>
      </c>
      <c r="EX27" t="s">
        <v>324</v>
      </c>
      <c r="EY27" t="s">
        <v>324</v>
      </c>
      <c r="EZ27" t="s">
        <v>324</v>
      </c>
      <c r="FA27" t="s">
        <v>324</v>
      </c>
      <c r="FB27" t="s">
        <v>282</v>
      </c>
      <c r="FC27" t="s">
        <v>324</v>
      </c>
      <c r="FD27" t="s">
        <v>324</v>
      </c>
      <c r="FE27" t="s">
        <v>324</v>
      </c>
      <c r="FF27" t="s">
        <v>875</v>
      </c>
      <c r="FG27" t="s">
        <v>324</v>
      </c>
      <c r="FH27" t="s">
        <v>324</v>
      </c>
      <c r="FI27" t="s">
        <v>324</v>
      </c>
      <c r="FJ27" t="s">
        <v>329</v>
      </c>
      <c r="FK27" t="s">
        <v>324</v>
      </c>
      <c r="FL27" t="s">
        <v>324</v>
      </c>
      <c r="FM27" t="s">
        <v>324</v>
      </c>
      <c r="FN27" t="s">
        <v>324</v>
      </c>
      <c r="FO27" t="s">
        <v>324</v>
      </c>
      <c r="FP27" t="s">
        <v>324</v>
      </c>
      <c r="FQ27" t="s">
        <v>324</v>
      </c>
      <c r="FR27" t="s">
        <v>324</v>
      </c>
      <c r="FS27" t="s">
        <v>282</v>
      </c>
      <c r="FT27" t="s">
        <v>282</v>
      </c>
    </row>
    <row r="28">
      <c r="A28" s="349" t="s">
        <v>940</v>
      </c>
      <c r="B28" s="359" t="s">
        <v>36</v>
      </c>
      <c r="C28" s="360" t="s">
        <v>76</v>
      </c>
      <c r="D28" s="356"/>
      <c r="E28" s="353" t="s">
        <v>282</v>
      </c>
      <c r="F28" t="str">
        <f t="array" ref="F28:ALQ28">transpose(Filtered!Y2:Y1005)</f>
        <v>Not specified</v>
      </c>
      <c r="G28" t="s">
        <v>324</v>
      </c>
      <c r="H28" t="s">
        <v>324</v>
      </c>
      <c r="I28" t="s">
        <v>324</v>
      </c>
      <c r="J28" t="s">
        <v>324</v>
      </c>
      <c r="K28" t="s">
        <v>324</v>
      </c>
      <c r="L28" t="s">
        <v>324</v>
      </c>
      <c r="M28" t="s">
        <v>324</v>
      </c>
      <c r="N28" t="s">
        <v>324</v>
      </c>
      <c r="O28" t="s">
        <v>324</v>
      </c>
      <c r="P28" t="s">
        <v>324</v>
      </c>
      <c r="Q28" t="s">
        <v>324</v>
      </c>
      <c r="R28" t="s">
        <v>324</v>
      </c>
      <c r="S28" t="s">
        <v>324</v>
      </c>
      <c r="T28" t="s">
        <v>324</v>
      </c>
      <c r="U28" t="s">
        <v>324</v>
      </c>
      <c r="V28" t="s">
        <v>324</v>
      </c>
      <c r="W28" t="s">
        <v>324</v>
      </c>
      <c r="X28" t="s">
        <v>324</v>
      </c>
      <c r="Y28" t="s">
        <v>324</v>
      </c>
      <c r="Z28" t="s">
        <v>282</v>
      </c>
      <c r="AA28" t="s">
        <v>324</v>
      </c>
      <c r="AB28" t="s">
        <v>324</v>
      </c>
      <c r="AC28" t="s">
        <v>282</v>
      </c>
      <c r="AD28" t="s">
        <v>324</v>
      </c>
      <c r="AE28" t="s">
        <v>282</v>
      </c>
      <c r="AF28" t="s">
        <v>324</v>
      </c>
      <c r="AG28" t="s">
        <v>324</v>
      </c>
      <c r="AH28" t="s">
        <v>324</v>
      </c>
      <c r="AI28" t="s">
        <v>324</v>
      </c>
      <c r="AJ28" t="s">
        <v>324</v>
      </c>
      <c r="AK28" t="s">
        <v>324</v>
      </c>
      <c r="AL28" t="s">
        <v>324</v>
      </c>
      <c r="AM28" t="s">
        <v>324</v>
      </c>
      <c r="AN28" t="s">
        <v>324</v>
      </c>
      <c r="AO28" t="s">
        <v>324</v>
      </c>
      <c r="AP28" t="s">
        <v>324</v>
      </c>
      <c r="AQ28" t="s">
        <v>324</v>
      </c>
      <c r="AR28" t="s">
        <v>324</v>
      </c>
      <c r="AS28" t="s">
        <v>324</v>
      </c>
      <c r="AT28" t="s">
        <v>324</v>
      </c>
      <c r="AU28" t="s">
        <v>324</v>
      </c>
      <c r="AV28" t="s">
        <v>324</v>
      </c>
      <c r="AW28" t="s">
        <v>324</v>
      </c>
      <c r="AX28" t="s">
        <v>324</v>
      </c>
      <c r="AY28" t="s">
        <v>324</v>
      </c>
      <c r="AZ28" t="s">
        <v>324</v>
      </c>
      <c r="BA28" t="s">
        <v>324</v>
      </c>
      <c r="BB28" t="s">
        <v>324</v>
      </c>
      <c r="BC28" t="s">
        <v>324</v>
      </c>
      <c r="BD28" t="s">
        <v>324</v>
      </c>
      <c r="BE28" t="s">
        <v>282</v>
      </c>
      <c r="BF28" t="s">
        <v>282</v>
      </c>
      <c r="BG28" t="s">
        <v>324</v>
      </c>
      <c r="BH28" t="s">
        <v>324</v>
      </c>
      <c r="BI28" t="s">
        <v>324</v>
      </c>
      <c r="BJ28" t="s">
        <v>282</v>
      </c>
      <c r="BK28" t="s">
        <v>282</v>
      </c>
      <c r="BL28" t="s">
        <v>324</v>
      </c>
      <c r="BM28" t="s">
        <v>324</v>
      </c>
      <c r="BN28" t="s">
        <v>324</v>
      </c>
      <c r="BO28" t="s">
        <v>324</v>
      </c>
      <c r="BP28" t="s">
        <v>324</v>
      </c>
      <c r="BQ28" t="s">
        <v>324</v>
      </c>
      <c r="BR28" t="s">
        <v>324</v>
      </c>
      <c r="BS28" t="s">
        <v>282</v>
      </c>
      <c r="BT28" t="s">
        <v>282</v>
      </c>
      <c r="BU28" t="s">
        <v>324</v>
      </c>
      <c r="BV28" t="s">
        <v>282</v>
      </c>
      <c r="BW28" t="s">
        <v>324</v>
      </c>
      <c r="BX28" t="s">
        <v>324</v>
      </c>
      <c r="BY28" t="s">
        <v>324</v>
      </c>
      <c r="BZ28" t="s">
        <v>324</v>
      </c>
      <c r="CA28" t="s">
        <v>324</v>
      </c>
      <c r="CB28" t="s">
        <v>324</v>
      </c>
      <c r="CC28" t="s">
        <v>324</v>
      </c>
      <c r="CD28" t="s">
        <v>324</v>
      </c>
      <c r="CE28" t="s">
        <v>324</v>
      </c>
      <c r="CF28" t="s">
        <v>324</v>
      </c>
      <c r="CG28" t="s">
        <v>324</v>
      </c>
      <c r="CH28" t="s">
        <v>324</v>
      </c>
      <c r="CI28" t="s">
        <v>324</v>
      </c>
      <c r="CJ28" t="s">
        <v>324</v>
      </c>
      <c r="CK28" t="s">
        <v>324</v>
      </c>
      <c r="CL28" t="s">
        <v>324</v>
      </c>
      <c r="CM28" t="s">
        <v>324</v>
      </c>
      <c r="CN28" t="s">
        <v>324</v>
      </c>
      <c r="CO28" t="s">
        <v>324</v>
      </c>
      <c r="CP28" t="s">
        <v>324</v>
      </c>
      <c r="CQ28" t="s">
        <v>324</v>
      </c>
      <c r="CR28" t="s">
        <v>324</v>
      </c>
      <c r="CS28" t="s">
        <v>324</v>
      </c>
      <c r="CT28" t="s">
        <v>324</v>
      </c>
      <c r="CU28" t="s">
        <v>324</v>
      </c>
      <c r="CV28" t="s">
        <v>324</v>
      </c>
      <c r="CW28" t="s">
        <v>324</v>
      </c>
      <c r="CX28" t="s">
        <v>324</v>
      </c>
      <c r="CY28" t="s">
        <v>324</v>
      </c>
      <c r="CZ28" t="s">
        <v>324</v>
      </c>
      <c r="DA28" t="s">
        <v>282</v>
      </c>
      <c r="DB28" t="s">
        <v>282</v>
      </c>
      <c r="DC28" t="s">
        <v>324</v>
      </c>
      <c r="DD28" t="s">
        <v>324</v>
      </c>
      <c r="DE28" t="s">
        <v>324</v>
      </c>
      <c r="DF28" t="s">
        <v>324</v>
      </c>
      <c r="DG28" t="s">
        <v>324</v>
      </c>
      <c r="DH28" t="s">
        <v>324</v>
      </c>
      <c r="DI28" t="s">
        <v>324</v>
      </c>
      <c r="DJ28" t="s">
        <v>324</v>
      </c>
      <c r="DK28" t="s">
        <v>324</v>
      </c>
      <c r="DL28" t="s">
        <v>324</v>
      </c>
      <c r="DM28" t="s">
        <v>324</v>
      </c>
      <c r="DN28" t="s">
        <v>324</v>
      </c>
      <c r="DO28" t="s">
        <v>324</v>
      </c>
      <c r="DP28" t="s">
        <v>324</v>
      </c>
      <c r="DQ28" t="s">
        <v>324</v>
      </c>
      <c r="DR28" t="s">
        <v>324</v>
      </c>
      <c r="DS28" t="s">
        <v>324</v>
      </c>
      <c r="DT28" t="s">
        <v>324</v>
      </c>
      <c r="DU28" t="s">
        <v>324</v>
      </c>
      <c r="DV28" t="s">
        <v>324</v>
      </c>
      <c r="DW28" t="s">
        <v>324</v>
      </c>
      <c r="DX28" t="s">
        <v>282</v>
      </c>
      <c r="DY28" t="s">
        <v>324</v>
      </c>
      <c r="DZ28" t="s">
        <v>324</v>
      </c>
      <c r="EA28" t="s">
        <v>324</v>
      </c>
      <c r="EB28" t="s">
        <v>324</v>
      </c>
      <c r="EC28" t="s">
        <v>324</v>
      </c>
      <c r="ED28" t="s">
        <v>324</v>
      </c>
      <c r="EE28" t="s">
        <v>324</v>
      </c>
      <c r="EF28" t="s">
        <v>324</v>
      </c>
      <c r="EG28" t="s">
        <v>324</v>
      </c>
      <c r="EH28" t="s">
        <v>324</v>
      </c>
      <c r="EI28" t="s">
        <v>324</v>
      </c>
      <c r="EJ28" t="s">
        <v>324</v>
      </c>
      <c r="EK28" t="s">
        <v>324</v>
      </c>
      <c r="EL28" t="s">
        <v>324</v>
      </c>
      <c r="EM28" t="s">
        <v>324</v>
      </c>
      <c r="EN28" t="s">
        <v>324</v>
      </c>
      <c r="EO28" t="s">
        <v>324</v>
      </c>
      <c r="EP28" t="s">
        <v>324</v>
      </c>
      <c r="EQ28" t="s">
        <v>324</v>
      </c>
      <c r="ER28" t="s">
        <v>324</v>
      </c>
      <c r="ES28" t="s">
        <v>324</v>
      </c>
      <c r="ET28" t="s">
        <v>324</v>
      </c>
      <c r="EU28" t="s">
        <v>324</v>
      </c>
      <c r="EV28" t="s">
        <v>324</v>
      </c>
      <c r="EW28" t="s">
        <v>324</v>
      </c>
      <c r="EX28" t="s">
        <v>324</v>
      </c>
      <c r="EY28" t="s">
        <v>324</v>
      </c>
      <c r="EZ28" t="s">
        <v>324</v>
      </c>
      <c r="FA28" t="s">
        <v>324</v>
      </c>
      <c r="FB28" t="s">
        <v>324</v>
      </c>
      <c r="FC28" t="s">
        <v>324</v>
      </c>
      <c r="FD28" t="s">
        <v>324</v>
      </c>
      <c r="FE28" t="s">
        <v>324</v>
      </c>
      <c r="FF28" t="s">
        <v>282</v>
      </c>
      <c r="FG28" t="s">
        <v>324</v>
      </c>
      <c r="FH28" t="s">
        <v>324</v>
      </c>
      <c r="FI28" t="s">
        <v>324</v>
      </c>
      <c r="FJ28" t="s">
        <v>324</v>
      </c>
      <c r="FK28" t="s">
        <v>324</v>
      </c>
      <c r="FL28" t="s">
        <v>324</v>
      </c>
      <c r="FM28" t="s">
        <v>324</v>
      </c>
      <c r="FN28" t="s">
        <v>324</v>
      </c>
      <c r="FO28" t="s">
        <v>324</v>
      </c>
      <c r="FP28" t="s">
        <v>324</v>
      </c>
      <c r="FQ28" t="s">
        <v>324</v>
      </c>
      <c r="FR28" t="s">
        <v>324</v>
      </c>
      <c r="FS28" t="s">
        <v>324</v>
      </c>
      <c r="FT28" t="s">
        <v>282</v>
      </c>
    </row>
    <row r="29">
      <c r="A29" s="349" t="s">
        <v>940</v>
      </c>
      <c r="B29" s="359" t="s">
        <v>37</v>
      </c>
      <c r="C29" s="360" t="s">
        <v>77</v>
      </c>
      <c r="D29" s="356"/>
      <c r="E29" s="353" t="s">
        <v>282</v>
      </c>
      <c r="F29" t="str">
        <f t="array" ref="F29:ALQ29">transpose(Filtered!Z2:Z1005)</f>
        <v>Not specified</v>
      </c>
      <c r="G29" t="s">
        <v>324</v>
      </c>
      <c r="H29" t="s">
        <v>324</v>
      </c>
      <c r="I29" t="s">
        <v>324</v>
      </c>
      <c r="J29" t="s">
        <v>324</v>
      </c>
      <c r="K29" t="s">
        <v>324</v>
      </c>
      <c r="L29" t="s">
        <v>324</v>
      </c>
      <c r="M29" t="s">
        <v>324</v>
      </c>
      <c r="N29" t="s">
        <v>324</v>
      </c>
      <c r="O29" t="s">
        <v>324</v>
      </c>
      <c r="P29" t="s">
        <v>324</v>
      </c>
      <c r="Q29" t="s">
        <v>324</v>
      </c>
      <c r="R29" t="s">
        <v>324</v>
      </c>
      <c r="S29" t="s">
        <v>324</v>
      </c>
      <c r="T29" t="s">
        <v>324</v>
      </c>
      <c r="U29" t="s">
        <v>324</v>
      </c>
      <c r="V29" t="s">
        <v>324</v>
      </c>
      <c r="W29" t="s">
        <v>324</v>
      </c>
      <c r="X29" t="s">
        <v>324</v>
      </c>
      <c r="Y29" t="s">
        <v>324</v>
      </c>
      <c r="Z29" t="s">
        <v>329</v>
      </c>
      <c r="AA29" t="s">
        <v>324</v>
      </c>
      <c r="AB29" t="s">
        <v>324</v>
      </c>
      <c r="AC29" t="s">
        <v>282</v>
      </c>
      <c r="AD29" t="s">
        <v>324</v>
      </c>
      <c r="AE29" t="s">
        <v>282</v>
      </c>
      <c r="AF29" t="s">
        <v>324</v>
      </c>
      <c r="AG29" t="s">
        <v>324</v>
      </c>
      <c r="AH29" t="s">
        <v>324</v>
      </c>
      <c r="AI29" t="s">
        <v>324</v>
      </c>
      <c r="AJ29" t="s">
        <v>324</v>
      </c>
      <c r="AK29" t="s">
        <v>324</v>
      </c>
      <c r="AL29" t="s">
        <v>324</v>
      </c>
      <c r="AM29" t="s">
        <v>324</v>
      </c>
      <c r="AN29" t="s">
        <v>324</v>
      </c>
      <c r="AO29" t="s">
        <v>324</v>
      </c>
      <c r="AP29" t="s">
        <v>324</v>
      </c>
      <c r="AQ29" t="s">
        <v>324</v>
      </c>
      <c r="AR29" t="s">
        <v>324</v>
      </c>
      <c r="AS29" t="s">
        <v>324</v>
      </c>
      <c r="AT29" t="s">
        <v>324</v>
      </c>
      <c r="AU29" t="s">
        <v>324</v>
      </c>
      <c r="AV29" t="s">
        <v>369</v>
      </c>
      <c r="AW29" t="s">
        <v>324</v>
      </c>
      <c r="AX29" t="s">
        <v>324</v>
      </c>
      <c r="AY29" t="s">
        <v>324</v>
      </c>
      <c r="AZ29" t="s">
        <v>324</v>
      </c>
      <c r="BA29" t="s">
        <v>324</v>
      </c>
      <c r="BB29" t="s">
        <v>324</v>
      </c>
      <c r="BC29" t="s">
        <v>324</v>
      </c>
      <c r="BD29" t="s">
        <v>324</v>
      </c>
      <c r="BE29" t="s">
        <v>282</v>
      </c>
      <c r="BF29" t="s">
        <v>282</v>
      </c>
      <c r="BG29" t="s">
        <v>324</v>
      </c>
      <c r="BH29" t="s">
        <v>324</v>
      </c>
      <c r="BI29" t="s">
        <v>324</v>
      </c>
      <c r="BJ29" t="s">
        <v>282</v>
      </c>
      <c r="BK29" t="s">
        <v>875</v>
      </c>
      <c r="BL29" t="s">
        <v>324</v>
      </c>
      <c r="BM29" t="s">
        <v>324</v>
      </c>
      <c r="BN29" t="s">
        <v>324</v>
      </c>
      <c r="BO29" t="s">
        <v>324</v>
      </c>
      <c r="BP29" t="s">
        <v>324</v>
      </c>
      <c r="BQ29" t="s">
        <v>324</v>
      </c>
      <c r="BR29" t="s">
        <v>324</v>
      </c>
      <c r="BS29" t="s">
        <v>282</v>
      </c>
      <c r="BT29" t="s">
        <v>324</v>
      </c>
      <c r="BU29" t="s">
        <v>324</v>
      </c>
      <c r="BV29" t="s">
        <v>282</v>
      </c>
      <c r="BW29" t="s">
        <v>324</v>
      </c>
      <c r="BX29" t="s">
        <v>324</v>
      </c>
      <c r="BY29" t="s">
        <v>324</v>
      </c>
      <c r="BZ29" t="s">
        <v>324</v>
      </c>
      <c r="CA29" t="s">
        <v>324</v>
      </c>
      <c r="CB29" t="s">
        <v>324</v>
      </c>
      <c r="CC29" t="s">
        <v>324</v>
      </c>
      <c r="CD29" t="s">
        <v>324</v>
      </c>
      <c r="CE29" t="s">
        <v>324</v>
      </c>
      <c r="CF29" t="s">
        <v>324</v>
      </c>
      <c r="CG29" t="s">
        <v>324</v>
      </c>
      <c r="CH29" t="s">
        <v>324</v>
      </c>
      <c r="CI29" t="s">
        <v>324</v>
      </c>
      <c r="CJ29" t="s">
        <v>324</v>
      </c>
      <c r="CK29" t="s">
        <v>324</v>
      </c>
      <c r="CL29" t="s">
        <v>324</v>
      </c>
      <c r="CM29" t="s">
        <v>282</v>
      </c>
      <c r="CN29" t="s">
        <v>324</v>
      </c>
      <c r="CO29" t="s">
        <v>324</v>
      </c>
      <c r="CP29" t="s">
        <v>324</v>
      </c>
      <c r="CQ29" t="s">
        <v>324</v>
      </c>
      <c r="CR29" t="s">
        <v>324</v>
      </c>
      <c r="CS29" t="s">
        <v>324</v>
      </c>
      <c r="CT29" t="s">
        <v>324</v>
      </c>
      <c r="CU29" t="s">
        <v>324</v>
      </c>
      <c r="CV29" t="s">
        <v>324</v>
      </c>
      <c r="CW29" t="s">
        <v>324</v>
      </c>
      <c r="CX29" t="s">
        <v>324</v>
      </c>
      <c r="CY29" t="s">
        <v>324</v>
      </c>
      <c r="CZ29" t="s">
        <v>324</v>
      </c>
      <c r="DA29" t="s">
        <v>282</v>
      </c>
      <c r="DB29" t="s">
        <v>282</v>
      </c>
      <c r="DC29" t="s">
        <v>324</v>
      </c>
      <c r="DD29" t="s">
        <v>324</v>
      </c>
      <c r="DE29" t="s">
        <v>324</v>
      </c>
      <c r="DF29" t="s">
        <v>324</v>
      </c>
      <c r="DG29" t="s">
        <v>324</v>
      </c>
      <c r="DH29" t="s">
        <v>324</v>
      </c>
      <c r="DI29" t="s">
        <v>324</v>
      </c>
      <c r="DJ29" t="s">
        <v>324</v>
      </c>
      <c r="DK29" t="s">
        <v>324</v>
      </c>
      <c r="DL29" t="s">
        <v>324</v>
      </c>
      <c r="DM29" t="s">
        <v>324</v>
      </c>
      <c r="DN29" t="s">
        <v>324</v>
      </c>
      <c r="DO29" t="s">
        <v>324</v>
      </c>
      <c r="DP29" t="s">
        <v>324</v>
      </c>
      <c r="DQ29" t="s">
        <v>324</v>
      </c>
      <c r="DR29" t="s">
        <v>324</v>
      </c>
      <c r="DS29" t="s">
        <v>324</v>
      </c>
      <c r="DT29" t="s">
        <v>324</v>
      </c>
      <c r="DU29" t="s">
        <v>324</v>
      </c>
      <c r="DV29" t="s">
        <v>324</v>
      </c>
      <c r="DW29" t="s">
        <v>324</v>
      </c>
      <c r="DX29" t="s">
        <v>282</v>
      </c>
      <c r="DY29" t="s">
        <v>324</v>
      </c>
      <c r="DZ29" t="s">
        <v>324</v>
      </c>
      <c r="EA29" t="s">
        <v>324</v>
      </c>
      <c r="EB29" t="s">
        <v>324</v>
      </c>
      <c r="EC29" t="s">
        <v>324</v>
      </c>
      <c r="ED29" t="s">
        <v>324</v>
      </c>
      <c r="EE29" t="s">
        <v>324</v>
      </c>
      <c r="EF29" t="s">
        <v>324</v>
      </c>
      <c r="EG29" t="s">
        <v>324</v>
      </c>
      <c r="EH29" t="s">
        <v>324</v>
      </c>
      <c r="EI29" t="s">
        <v>324</v>
      </c>
      <c r="EJ29" t="s">
        <v>324</v>
      </c>
      <c r="EK29" t="s">
        <v>324</v>
      </c>
      <c r="EL29" t="s">
        <v>324</v>
      </c>
      <c r="EM29" t="s">
        <v>324</v>
      </c>
      <c r="EN29" t="s">
        <v>324</v>
      </c>
      <c r="EO29" t="s">
        <v>324</v>
      </c>
      <c r="EP29" t="s">
        <v>324</v>
      </c>
      <c r="EQ29" t="s">
        <v>324</v>
      </c>
      <c r="ER29" t="s">
        <v>324</v>
      </c>
      <c r="ES29" t="s">
        <v>324</v>
      </c>
      <c r="ET29" t="s">
        <v>324</v>
      </c>
      <c r="EU29" t="s">
        <v>369</v>
      </c>
      <c r="EV29" t="s">
        <v>324</v>
      </c>
      <c r="EW29" t="s">
        <v>324</v>
      </c>
      <c r="EX29" t="s">
        <v>324</v>
      </c>
      <c r="EY29" t="s">
        <v>324</v>
      </c>
      <c r="EZ29" t="s">
        <v>324</v>
      </c>
      <c r="FA29" t="s">
        <v>324</v>
      </c>
      <c r="FB29" t="s">
        <v>324</v>
      </c>
      <c r="FC29" t="s">
        <v>324</v>
      </c>
      <c r="FD29" t="s">
        <v>324</v>
      </c>
      <c r="FE29" t="s">
        <v>324</v>
      </c>
      <c r="FF29" t="s">
        <v>282</v>
      </c>
      <c r="FG29" t="s">
        <v>324</v>
      </c>
      <c r="FH29" t="s">
        <v>324</v>
      </c>
      <c r="FI29" t="s">
        <v>324</v>
      </c>
      <c r="FJ29" t="s">
        <v>324</v>
      </c>
      <c r="FK29" t="s">
        <v>324</v>
      </c>
      <c r="FL29" t="s">
        <v>324</v>
      </c>
      <c r="FM29" t="s">
        <v>324</v>
      </c>
      <c r="FN29" t="s">
        <v>324</v>
      </c>
      <c r="FO29" t="s">
        <v>324</v>
      </c>
      <c r="FP29" t="s">
        <v>324</v>
      </c>
      <c r="FQ29" t="s">
        <v>324</v>
      </c>
      <c r="FR29" t="s">
        <v>324</v>
      </c>
      <c r="FS29" t="s">
        <v>324</v>
      </c>
      <c r="FT29" t="s">
        <v>282</v>
      </c>
    </row>
    <row r="30">
      <c r="A30" s="349" t="s">
        <v>940</v>
      </c>
      <c r="B30" s="359" t="s">
        <v>38</v>
      </c>
      <c r="C30" s="360" t="s">
        <v>965</v>
      </c>
      <c r="D30" s="361" t="s">
        <v>98</v>
      </c>
      <c r="E30" s="362" t="s">
        <v>825</v>
      </c>
      <c r="F30" t="str">
        <f t="array" ref="F30:ALQ30">transpose(Filtered!AA2:AA1005)</f>
        <v/>
      </c>
      <c r="G30" t="s">
        <v>451</v>
      </c>
      <c r="H30" t="s">
        <v>474</v>
      </c>
      <c r="I30" t="s">
        <v>474</v>
      </c>
      <c r="K30" t="s">
        <v>474</v>
      </c>
      <c r="AE30" s="78" t="s">
        <v>877</v>
      </c>
      <c r="AF30" s="78" t="s">
        <v>902</v>
      </c>
      <c r="AH30" t="s">
        <v>928</v>
      </c>
      <c r="AI30" t="s">
        <v>939</v>
      </c>
      <c r="AJ30" t="s">
        <v>950</v>
      </c>
      <c r="AK30" t="s">
        <v>954</v>
      </c>
      <c r="AL30" t="s">
        <v>324</v>
      </c>
      <c r="AU30" t="s">
        <v>324</v>
      </c>
      <c r="AV30" t="s">
        <v>969</v>
      </c>
      <c r="AY30" t="s">
        <v>970</v>
      </c>
      <c r="BS30" t="s">
        <v>971</v>
      </c>
      <c r="BT30" t="s">
        <v>972</v>
      </c>
      <c r="BV30" t="s">
        <v>971</v>
      </c>
      <c r="CB30" t="s">
        <v>973</v>
      </c>
      <c r="CM30" t="s">
        <v>974</v>
      </c>
      <c r="CT30" t="s">
        <v>971</v>
      </c>
      <c r="DW30" t="s">
        <v>975</v>
      </c>
      <c r="EM30" t="s">
        <v>976</v>
      </c>
      <c r="EQ30" t="s">
        <v>971</v>
      </c>
      <c r="ER30" t="s">
        <v>971</v>
      </c>
      <c r="EU30" t="s">
        <v>977</v>
      </c>
      <c r="EY30" t="s">
        <v>324</v>
      </c>
      <c r="EZ30" t="s">
        <v>324</v>
      </c>
      <c r="FA30" t="s">
        <v>324</v>
      </c>
      <c r="FF30" t="s">
        <v>978</v>
      </c>
      <c r="FJ30" t="s">
        <v>979</v>
      </c>
      <c r="FN30" t="s">
        <v>980</v>
      </c>
    </row>
    <row r="31">
      <c r="A31" s="363" t="s">
        <v>981</v>
      </c>
      <c r="B31" s="364" t="s">
        <v>39</v>
      </c>
      <c r="C31" s="365" t="s">
        <v>982</v>
      </c>
      <c r="D31" s="364" t="s">
        <v>98</v>
      </c>
      <c r="E31" s="366" t="s">
        <v>825</v>
      </c>
      <c r="F31" t="str">
        <f t="array" ref="F31:ALQ31">transpose(Filtered!AB2:AB1005)</f>
        <v>"If you wish to involve a
specially qualified colleague in the review (or perhaps want to guide a junior colleague in learning
how to review), you must contact the editorial office and ask for permission ahead of time."</v>
      </c>
      <c r="I31" t="s">
        <v>324</v>
      </c>
      <c r="J31" t="s">
        <v>526</v>
      </c>
      <c r="N31" t="s">
        <v>565</v>
      </c>
      <c r="S31" t="s">
        <v>648</v>
      </c>
      <c r="U31" t="s">
        <v>696</v>
      </c>
      <c r="W31" t="s">
        <v>729</v>
      </c>
      <c r="Z31" t="s">
        <v>771</v>
      </c>
      <c r="AA31" t="s">
        <v>324</v>
      </c>
      <c r="AB31" t="s">
        <v>324</v>
      </c>
      <c r="AC31" t="s">
        <v>798</v>
      </c>
      <c r="AD31" t="s">
        <v>827</v>
      </c>
      <c r="AE31" t="s">
        <v>729</v>
      </c>
      <c r="AF31" t="s">
        <v>903</v>
      </c>
      <c r="AG31" t="s">
        <v>750</v>
      </c>
      <c r="AH31" t="s">
        <v>929</v>
      </c>
      <c r="AI31" t="s">
        <v>903</v>
      </c>
      <c r="AJ31" t="s">
        <v>903</v>
      </c>
      <c r="AK31" t="s">
        <v>750</v>
      </c>
      <c r="AL31" t="s">
        <v>324</v>
      </c>
      <c r="AM31" t="s">
        <v>967</v>
      </c>
      <c r="AO31" t="s">
        <v>986</v>
      </c>
      <c r="AP31" t="s">
        <v>987</v>
      </c>
      <c r="AQ31" t="s">
        <v>988</v>
      </c>
      <c r="AS31" t="s">
        <v>989</v>
      </c>
      <c r="AU31" t="s">
        <v>324</v>
      </c>
      <c r="AV31" t="s">
        <v>324</v>
      </c>
      <c r="AZ31" t="s">
        <v>990</v>
      </c>
      <c r="BB31" t="s">
        <v>991</v>
      </c>
      <c r="BC31" t="s">
        <v>798</v>
      </c>
      <c r="BD31" t="s">
        <v>798</v>
      </c>
      <c r="BE31" t="s">
        <v>992</v>
      </c>
      <c r="BF31" t="s">
        <v>993</v>
      </c>
      <c r="BI31" t="s">
        <v>324</v>
      </c>
      <c r="BJ31" t="s">
        <v>994</v>
      </c>
      <c r="BK31" t="s">
        <v>994</v>
      </c>
      <c r="BP31" t="s">
        <v>995</v>
      </c>
      <c r="BQ31" t="s">
        <v>324</v>
      </c>
      <c r="BR31" t="s">
        <v>324</v>
      </c>
      <c r="BS31" t="s">
        <v>798</v>
      </c>
      <c r="BV31" t="s">
        <v>798</v>
      </c>
      <c r="BX31" t="s">
        <v>798</v>
      </c>
      <c r="BY31" t="s">
        <v>798</v>
      </c>
      <c r="CA31" t="s">
        <v>324</v>
      </c>
      <c r="CB31" t="s">
        <v>996</v>
      </c>
      <c r="CD31" t="s">
        <v>997</v>
      </c>
      <c r="CE31" t="s">
        <v>998</v>
      </c>
      <c r="CI31" t="s">
        <v>999</v>
      </c>
      <c r="CJ31" t="s">
        <v>1000</v>
      </c>
      <c r="CO31" t="s">
        <v>999</v>
      </c>
      <c r="CP31" t="s">
        <v>1001</v>
      </c>
      <c r="CQ31" t="s">
        <v>1001</v>
      </c>
      <c r="CS31" t="s">
        <v>324</v>
      </c>
      <c r="CT31" t="s">
        <v>798</v>
      </c>
      <c r="CZ31" t="s">
        <v>1003</v>
      </c>
      <c r="DA31" t="s">
        <v>1004</v>
      </c>
      <c r="DB31" t="s">
        <v>1005</v>
      </c>
      <c r="DC31" t="s">
        <v>1005</v>
      </c>
      <c r="DD31" t="s">
        <v>1005</v>
      </c>
      <c r="DE31" t="s">
        <v>1005</v>
      </c>
      <c r="DF31" t="s">
        <v>1005</v>
      </c>
      <c r="DG31" t="s">
        <v>1006</v>
      </c>
      <c r="DH31" t="s">
        <v>1005</v>
      </c>
      <c r="DI31" t="s">
        <v>1005</v>
      </c>
      <c r="DJ31" t="s">
        <v>1005</v>
      </c>
      <c r="DK31" t="s">
        <v>1005</v>
      </c>
      <c r="DL31" t="s">
        <v>1005</v>
      </c>
      <c r="DM31" t="s">
        <v>1005</v>
      </c>
      <c r="DN31" t="s">
        <v>1005</v>
      </c>
      <c r="DO31" t="s">
        <v>1005</v>
      </c>
      <c r="DP31" t="s">
        <v>1005</v>
      </c>
      <c r="DQ31" t="s">
        <v>1007</v>
      </c>
      <c r="DR31" t="s">
        <v>1007</v>
      </c>
      <c r="DS31" t="s">
        <v>1007</v>
      </c>
      <c r="DT31" t="s">
        <v>1007</v>
      </c>
      <c r="DU31" t="s">
        <v>1007</v>
      </c>
      <c r="DV31" t="s">
        <v>1007</v>
      </c>
      <c r="DX31" t="s">
        <v>798</v>
      </c>
      <c r="DY31" t="s">
        <v>1008</v>
      </c>
      <c r="EA31" t="s">
        <v>1009</v>
      </c>
      <c r="ED31" t="s">
        <v>1010</v>
      </c>
      <c r="EE31" t="s">
        <v>1011</v>
      </c>
      <c r="EG31" t="s">
        <v>1012</v>
      </c>
      <c r="EH31" t="s">
        <v>1012</v>
      </c>
      <c r="EI31" t="s">
        <v>1012</v>
      </c>
      <c r="EJ31" t="s">
        <v>1012</v>
      </c>
      <c r="EL31" t="s">
        <v>1013</v>
      </c>
      <c r="EM31" t="s">
        <v>1014</v>
      </c>
      <c r="EN31" t="s">
        <v>1015</v>
      </c>
      <c r="EQ31" t="s">
        <v>798</v>
      </c>
      <c r="ER31" t="s">
        <v>798</v>
      </c>
      <c r="ES31" t="s">
        <v>324</v>
      </c>
      <c r="ET31" t="s">
        <v>1012</v>
      </c>
      <c r="EU31" t="s">
        <v>1016</v>
      </c>
      <c r="EV31" t="s">
        <v>1016</v>
      </c>
      <c r="EW31" t="s">
        <v>1017</v>
      </c>
      <c r="EY31" t="s">
        <v>1009</v>
      </c>
      <c r="FH31" t="s">
        <v>1019</v>
      </c>
      <c r="FI31" t="s">
        <v>1021</v>
      </c>
      <c r="FS31" t="s">
        <v>798</v>
      </c>
      <c r="FT31" t="s">
        <v>798</v>
      </c>
    </row>
    <row r="32">
      <c r="A32" s="363" t="s">
        <v>981</v>
      </c>
      <c r="B32" s="364" t="s">
        <v>40</v>
      </c>
      <c r="C32" s="367" t="s">
        <v>80</v>
      </c>
      <c r="D32" s="364" t="s">
        <v>104</v>
      </c>
      <c r="E32" s="368" t="s">
        <v>1022</v>
      </c>
      <c r="F32" s="78" t="str">
        <f t="array" ref="F32:ALQ32">transpose(Filtered!AC2:AC1005)</f>
        <v>https://journals.lww.com/academicmedicine/Documents/ReviewerFAQs_Sept2012_v1.pdf</v>
      </c>
      <c r="J32" s="78" t="s">
        <v>520</v>
      </c>
      <c r="O32" s="78" t="s">
        <v>603</v>
      </c>
      <c r="P32" s="78" t="s">
        <v>611</v>
      </c>
      <c r="Q32" s="78" t="s">
        <v>437</v>
      </c>
      <c r="S32" s="78" t="s">
        <v>646</v>
      </c>
      <c r="U32" s="78" t="s">
        <v>449</v>
      </c>
      <c r="W32" s="78" t="s">
        <v>503</v>
      </c>
      <c r="Z32" s="78" t="s">
        <v>772</v>
      </c>
      <c r="AC32" s="78" t="s">
        <v>559</v>
      </c>
      <c r="AD32" s="78" t="s">
        <v>774</v>
      </c>
      <c r="AE32" s="78" t="s">
        <v>467</v>
      </c>
      <c r="AF32" s="78" t="s">
        <v>470</v>
      </c>
      <c r="AG32" t="s">
        <v>750</v>
      </c>
      <c r="AH32" s="78" t="s">
        <v>470</v>
      </c>
      <c r="AI32" s="78" t="s">
        <v>470</v>
      </c>
      <c r="AJ32" s="78" t="s">
        <v>470</v>
      </c>
      <c r="AK32" t="s">
        <v>750</v>
      </c>
      <c r="AL32" t="s">
        <v>750</v>
      </c>
      <c r="AM32" s="78" t="s">
        <v>968</v>
      </c>
      <c r="AP32" s="78" t="s">
        <v>478</v>
      </c>
      <c r="AQ32" s="78" t="s">
        <v>1032</v>
      </c>
      <c r="AS32" s="78" t="s">
        <v>779</v>
      </c>
      <c r="AZ32" s="78" t="s">
        <v>492</v>
      </c>
      <c r="BB32" s="78" t="s">
        <v>560</v>
      </c>
      <c r="BC32" s="78" t="s">
        <v>559</v>
      </c>
      <c r="BD32" s="78" t="s">
        <v>559</v>
      </c>
      <c r="BE32" s="78" t="s">
        <v>503</v>
      </c>
      <c r="BF32" s="78" t="s">
        <v>784</v>
      </c>
      <c r="BJ32" s="78" t="s">
        <v>1034</v>
      </c>
      <c r="BK32" s="78" t="s">
        <v>1035</v>
      </c>
      <c r="BP32" s="78" t="s">
        <v>1037</v>
      </c>
      <c r="BS32" s="78" t="s">
        <v>559</v>
      </c>
      <c r="BV32" s="78" t="s">
        <v>559</v>
      </c>
      <c r="BX32" s="78" t="s">
        <v>559</v>
      </c>
      <c r="BY32" s="78" t="s">
        <v>559</v>
      </c>
      <c r="CB32" s="78" t="s">
        <v>1040</v>
      </c>
      <c r="CD32" s="78" t="s">
        <v>1041</v>
      </c>
      <c r="CE32" s="78" t="s">
        <v>559</v>
      </c>
      <c r="CI32" s="78" t="s">
        <v>1043</v>
      </c>
      <c r="CJ32" s="78" t="s">
        <v>486</v>
      </c>
      <c r="CO32" s="78" t="s">
        <v>1043</v>
      </c>
      <c r="CT32" s="78" t="s">
        <v>559</v>
      </c>
      <c r="CZ32" s="78" t="s">
        <v>419</v>
      </c>
      <c r="DA32" s="78" t="s">
        <v>968</v>
      </c>
      <c r="DB32" s="78" t="s">
        <v>1044</v>
      </c>
      <c r="DC32" s="78" t="s">
        <v>1045</v>
      </c>
      <c r="DD32" s="78" t="s">
        <v>1049</v>
      </c>
      <c r="DE32" s="78" t="s">
        <v>1050</v>
      </c>
      <c r="DF32" s="78" t="s">
        <v>1051</v>
      </c>
      <c r="DG32" s="78" t="s">
        <v>797</v>
      </c>
      <c r="DH32" s="78" t="s">
        <v>1052</v>
      </c>
      <c r="DI32" s="78" t="s">
        <v>1054</v>
      </c>
      <c r="DJ32" s="78" t="s">
        <v>1056</v>
      </c>
      <c r="DK32" s="78" t="s">
        <v>1057</v>
      </c>
      <c r="DL32" s="78" t="s">
        <v>1058</v>
      </c>
      <c r="DM32" s="78" t="s">
        <v>1059</v>
      </c>
      <c r="DN32" s="78" t="s">
        <v>1060</v>
      </c>
      <c r="DO32" s="78" t="s">
        <v>1062</v>
      </c>
      <c r="DP32" s="78" t="s">
        <v>1064</v>
      </c>
      <c r="DQ32" s="78" t="s">
        <v>617</v>
      </c>
      <c r="DR32" s="78" t="s">
        <v>618</v>
      </c>
      <c r="DS32" s="78" t="s">
        <v>617</v>
      </c>
      <c r="DT32" s="78" t="s">
        <v>618</v>
      </c>
      <c r="DU32" s="78" t="s">
        <v>618</v>
      </c>
      <c r="DV32" s="78" t="s">
        <v>618</v>
      </c>
      <c r="DX32" s="78" t="s">
        <v>559</v>
      </c>
      <c r="DY32" s="78" t="s">
        <v>470</v>
      </c>
      <c r="EA32" s="78" t="s">
        <v>1070</v>
      </c>
      <c r="ED32" s="78" t="s">
        <v>630</v>
      </c>
      <c r="EE32" s="78" t="s">
        <v>631</v>
      </c>
      <c r="EG32" s="78" t="s">
        <v>1071</v>
      </c>
      <c r="EH32" s="78" t="s">
        <v>641</v>
      </c>
      <c r="EI32" s="78" t="s">
        <v>645</v>
      </c>
      <c r="EJ32" s="78" t="s">
        <v>647</v>
      </c>
      <c r="EL32" s="78" t="s">
        <v>1077</v>
      </c>
      <c r="EM32" s="78" t="s">
        <v>655</v>
      </c>
      <c r="EN32" s="78" t="s">
        <v>646</v>
      </c>
      <c r="EQ32" s="78" t="s">
        <v>559</v>
      </c>
      <c r="ER32" s="78" t="s">
        <v>559</v>
      </c>
      <c r="ET32" s="78" t="s">
        <v>1079</v>
      </c>
      <c r="EU32" s="78" t="s">
        <v>1081</v>
      </c>
      <c r="EV32" s="78" t="s">
        <v>1082</v>
      </c>
      <c r="EW32" s="78" t="s">
        <v>1083</v>
      </c>
      <c r="EY32" s="78" t="s">
        <v>1070</v>
      </c>
      <c r="FH32" s="78" t="s">
        <v>697</v>
      </c>
      <c r="FI32" s="78" t="s">
        <v>1070</v>
      </c>
      <c r="FS32" s="78" t="s">
        <v>559</v>
      </c>
      <c r="FT32" s="78" t="s">
        <v>559</v>
      </c>
    </row>
    <row r="33">
      <c r="A33" s="363" t="s">
        <v>981</v>
      </c>
      <c r="B33" s="364" t="s">
        <v>41</v>
      </c>
      <c r="C33" s="367" t="s">
        <v>1085</v>
      </c>
      <c r="D33" s="364" t="s">
        <v>107</v>
      </c>
      <c r="E33" s="366" t="s">
        <v>369</v>
      </c>
      <c r="F33" t="str">
        <f t="array" ref="F33:ALQ33">transpose(Filtered!AD2:AD1005)</f>
        <v>Yes</v>
      </c>
      <c r="G33" t="s">
        <v>315</v>
      </c>
      <c r="H33" t="s">
        <v>315</v>
      </c>
      <c r="I33" t="s">
        <v>315</v>
      </c>
      <c r="J33" t="s">
        <v>282</v>
      </c>
      <c r="K33" t="s">
        <v>315</v>
      </c>
      <c r="L33" t="s">
        <v>315</v>
      </c>
      <c r="M33" t="s">
        <v>315</v>
      </c>
      <c r="N33" t="s">
        <v>427</v>
      </c>
      <c r="O33" t="s">
        <v>315</v>
      </c>
      <c r="P33" t="s">
        <v>315</v>
      </c>
      <c r="Q33" t="s">
        <v>315</v>
      </c>
      <c r="R33" t="s">
        <v>315</v>
      </c>
      <c r="S33" t="s">
        <v>369</v>
      </c>
      <c r="T33" t="s">
        <v>315</v>
      </c>
      <c r="U33" t="s">
        <v>282</v>
      </c>
      <c r="V33" t="s">
        <v>315</v>
      </c>
      <c r="W33" t="s">
        <v>369</v>
      </c>
      <c r="X33" t="s">
        <v>315</v>
      </c>
      <c r="Y33" t="s">
        <v>315</v>
      </c>
      <c r="Z33" t="s">
        <v>369</v>
      </c>
      <c r="AA33" t="s">
        <v>324</v>
      </c>
      <c r="AB33" t="s">
        <v>324</v>
      </c>
      <c r="AC33" t="s">
        <v>315</v>
      </c>
      <c r="AD33" t="s">
        <v>282</v>
      </c>
      <c r="AE33" t="s">
        <v>369</v>
      </c>
      <c r="AF33" t="s">
        <v>369</v>
      </c>
      <c r="AG33" t="s">
        <v>315</v>
      </c>
      <c r="AH33" t="s">
        <v>369</v>
      </c>
      <c r="AI33" t="s">
        <v>369</v>
      </c>
      <c r="AJ33" t="s">
        <v>369</v>
      </c>
      <c r="AK33" t="s">
        <v>315</v>
      </c>
      <c r="AL33" t="s">
        <v>315</v>
      </c>
      <c r="AM33" t="s">
        <v>315</v>
      </c>
      <c r="AN33" t="s">
        <v>315</v>
      </c>
      <c r="AO33" t="s">
        <v>315</v>
      </c>
      <c r="AP33" t="s">
        <v>315</v>
      </c>
      <c r="AQ33" t="s">
        <v>369</v>
      </c>
      <c r="AR33" t="s">
        <v>315</v>
      </c>
      <c r="AS33" t="s">
        <v>315</v>
      </c>
      <c r="AT33" t="s">
        <v>315</v>
      </c>
      <c r="AU33" t="s">
        <v>315</v>
      </c>
      <c r="AV33" t="s">
        <v>315</v>
      </c>
      <c r="AW33" t="s">
        <v>315</v>
      </c>
      <c r="AX33" t="s">
        <v>315</v>
      </c>
      <c r="AY33" t="s">
        <v>315</v>
      </c>
      <c r="AZ33" t="s">
        <v>315</v>
      </c>
      <c r="BA33" t="s">
        <v>315</v>
      </c>
      <c r="BB33" t="s">
        <v>315</v>
      </c>
      <c r="BC33" t="s">
        <v>315</v>
      </c>
      <c r="BD33" t="s">
        <v>315</v>
      </c>
      <c r="BE33" t="s">
        <v>369</v>
      </c>
      <c r="BF33" t="s">
        <v>369</v>
      </c>
      <c r="BG33" t="s">
        <v>315</v>
      </c>
      <c r="BH33" t="s">
        <v>315</v>
      </c>
      <c r="BI33" t="s">
        <v>315</v>
      </c>
      <c r="BJ33" t="s">
        <v>369</v>
      </c>
      <c r="BK33" t="s">
        <v>369</v>
      </c>
      <c r="BL33" t="s">
        <v>315</v>
      </c>
      <c r="BM33" t="s">
        <v>315</v>
      </c>
      <c r="BN33" t="s">
        <v>315</v>
      </c>
      <c r="BO33" t="s">
        <v>315</v>
      </c>
      <c r="BP33" t="s">
        <v>315</v>
      </c>
      <c r="BQ33" t="s">
        <v>315</v>
      </c>
      <c r="BR33" t="s">
        <v>315</v>
      </c>
      <c r="BS33" t="s">
        <v>315</v>
      </c>
      <c r="BT33" t="s">
        <v>315</v>
      </c>
      <c r="BU33" t="s">
        <v>315</v>
      </c>
      <c r="BV33" t="s">
        <v>315</v>
      </c>
      <c r="BW33" t="s">
        <v>315</v>
      </c>
      <c r="BX33" t="s">
        <v>315</v>
      </c>
      <c r="BY33" t="s">
        <v>315</v>
      </c>
      <c r="BZ33" t="s">
        <v>315</v>
      </c>
      <c r="CA33" t="s">
        <v>315</v>
      </c>
      <c r="CB33" t="s">
        <v>282</v>
      </c>
      <c r="CC33" t="s">
        <v>315</v>
      </c>
      <c r="CD33" t="s">
        <v>369</v>
      </c>
      <c r="CE33" t="s">
        <v>315</v>
      </c>
      <c r="CF33" t="s">
        <v>315</v>
      </c>
      <c r="CG33" t="s">
        <v>315</v>
      </c>
      <c r="CH33" t="s">
        <v>315</v>
      </c>
      <c r="CI33" t="s">
        <v>369</v>
      </c>
      <c r="CJ33" t="s">
        <v>315</v>
      </c>
      <c r="CK33" t="s">
        <v>315</v>
      </c>
      <c r="CL33" t="s">
        <v>315</v>
      </c>
      <c r="CM33" t="s">
        <v>315</v>
      </c>
      <c r="CN33" t="s">
        <v>315</v>
      </c>
      <c r="CO33" t="s">
        <v>315</v>
      </c>
      <c r="CP33" t="s">
        <v>315</v>
      </c>
      <c r="CQ33" t="s">
        <v>315</v>
      </c>
      <c r="CR33" t="s">
        <v>315</v>
      </c>
      <c r="CS33" t="s">
        <v>315</v>
      </c>
      <c r="CT33" t="s">
        <v>315</v>
      </c>
      <c r="CU33" t="s">
        <v>315</v>
      </c>
      <c r="CV33" t="s">
        <v>315</v>
      </c>
      <c r="CW33" t="s">
        <v>315</v>
      </c>
      <c r="CX33" t="s">
        <v>315</v>
      </c>
      <c r="CY33" t="s">
        <v>315</v>
      </c>
      <c r="CZ33" t="s">
        <v>369</v>
      </c>
      <c r="DA33" t="s">
        <v>369</v>
      </c>
      <c r="DB33" t="s">
        <v>315</v>
      </c>
      <c r="DC33" t="s">
        <v>315</v>
      </c>
      <c r="DD33" t="s">
        <v>315</v>
      </c>
      <c r="DE33" t="s">
        <v>315</v>
      </c>
      <c r="DF33" t="s">
        <v>315</v>
      </c>
      <c r="DG33" t="s">
        <v>315</v>
      </c>
      <c r="DH33" t="s">
        <v>315</v>
      </c>
      <c r="DI33" t="s">
        <v>315</v>
      </c>
      <c r="DJ33" t="s">
        <v>315</v>
      </c>
      <c r="DK33" t="s">
        <v>315</v>
      </c>
      <c r="DL33" t="s">
        <v>315</v>
      </c>
      <c r="DM33" t="s">
        <v>315</v>
      </c>
      <c r="DN33" t="s">
        <v>315</v>
      </c>
      <c r="DO33" t="s">
        <v>315</v>
      </c>
      <c r="DP33" t="s">
        <v>315</v>
      </c>
      <c r="DQ33" t="s">
        <v>369</v>
      </c>
      <c r="DR33" t="s">
        <v>369</v>
      </c>
      <c r="DS33" t="s">
        <v>369</v>
      </c>
      <c r="DT33" t="s">
        <v>369</v>
      </c>
      <c r="DU33" t="s">
        <v>369</v>
      </c>
      <c r="DV33" t="s">
        <v>369</v>
      </c>
      <c r="DW33" t="s">
        <v>315</v>
      </c>
      <c r="DX33" t="s">
        <v>315</v>
      </c>
      <c r="DY33" t="s">
        <v>369</v>
      </c>
      <c r="DZ33" t="s">
        <v>315</v>
      </c>
      <c r="EA33" t="s">
        <v>369</v>
      </c>
      <c r="EB33" t="s">
        <v>315</v>
      </c>
      <c r="EC33" t="s">
        <v>315</v>
      </c>
      <c r="ED33" t="s">
        <v>369</v>
      </c>
      <c r="EE33" t="s">
        <v>369</v>
      </c>
      <c r="EF33" t="s">
        <v>315</v>
      </c>
      <c r="EG33" t="s">
        <v>369</v>
      </c>
      <c r="EH33" t="s">
        <v>369</v>
      </c>
      <c r="EI33" t="s">
        <v>369</v>
      </c>
      <c r="EJ33" t="s">
        <v>369</v>
      </c>
      <c r="EK33" t="s">
        <v>315</v>
      </c>
      <c r="EL33" t="s">
        <v>369</v>
      </c>
      <c r="EM33" t="s">
        <v>369</v>
      </c>
      <c r="EN33" t="s">
        <v>369</v>
      </c>
      <c r="EO33" t="s">
        <v>315</v>
      </c>
      <c r="EP33" t="s">
        <v>315</v>
      </c>
      <c r="EQ33" t="s">
        <v>315</v>
      </c>
      <c r="ER33" t="s">
        <v>315</v>
      </c>
      <c r="ES33" t="s">
        <v>315</v>
      </c>
      <c r="ET33" t="s">
        <v>369</v>
      </c>
      <c r="EU33" t="s">
        <v>315</v>
      </c>
      <c r="EV33" t="s">
        <v>315</v>
      </c>
      <c r="EW33" t="s">
        <v>369</v>
      </c>
      <c r="EX33" t="s">
        <v>315</v>
      </c>
      <c r="EY33" t="s">
        <v>315</v>
      </c>
      <c r="EZ33" t="s">
        <v>315</v>
      </c>
      <c r="FA33" t="s">
        <v>315</v>
      </c>
      <c r="FB33" t="s">
        <v>315</v>
      </c>
      <c r="FC33" t="s">
        <v>315</v>
      </c>
      <c r="FD33" t="s">
        <v>315</v>
      </c>
      <c r="FE33" t="s">
        <v>315</v>
      </c>
      <c r="FF33" t="s">
        <v>315</v>
      </c>
      <c r="FG33" t="s">
        <v>315</v>
      </c>
      <c r="FH33" t="s">
        <v>315</v>
      </c>
      <c r="FI33" t="s">
        <v>315</v>
      </c>
      <c r="FJ33" t="s">
        <v>315</v>
      </c>
      <c r="FK33" t="s">
        <v>315</v>
      </c>
      <c r="FL33" t="s">
        <v>315</v>
      </c>
      <c r="FM33" t="s">
        <v>315</v>
      </c>
      <c r="FN33" t="s">
        <v>315</v>
      </c>
      <c r="FO33" t="s">
        <v>315</v>
      </c>
      <c r="FP33" t="s">
        <v>315</v>
      </c>
      <c r="FQ33" t="s">
        <v>315</v>
      </c>
      <c r="FR33" t="s">
        <v>315</v>
      </c>
      <c r="FS33" t="s">
        <v>315</v>
      </c>
      <c r="FT33" t="s">
        <v>315</v>
      </c>
    </row>
    <row r="34">
      <c r="A34" s="363" t="s">
        <v>981</v>
      </c>
      <c r="B34" s="364" t="s">
        <v>42</v>
      </c>
      <c r="C34" s="367" t="s">
        <v>82</v>
      </c>
      <c r="D34" s="364" t="s">
        <v>107</v>
      </c>
      <c r="E34" s="366" t="s">
        <v>282</v>
      </c>
      <c r="F34" t="str">
        <f t="array" ref="F34:ALQ34">transpose(Filtered!AE2:AE1005)</f>
        <v>Unsure</v>
      </c>
      <c r="G34" t="s">
        <v>315</v>
      </c>
      <c r="H34" t="s">
        <v>315</v>
      </c>
      <c r="I34" t="s">
        <v>315</v>
      </c>
      <c r="J34" t="s">
        <v>282</v>
      </c>
      <c r="K34" t="s">
        <v>315</v>
      </c>
      <c r="L34" t="s">
        <v>315</v>
      </c>
      <c r="M34" t="s">
        <v>315</v>
      </c>
      <c r="N34" t="s">
        <v>427</v>
      </c>
      <c r="O34" t="s">
        <v>315</v>
      </c>
      <c r="P34" t="s">
        <v>315</v>
      </c>
      <c r="Q34" t="s">
        <v>315</v>
      </c>
      <c r="R34" t="s">
        <v>315</v>
      </c>
      <c r="S34" t="s">
        <v>315</v>
      </c>
      <c r="T34" t="s">
        <v>315</v>
      </c>
      <c r="U34" t="s">
        <v>282</v>
      </c>
      <c r="V34" t="s">
        <v>315</v>
      </c>
      <c r="W34" t="s">
        <v>315</v>
      </c>
      <c r="X34" t="s">
        <v>315</v>
      </c>
      <c r="Y34" t="s">
        <v>315</v>
      </c>
      <c r="Z34" t="s">
        <v>315</v>
      </c>
      <c r="AA34" t="s">
        <v>324</v>
      </c>
      <c r="AB34" t="s">
        <v>324</v>
      </c>
      <c r="AC34" t="s">
        <v>315</v>
      </c>
      <c r="AD34" t="s">
        <v>315</v>
      </c>
      <c r="AE34" t="s">
        <v>315</v>
      </c>
      <c r="AF34" t="s">
        <v>315</v>
      </c>
      <c r="AG34" t="s">
        <v>315</v>
      </c>
      <c r="AH34" t="s">
        <v>282</v>
      </c>
      <c r="AI34" t="s">
        <v>282</v>
      </c>
      <c r="AJ34" t="s">
        <v>282</v>
      </c>
      <c r="AK34" t="s">
        <v>315</v>
      </c>
      <c r="AL34" t="s">
        <v>315</v>
      </c>
      <c r="AM34" t="s">
        <v>315</v>
      </c>
      <c r="AN34" t="s">
        <v>315</v>
      </c>
      <c r="AO34" t="s">
        <v>315</v>
      </c>
      <c r="AP34" t="s">
        <v>315</v>
      </c>
      <c r="AQ34" t="s">
        <v>315</v>
      </c>
      <c r="AR34" t="s">
        <v>315</v>
      </c>
      <c r="AS34" t="s">
        <v>315</v>
      </c>
      <c r="AT34" t="s">
        <v>315</v>
      </c>
      <c r="AU34" t="s">
        <v>315</v>
      </c>
      <c r="AV34" t="s">
        <v>315</v>
      </c>
      <c r="AW34" t="s">
        <v>315</v>
      </c>
      <c r="AX34" t="s">
        <v>315</v>
      </c>
      <c r="AY34" t="s">
        <v>315</v>
      </c>
      <c r="AZ34" t="s">
        <v>315</v>
      </c>
      <c r="BA34" t="s">
        <v>315</v>
      </c>
      <c r="BB34" t="s">
        <v>315</v>
      </c>
      <c r="BC34" t="s">
        <v>315</v>
      </c>
      <c r="BD34" t="s">
        <v>315</v>
      </c>
      <c r="BE34" t="s">
        <v>315</v>
      </c>
      <c r="BF34" t="s">
        <v>315</v>
      </c>
      <c r="BG34" t="s">
        <v>315</v>
      </c>
      <c r="BH34" t="s">
        <v>315</v>
      </c>
      <c r="BI34" t="s">
        <v>315</v>
      </c>
      <c r="BJ34" t="s">
        <v>315</v>
      </c>
      <c r="BK34" t="s">
        <v>315</v>
      </c>
      <c r="BL34" t="s">
        <v>315</v>
      </c>
      <c r="BM34" t="s">
        <v>315</v>
      </c>
      <c r="BN34" t="s">
        <v>315</v>
      </c>
      <c r="BO34" t="s">
        <v>315</v>
      </c>
      <c r="BP34" t="s">
        <v>315</v>
      </c>
      <c r="BQ34" t="s">
        <v>315</v>
      </c>
      <c r="BR34" t="s">
        <v>315</v>
      </c>
      <c r="BS34" t="s">
        <v>315</v>
      </c>
      <c r="BT34" t="s">
        <v>315</v>
      </c>
      <c r="BU34" t="s">
        <v>315</v>
      </c>
      <c r="BV34" t="s">
        <v>315</v>
      </c>
      <c r="BW34" t="s">
        <v>315</v>
      </c>
      <c r="BX34" t="s">
        <v>315</v>
      </c>
      <c r="BY34" t="s">
        <v>315</v>
      </c>
      <c r="BZ34" t="s">
        <v>315</v>
      </c>
      <c r="CA34" t="s">
        <v>315</v>
      </c>
      <c r="CB34" t="s">
        <v>315</v>
      </c>
      <c r="CC34" t="s">
        <v>315</v>
      </c>
      <c r="CD34" t="s">
        <v>315</v>
      </c>
      <c r="CE34" t="s">
        <v>315</v>
      </c>
      <c r="CF34" t="s">
        <v>315</v>
      </c>
      <c r="CG34" t="s">
        <v>315</v>
      </c>
      <c r="CH34" t="s">
        <v>315</v>
      </c>
      <c r="CI34" t="s">
        <v>315</v>
      </c>
      <c r="CJ34" t="s">
        <v>315</v>
      </c>
      <c r="CK34" t="s">
        <v>315</v>
      </c>
      <c r="CL34" t="s">
        <v>315</v>
      </c>
      <c r="CM34" t="s">
        <v>315</v>
      </c>
      <c r="CN34" t="s">
        <v>315</v>
      </c>
      <c r="CO34" t="s">
        <v>315</v>
      </c>
      <c r="CP34" t="s">
        <v>315</v>
      </c>
      <c r="CQ34" t="s">
        <v>315</v>
      </c>
      <c r="CR34" t="s">
        <v>315</v>
      </c>
      <c r="CS34" t="s">
        <v>315</v>
      </c>
      <c r="CT34" t="s">
        <v>315</v>
      </c>
      <c r="CU34" t="s">
        <v>315</v>
      </c>
      <c r="CV34" t="s">
        <v>315</v>
      </c>
      <c r="CW34" t="s">
        <v>315</v>
      </c>
      <c r="CX34" t="s">
        <v>315</v>
      </c>
      <c r="CY34" t="s">
        <v>315</v>
      </c>
      <c r="CZ34" t="s">
        <v>315</v>
      </c>
      <c r="DA34" t="s">
        <v>315</v>
      </c>
      <c r="DB34" t="s">
        <v>315</v>
      </c>
      <c r="DC34" t="s">
        <v>315</v>
      </c>
      <c r="DD34" t="s">
        <v>315</v>
      </c>
      <c r="DE34" t="s">
        <v>315</v>
      </c>
      <c r="DF34" t="s">
        <v>315</v>
      </c>
      <c r="DG34" t="s">
        <v>315</v>
      </c>
      <c r="DH34" t="s">
        <v>315</v>
      </c>
      <c r="DI34" t="s">
        <v>315</v>
      </c>
      <c r="DJ34" t="s">
        <v>315</v>
      </c>
      <c r="DK34" t="s">
        <v>315</v>
      </c>
      <c r="DL34" t="s">
        <v>315</v>
      </c>
      <c r="DM34" t="s">
        <v>315</v>
      </c>
      <c r="DN34" t="s">
        <v>315</v>
      </c>
      <c r="DO34" t="s">
        <v>315</v>
      </c>
      <c r="DP34" t="s">
        <v>315</v>
      </c>
      <c r="DQ34" t="s">
        <v>315</v>
      </c>
      <c r="DR34" t="s">
        <v>315</v>
      </c>
      <c r="DS34" t="s">
        <v>315</v>
      </c>
      <c r="DT34" t="s">
        <v>315</v>
      </c>
      <c r="DU34" t="s">
        <v>315</v>
      </c>
      <c r="DV34" t="s">
        <v>315</v>
      </c>
      <c r="DW34" t="s">
        <v>315</v>
      </c>
      <c r="DX34" t="s">
        <v>315</v>
      </c>
      <c r="DY34" t="s">
        <v>315</v>
      </c>
      <c r="DZ34" t="s">
        <v>315</v>
      </c>
      <c r="EA34" t="s">
        <v>315</v>
      </c>
      <c r="EB34" t="s">
        <v>315</v>
      </c>
      <c r="EC34" t="s">
        <v>315</v>
      </c>
      <c r="ED34" t="s">
        <v>315</v>
      </c>
      <c r="EE34" t="s">
        <v>315</v>
      </c>
      <c r="EF34" t="s">
        <v>315</v>
      </c>
      <c r="EG34" t="s">
        <v>315</v>
      </c>
      <c r="EH34" t="s">
        <v>315</v>
      </c>
      <c r="EI34" t="s">
        <v>315</v>
      </c>
      <c r="EJ34" t="s">
        <v>315</v>
      </c>
      <c r="EK34" t="s">
        <v>315</v>
      </c>
      <c r="EL34" t="s">
        <v>315</v>
      </c>
      <c r="EM34" t="s">
        <v>315</v>
      </c>
      <c r="EN34" t="s">
        <v>315</v>
      </c>
      <c r="EO34" t="s">
        <v>315</v>
      </c>
      <c r="EP34" t="s">
        <v>315</v>
      </c>
      <c r="EQ34" t="s">
        <v>315</v>
      </c>
      <c r="ER34" t="s">
        <v>315</v>
      </c>
      <c r="ES34" t="s">
        <v>315</v>
      </c>
      <c r="ET34" t="s">
        <v>315</v>
      </c>
      <c r="EU34" t="s">
        <v>315</v>
      </c>
      <c r="EV34" t="s">
        <v>315</v>
      </c>
      <c r="EW34" t="s">
        <v>315</v>
      </c>
      <c r="EX34" t="s">
        <v>315</v>
      </c>
      <c r="EY34" t="s">
        <v>315</v>
      </c>
      <c r="EZ34" t="s">
        <v>315</v>
      </c>
      <c r="FA34" t="s">
        <v>315</v>
      </c>
      <c r="FB34" t="s">
        <v>315</v>
      </c>
      <c r="FC34" t="s">
        <v>315</v>
      </c>
      <c r="FD34" t="s">
        <v>315</v>
      </c>
      <c r="FE34" t="s">
        <v>315</v>
      </c>
      <c r="FF34" t="s">
        <v>315</v>
      </c>
      <c r="FG34" t="s">
        <v>315</v>
      </c>
      <c r="FH34" t="s">
        <v>315</v>
      </c>
      <c r="FI34" t="s">
        <v>315</v>
      </c>
      <c r="FJ34" t="s">
        <v>315</v>
      </c>
      <c r="FK34" t="s">
        <v>315</v>
      </c>
      <c r="FL34" t="s">
        <v>315</v>
      </c>
      <c r="FM34" t="s">
        <v>315</v>
      </c>
      <c r="FN34" t="s">
        <v>315</v>
      </c>
      <c r="FO34" t="s">
        <v>315</v>
      </c>
      <c r="FP34" t="s">
        <v>315</v>
      </c>
      <c r="FQ34" t="s">
        <v>315</v>
      </c>
      <c r="FR34" t="s">
        <v>315</v>
      </c>
      <c r="FS34" t="s">
        <v>315</v>
      </c>
      <c r="FT34" t="s">
        <v>315</v>
      </c>
    </row>
    <row r="35">
      <c r="A35" s="363" t="s">
        <v>981</v>
      </c>
      <c r="B35" s="364" t="s">
        <v>43</v>
      </c>
      <c r="C35" s="378" t="s">
        <v>83</v>
      </c>
      <c r="D35" s="364" t="s">
        <v>107</v>
      </c>
      <c r="E35" s="366" t="s">
        <v>282</v>
      </c>
      <c r="F35" t="str">
        <f t="array" ref="F35:ALQ35">transpose(Filtered!AF2:AF1005)</f>
        <v>Unsure</v>
      </c>
      <c r="G35" t="s">
        <v>315</v>
      </c>
      <c r="H35" t="s">
        <v>315</v>
      </c>
      <c r="I35" t="s">
        <v>315</v>
      </c>
      <c r="J35" t="s">
        <v>282</v>
      </c>
      <c r="K35" t="s">
        <v>315</v>
      </c>
      <c r="L35" t="s">
        <v>315</v>
      </c>
      <c r="M35" t="s">
        <v>315</v>
      </c>
      <c r="N35" t="s">
        <v>427</v>
      </c>
      <c r="O35" t="s">
        <v>315</v>
      </c>
      <c r="P35" t="s">
        <v>315</v>
      </c>
      <c r="Q35" t="s">
        <v>315</v>
      </c>
      <c r="R35" t="s">
        <v>315</v>
      </c>
      <c r="S35" t="s">
        <v>315</v>
      </c>
      <c r="T35" t="s">
        <v>315</v>
      </c>
      <c r="U35" t="s">
        <v>282</v>
      </c>
      <c r="V35" t="s">
        <v>315</v>
      </c>
      <c r="W35" t="s">
        <v>315</v>
      </c>
      <c r="X35" t="s">
        <v>315</v>
      </c>
      <c r="Y35" t="s">
        <v>315</v>
      </c>
      <c r="Z35" t="s">
        <v>315</v>
      </c>
      <c r="AA35" t="s">
        <v>324</v>
      </c>
      <c r="AB35" t="s">
        <v>324</v>
      </c>
      <c r="AC35" t="s">
        <v>315</v>
      </c>
      <c r="AD35" t="s">
        <v>315</v>
      </c>
      <c r="AE35" t="s">
        <v>315</v>
      </c>
      <c r="AF35" t="s">
        <v>315</v>
      </c>
      <c r="AG35" t="s">
        <v>315</v>
      </c>
      <c r="AH35" t="s">
        <v>315</v>
      </c>
      <c r="AI35" t="s">
        <v>315</v>
      </c>
      <c r="AJ35" t="s">
        <v>315</v>
      </c>
      <c r="AK35" t="s">
        <v>315</v>
      </c>
      <c r="AL35" t="s">
        <v>315</v>
      </c>
      <c r="AM35" t="s">
        <v>315</v>
      </c>
      <c r="AN35" t="s">
        <v>315</v>
      </c>
      <c r="AO35" t="s">
        <v>315</v>
      </c>
      <c r="AP35" t="s">
        <v>315</v>
      </c>
      <c r="AQ35" t="s">
        <v>315</v>
      </c>
      <c r="AR35" t="s">
        <v>315</v>
      </c>
      <c r="AS35" t="s">
        <v>315</v>
      </c>
      <c r="AT35" t="s">
        <v>315</v>
      </c>
      <c r="AU35" t="s">
        <v>315</v>
      </c>
      <c r="AV35" t="s">
        <v>315</v>
      </c>
      <c r="AW35" t="s">
        <v>315</v>
      </c>
      <c r="AX35" t="s">
        <v>315</v>
      </c>
      <c r="AY35" t="s">
        <v>315</v>
      </c>
      <c r="AZ35" t="s">
        <v>282</v>
      </c>
      <c r="BA35" t="s">
        <v>315</v>
      </c>
      <c r="BB35" t="s">
        <v>315</v>
      </c>
      <c r="BC35" t="s">
        <v>315</v>
      </c>
      <c r="BD35" t="s">
        <v>315</v>
      </c>
      <c r="BE35" t="s">
        <v>315</v>
      </c>
      <c r="BF35" t="s">
        <v>315</v>
      </c>
      <c r="BG35" t="s">
        <v>315</v>
      </c>
      <c r="BH35" t="s">
        <v>315</v>
      </c>
      <c r="BI35" t="s">
        <v>315</v>
      </c>
      <c r="BJ35" t="s">
        <v>315</v>
      </c>
      <c r="BK35" t="s">
        <v>315</v>
      </c>
      <c r="BL35" t="s">
        <v>315</v>
      </c>
      <c r="BM35" t="s">
        <v>315</v>
      </c>
      <c r="BN35" t="s">
        <v>315</v>
      </c>
      <c r="BO35" t="s">
        <v>315</v>
      </c>
      <c r="BP35" t="s">
        <v>315</v>
      </c>
      <c r="BQ35" t="s">
        <v>315</v>
      </c>
      <c r="BR35" t="s">
        <v>315</v>
      </c>
      <c r="BS35" t="s">
        <v>315</v>
      </c>
      <c r="BT35" t="s">
        <v>315</v>
      </c>
      <c r="BU35" t="s">
        <v>315</v>
      </c>
      <c r="BV35" t="s">
        <v>315</v>
      </c>
      <c r="BW35" t="s">
        <v>315</v>
      </c>
      <c r="BX35" t="s">
        <v>315</v>
      </c>
      <c r="BY35" t="s">
        <v>315</v>
      </c>
      <c r="BZ35" t="s">
        <v>315</v>
      </c>
      <c r="CA35" t="s">
        <v>315</v>
      </c>
      <c r="CB35" t="s">
        <v>315</v>
      </c>
      <c r="CC35" t="s">
        <v>315</v>
      </c>
      <c r="CD35" t="s">
        <v>1090</v>
      </c>
      <c r="CE35" t="s">
        <v>315</v>
      </c>
      <c r="CF35" t="s">
        <v>315</v>
      </c>
      <c r="CG35" t="s">
        <v>315</v>
      </c>
      <c r="CH35" t="s">
        <v>315</v>
      </c>
      <c r="CI35" t="s">
        <v>315</v>
      </c>
      <c r="CJ35" t="s">
        <v>315</v>
      </c>
      <c r="CK35" t="s">
        <v>315</v>
      </c>
      <c r="CL35" t="s">
        <v>315</v>
      </c>
      <c r="CM35" t="s">
        <v>315</v>
      </c>
      <c r="CN35" t="s">
        <v>315</v>
      </c>
      <c r="CO35" t="s">
        <v>315</v>
      </c>
      <c r="CP35" t="s">
        <v>315</v>
      </c>
      <c r="CQ35" t="s">
        <v>315</v>
      </c>
      <c r="CR35" t="s">
        <v>315</v>
      </c>
      <c r="CS35" t="s">
        <v>315</v>
      </c>
      <c r="CT35" t="s">
        <v>315</v>
      </c>
      <c r="CU35" t="s">
        <v>315</v>
      </c>
      <c r="CV35" t="s">
        <v>315</v>
      </c>
      <c r="CW35" t="s">
        <v>315</v>
      </c>
      <c r="CX35" t="s">
        <v>315</v>
      </c>
      <c r="CY35" t="s">
        <v>315</v>
      </c>
      <c r="CZ35" t="s">
        <v>315</v>
      </c>
      <c r="DA35" t="s">
        <v>315</v>
      </c>
      <c r="DB35" t="s">
        <v>315</v>
      </c>
      <c r="DC35" t="s">
        <v>315</v>
      </c>
      <c r="DD35" t="s">
        <v>315</v>
      </c>
      <c r="DE35" t="s">
        <v>315</v>
      </c>
      <c r="DF35" t="s">
        <v>315</v>
      </c>
      <c r="DG35" t="s">
        <v>315</v>
      </c>
      <c r="DH35" t="s">
        <v>315</v>
      </c>
      <c r="DI35" t="s">
        <v>315</v>
      </c>
      <c r="DJ35" t="s">
        <v>315</v>
      </c>
      <c r="DK35" t="s">
        <v>315</v>
      </c>
      <c r="DL35" t="s">
        <v>315</v>
      </c>
      <c r="DM35" t="s">
        <v>315</v>
      </c>
      <c r="DN35" t="s">
        <v>315</v>
      </c>
      <c r="DO35" t="s">
        <v>315</v>
      </c>
      <c r="DP35" t="s">
        <v>315</v>
      </c>
      <c r="DQ35" t="s">
        <v>315</v>
      </c>
      <c r="DR35" t="s">
        <v>315</v>
      </c>
      <c r="DS35" t="s">
        <v>315</v>
      </c>
      <c r="DT35" t="s">
        <v>315</v>
      </c>
      <c r="DU35" t="s">
        <v>315</v>
      </c>
      <c r="DV35" t="s">
        <v>315</v>
      </c>
      <c r="DW35" t="s">
        <v>315</v>
      </c>
      <c r="DX35" t="s">
        <v>315</v>
      </c>
      <c r="DY35" t="s">
        <v>315</v>
      </c>
      <c r="DZ35" t="s">
        <v>315</v>
      </c>
      <c r="EA35" t="s">
        <v>369</v>
      </c>
      <c r="EB35" t="s">
        <v>315</v>
      </c>
      <c r="EC35" t="s">
        <v>315</v>
      </c>
      <c r="ED35" t="s">
        <v>315</v>
      </c>
      <c r="EE35" t="s">
        <v>315</v>
      </c>
      <c r="EF35" t="s">
        <v>315</v>
      </c>
      <c r="EG35" t="s">
        <v>315</v>
      </c>
      <c r="EH35" t="s">
        <v>315</v>
      </c>
      <c r="EI35" t="s">
        <v>315</v>
      </c>
      <c r="EJ35" t="s">
        <v>315</v>
      </c>
      <c r="EK35" t="s">
        <v>315</v>
      </c>
      <c r="EL35" t="s">
        <v>315</v>
      </c>
      <c r="EM35" t="s">
        <v>315</v>
      </c>
      <c r="EN35" t="s">
        <v>315</v>
      </c>
      <c r="EO35" t="s">
        <v>315</v>
      </c>
      <c r="EP35" t="s">
        <v>315</v>
      </c>
      <c r="EQ35" t="s">
        <v>315</v>
      </c>
      <c r="ER35" t="s">
        <v>315</v>
      </c>
      <c r="ES35" t="s">
        <v>315</v>
      </c>
      <c r="ET35" t="s">
        <v>315</v>
      </c>
      <c r="EU35" t="s">
        <v>315</v>
      </c>
      <c r="EV35" t="s">
        <v>315</v>
      </c>
      <c r="EW35" t="s">
        <v>315</v>
      </c>
      <c r="EX35" t="s">
        <v>315</v>
      </c>
      <c r="EY35" t="s">
        <v>315</v>
      </c>
      <c r="EZ35" t="s">
        <v>315</v>
      </c>
      <c r="FA35" t="s">
        <v>315</v>
      </c>
      <c r="FB35" t="s">
        <v>315</v>
      </c>
      <c r="FC35" t="s">
        <v>315</v>
      </c>
      <c r="FD35" t="s">
        <v>315</v>
      </c>
      <c r="FE35" t="s">
        <v>315</v>
      </c>
      <c r="FF35" t="s">
        <v>315</v>
      </c>
      <c r="FG35" t="s">
        <v>315</v>
      </c>
      <c r="FH35" t="s">
        <v>315</v>
      </c>
      <c r="FI35" t="s">
        <v>315</v>
      </c>
      <c r="FJ35" t="s">
        <v>315</v>
      </c>
      <c r="FK35" t="s">
        <v>315</v>
      </c>
      <c r="FL35" t="s">
        <v>315</v>
      </c>
      <c r="FM35" t="s">
        <v>315</v>
      </c>
      <c r="FN35" t="s">
        <v>315</v>
      </c>
      <c r="FO35" t="s">
        <v>315</v>
      </c>
      <c r="FP35" t="s">
        <v>315</v>
      </c>
      <c r="FQ35" t="s">
        <v>315</v>
      </c>
      <c r="FR35" t="s">
        <v>315</v>
      </c>
      <c r="FS35" t="s">
        <v>315</v>
      </c>
      <c r="FT35" t="s">
        <v>315</v>
      </c>
    </row>
    <row r="36">
      <c r="A36" s="379"/>
      <c r="B36" s="380" t="s">
        <v>1092</v>
      </c>
      <c r="C36" s="381" t="s">
        <v>1094</v>
      </c>
      <c r="D36" s="380" t="s">
        <v>98</v>
      </c>
      <c r="E36" s="382"/>
      <c r="F36" s="78" t="str">
        <f t="array" ref="F36:ALQ36">transpose(Filtered!AG2:AG1005)</f>
        <v>https://journals.lww.com/academicmedicine/Pages/InstructionsforAuthors.aspx#publicationaheadofprint</v>
      </c>
      <c r="G36" t="s">
        <v>442</v>
      </c>
      <c r="H36" s="78" t="s">
        <v>414</v>
      </c>
      <c r="I36" s="78" t="s">
        <v>491</v>
      </c>
      <c r="J36" s="78" t="s">
        <v>527</v>
      </c>
      <c r="K36" s="78" t="s">
        <v>545</v>
      </c>
      <c r="L36" t="s">
        <v>576</v>
      </c>
      <c r="M36" s="78" t="s">
        <v>584</v>
      </c>
      <c r="N36" s="78" t="s">
        <v>600</v>
      </c>
      <c r="O36" s="78" t="s">
        <v>608</v>
      </c>
      <c r="P36" s="78" t="s">
        <v>612</v>
      </c>
      <c r="S36" s="78" t="s">
        <v>657</v>
      </c>
      <c r="T36" s="78" t="s">
        <v>668</v>
      </c>
      <c r="U36" s="78" t="s">
        <v>449</v>
      </c>
      <c r="V36" s="78" t="s">
        <v>710</v>
      </c>
      <c r="W36" s="78" t="s">
        <v>743</v>
      </c>
      <c r="X36" s="78" t="s">
        <v>761</v>
      </c>
      <c r="Y36" s="78" t="s">
        <v>761</v>
      </c>
      <c r="Z36" s="78" t="s">
        <v>710</v>
      </c>
      <c r="AB36" s="78" t="s">
        <v>790</v>
      </c>
      <c r="AC36" t="s">
        <v>807</v>
      </c>
      <c r="AD36" s="78" t="s">
        <v>839</v>
      </c>
      <c r="AE36" s="78" t="s">
        <v>743</v>
      </c>
      <c r="AF36" s="78" t="s">
        <v>904</v>
      </c>
      <c r="AG36" s="78" t="s">
        <v>912</v>
      </c>
      <c r="AH36" s="78" t="s">
        <v>922</v>
      </c>
      <c r="AI36" s="78" t="s">
        <v>935</v>
      </c>
      <c r="AJ36" s="78" t="s">
        <v>947</v>
      </c>
      <c r="AK36" s="78" t="s">
        <v>955</v>
      </c>
      <c r="AL36" s="78" t="s">
        <v>960</v>
      </c>
      <c r="AM36" s="78" t="s">
        <v>955</v>
      </c>
      <c r="AN36" s="78" t="s">
        <v>1002</v>
      </c>
      <c r="AO36" s="78" t="s">
        <v>1024</v>
      </c>
      <c r="AP36" s="78" t="s">
        <v>1024</v>
      </c>
      <c r="AQ36" s="78" t="s">
        <v>912</v>
      </c>
      <c r="AR36" s="78" t="s">
        <v>480</v>
      </c>
      <c r="AS36" s="78" t="s">
        <v>1065</v>
      </c>
      <c r="AU36" s="78" t="s">
        <v>1086</v>
      </c>
      <c r="AV36" s="78" t="s">
        <v>1104</v>
      </c>
      <c r="AW36" s="78" t="s">
        <v>1107</v>
      </c>
      <c r="AX36" s="78" t="s">
        <v>1117</v>
      </c>
      <c r="AZ36" s="78" t="s">
        <v>492</v>
      </c>
      <c r="BA36" s="78" t="s">
        <v>1132</v>
      </c>
      <c r="BB36" s="78" t="s">
        <v>1133</v>
      </c>
      <c r="BC36" s="78" t="s">
        <v>761</v>
      </c>
      <c r="BD36" s="78" t="s">
        <v>761</v>
      </c>
      <c r="BE36" s="78" t="s">
        <v>743</v>
      </c>
      <c r="BF36" s="78" t="s">
        <v>506</v>
      </c>
      <c r="BG36" s="78" t="s">
        <v>511</v>
      </c>
      <c r="BH36" s="78" t="s">
        <v>1142</v>
      </c>
      <c r="BI36" s="78" t="s">
        <v>1142</v>
      </c>
      <c r="BJ36" s="78" t="s">
        <v>1143</v>
      </c>
      <c r="BK36" s="78" t="s">
        <v>1144</v>
      </c>
      <c r="BL36" s="78" t="s">
        <v>1146</v>
      </c>
      <c r="BM36" s="78" t="s">
        <v>1146</v>
      </c>
      <c r="BN36" s="78" t="s">
        <v>1146</v>
      </c>
      <c r="BO36" s="78" t="s">
        <v>1146</v>
      </c>
      <c r="BP36" s="78" t="s">
        <v>1146</v>
      </c>
      <c r="BQ36" s="78" t="s">
        <v>1151</v>
      </c>
      <c r="BS36" s="78" t="s">
        <v>1152</v>
      </c>
      <c r="BT36" s="78" t="s">
        <v>1153</v>
      </c>
      <c r="BU36" s="78" t="s">
        <v>761</v>
      </c>
      <c r="BV36" s="78" t="s">
        <v>761</v>
      </c>
      <c r="BX36" s="78" t="s">
        <v>761</v>
      </c>
      <c r="BY36" s="78" t="s">
        <v>761</v>
      </c>
      <c r="BZ36" s="78" t="s">
        <v>1155</v>
      </c>
      <c r="CA36" s="78" t="s">
        <v>1156</v>
      </c>
      <c r="CB36" s="78" t="s">
        <v>1157</v>
      </c>
      <c r="CD36" s="78" t="s">
        <v>1158</v>
      </c>
      <c r="CE36" t="s">
        <v>1159</v>
      </c>
      <c r="CF36" t="s">
        <v>1160</v>
      </c>
      <c r="CG36" s="78" t="s">
        <v>761</v>
      </c>
      <c r="CH36" s="78" t="s">
        <v>1163</v>
      </c>
      <c r="CI36" s="78" t="s">
        <v>657</v>
      </c>
      <c r="CJ36" s="78" t="s">
        <v>955</v>
      </c>
      <c r="CK36" t="s">
        <v>1165</v>
      </c>
      <c r="CL36" s="78" t="s">
        <v>568</v>
      </c>
      <c r="CM36" s="78" t="s">
        <v>574</v>
      </c>
      <c r="CO36" s="78" t="s">
        <v>657</v>
      </c>
      <c r="CR36" s="78" t="s">
        <v>1166</v>
      </c>
      <c r="CW36" s="78" t="s">
        <v>1167</v>
      </c>
      <c r="CX36" s="78" t="s">
        <v>592</v>
      </c>
      <c r="CY36" t="s">
        <v>1168</v>
      </c>
      <c r="CZ36" s="78" t="s">
        <v>1169</v>
      </c>
      <c r="DA36" s="78" t="s">
        <v>955</v>
      </c>
      <c r="DB36" s="78" t="s">
        <v>1170</v>
      </c>
      <c r="DC36" s="78" t="s">
        <v>1170</v>
      </c>
      <c r="DD36" s="78" t="s">
        <v>1170</v>
      </c>
      <c r="DE36" s="78" t="s">
        <v>1170</v>
      </c>
      <c r="DF36" s="78" t="s">
        <v>1170</v>
      </c>
      <c r="DG36" s="78" t="s">
        <v>1170</v>
      </c>
      <c r="DH36" s="78" t="s">
        <v>1170</v>
      </c>
      <c r="DI36" s="78" t="s">
        <v>1170</v>
      </c>
      <c r="DJ36" s="78" t="s">
        <v>1170</v>
      </c>
      <c r="DK36" s="78" t="s">
        <v>1170</v>
      </c>
      <c r="DL36" s="78" t="s">
        <v>1170</v>
      </c>
      <c r="DM36" s="78" t="s">
        <v>1170</v>
      </c>
      <c r="DN36" s="78" t="s">
        <v>1170</v>
      </c>
      <c r="DO36" s="78" t="s">
        <v>1170</v>
      </c>
      <c r="DP36" s="78" t="s">
        <v>1170</v>
      </c>
      <c r="DW36" s="78" t="s">
        <v>622</v>
      </c>
      <c r="DX36" s="78" t="s">
        <v>761</v>
      </c>
      <c r="DY36" s="78" t="s">
        <v>919</v>
      </c>
      <c r="EA36" s="78" t="s">
        <v>1180</v>
      </c>
      <c r="EB36" s="78" t="s">
        <v>1182</v>
      </c>
      <c r="EK36" s="78" t="s">
        <v>650</v>
      </c>
      <c r="EL36" s="78" t="s">
        <v>1183</v>
      </c>
      <c r="EM36" t="s">
        <v>1184</v>
      </c>
      <c r="EN36" t="s">
        <v>1185</v>
      </c>
      <c r="EO36" s="78" t="s">
        <v>1186</v>
      </c>
      <c r="EQ36" t="s">
        <v>1187</v>
      </c>
      <c r="ER36" t="s">
        <v>1187</v>
      </c>
      <c r="ES36" s="78" t="s">
        <v>1188</v>
      </c>
      <c r="ET36" s="78" t="s">
        <v>1079</v>
      </c>
      <c r="EU36" s="78" t="s">
        <v>1190</v>
      </c>
      <c r="EV36" s="78" t="s">
        <v>672</v>
      </c>
      <c r="EW36" s="78" t="s">
        <v>1192</v>
      </c>
      <c r="EX36" t="s">
        <v>1199</v>
      </c>
      <c r="EY36" t="s">
        <v>1200</v>
      </c>
      <c r="EZ36" s="78" t="s">
        <v>682</v>
      </c>
      <c r="FB36" t="s">
        <v>1203</v>
      </c>
      <c r="FC36" s="78" t="s">
        <v>1204</v>
      </c>
      <c r="FF36" s="78" t="s">
        <v>1205</v>
      </c>
      <c r="FG36" s="78" t="s">
        <v>1206</v>
      </c>
      <c r="FH36" s="78" t="s">
        <v>697</v>
      </c>
      <c r="FI36" s="78" t="s">
        <v>1210</v>
      </c>
      <c r="FJ36" s="78" t="s">
        <v>936</v>
      </c>
      <c r="FK36" t="s">
        <v>1211</v>
      </c>
      <c r="FL36" s="78" t="s">
        <v>705</v>
      </c>
      <c r="FM36" t="s">
        <v>1214</v>
      </c>
      <c r="FO36" s="78" t="s">
        <v>1215</v>
      </c>
      <c r="FP36" s="78" t="s">
        <v>1156</v>
      </c>
      <c r="FQ36" s="78" t="s">
        <v>1156</v>
      </c>
      <c r="FR36" t="s">
        <v>1223</v>
      </c>
      <c r="FS36" s="78" t="s">
        <v>761</v>
      </c>
      <c r="FT36" s="78" t="s">
        <v>761</v>
      </c>
    </row>
    <row r="37">
      <c r="A37" s="379" t="s">
        <v>1229</v>
      </c>
      <c r="B37" s="380" t="s">
        <v>44</v>
      </c>
      <c r="C37" s="381" t="s">
        <v>84</v>
      </c>
      <c r="D37" s="380" t="s">
        <v>179</v>
      </c>
      <c r="E37" s="467" t="s">
        <v>1230</v>
      </c>
      <c r="F37" t="str">
        <f t="array" ref="F37:ALQ37">transpose(Filtered!AH2:AH1005)</f>
        <v>Unsure (prerints allowed, but unclear which version</v>
      </c>
      <c r="G37" t="s">
        <v>443</v>
      </c>
      <c r="H37" t="s">
        <v>464</v>
      </c>
      <c r="I37" t="s">
        <v>515</v>
      </c>
      <c r="J37" t="s">
        <v>523</v>
      </c>
      <c r="K37" t="s">
        <v>443</v>
      </c>
      <c r="L37" t="s">
        <v>464</v>
      </c>
      <c r="M37" t="s">
        <v>464</v>
      </c>
      <c r="N37" t="s">
        <v>601</v>
      </c>
      <c r="O37" t="s">
        <v>609</v>
      </c>
      <c r="P37" t="s">
        <v>615</v>
      </c>
      <c r="Q37" t="s">
        <v>524</v>
      </c>
      <c r="R37" t="s">
        <v>315</v>
      </c>
      <c r="S37" t="s">
        <v>443</v>
      </c>
      <c r="T37" t="s">
        <v>443</v>
      </c>
      <c r="U37" t="s">
        <v>524</v>
      </c>
      <c r="V37" t="s">
        <v>443</v>
      </c>
      <c r="W37" t="s">
        <v>615</v>
      </c>
      <c r="X37" t="s">
        <v>621</v>
      </c>
      <c r="Y37" t="s">
        <v>621</v>
      </c>
      <c r="Z37" t="s">
        <v>781</v>
      </c>
      <c r="AA37" t="s">
        <v>524</v>
      </c>
      <c r="AB37" t="s">
        <v>315</v>
      </c>
      <c r="AC37" t="s">
        <v>808</v>
      </c>
      <c r="AD37" t="s">
        <v>443</v>
      </c>
      <c r="AE37" t="s">
        <v>621</v>
      </c>
      <c r="AF37" t="s">
        <v>443</v>
      </c>
      <c r="AG37" t="s">
        <v>443</v>
      </c>
      <c r="AH37" t="s">
        <v>443</v>
      </c>
      <c r="AI37" t="s">
        <v>443</v>
      </c>
      <c r="AJ37" t="s">
        <v>443</v>
      </c>
      <c r="AK37" t="s">
        <v>609</v>
      </c>
      <c r="AL37" t="s">
        <v>961</v>
      </c>
      <c r="AM37" t="s">
        <v>443</v>
      </c>
      <c r="AN37" t="s">
        <v>443</v>
      </c>
      <c r="AO37" t="s">
        <v>443</v>
      </c>
      <c r="AP37" t="s">
        <v>443</v>
      </c>
      <c r="AQ37" t="s">
        <v>443</v>
      </c>
      <c r="AR37" t="s">
        <v>621</v>
      </c>
      <c r="AS37" t="s">
        <v>609</v>
      </c>
      <c r="AT37" t="s">
        <v>524</v>
      </c>
      <c r="AU37" t="s">
        <v>1091</v>
      </c>
      <c r="AV37" t="s">
        <v>443</v>
      </c>
      <c r="AW37" t="s">
        <v>609</v>
      </c>
      <c r="AX37" t="s">
        <v>443</v>
      </c>
      <c r="AY37" t="s">
        <v>524</v>
      </c>
      <c r="AZ37" t="s">
        <v>524</v>
      </c>
      <c r="BA37" t="s">
        <v>615</v>
      </c>
      <c r="BB37" t="s">
        <v>615</v>
      </c>
      <c r="BC37" t="s">
        <v>1171</v>
      </c>
      <c r="BD37" t="s">
        <v>1171</v>
      </c>
      <c r="BE37" t="s">
        <v>1207</v>
      </c>
      <c r="BF37" t="s">
        <v>1224</v>
      </c>
      <c r="BG37" t="s">
        <v>443</v>
      </c>
      <c r="BH37" t="s">
        <v>443</v>
      </c>
      <c r="BI37" t="s">
        <v>443</v>
      </c>
      <c r="BJ37" t="s">
        <v>609</v>
      </c>
      <c r="BK37" t="s">
        <v>621</v>
      </c>
      <c r="BL37" t="s">
        <v>443</v>
      </c>
      <c r="BM37" t="s">
        <v>1238</v>
      </c>
      <c r="BN37" t="s">
        <v>443</v>
      </c>
      <c r="BO37" t="s">
        <v>443</v>
      </c>
      <c r="BP37" t="s">
        <v>443</v>
      </c>
      <c r="BQ37" t="s">
        <v>443</v>
      </c>
      <c r="BR37" t="s">
        <v>524</v>
      </c>
      <c r="BS37" t="s">
        <v>609</v>
      </c>
      <c r="BT37" t="s">
        <v>464</v>
      </c>
      <c r="BU37" t="s">
        <v>315</v>
      </c>
      <c r="BV37" t="s">
        <v>524</v>
      </c>
      <c r="BW37" t="s">
        <v>524</v>
      </c>
      <c r="BX37" t="s">
        <v>315</v>
      </c>
      <c r="BY37" t="s">
        <v>810</v>
      </c>
      <c r="BZ37" t="s">
        <v>443</v>
      </c>
      <c r="CA37" t="s">
        <v>443</v>
      </c>
      <c r="CB37" t="s">
        <v>621</v>
      </c>
      <c r="CC37" t="s">
        <v>524</v>
      </c>
      <c r="CD37" t="s">
        <v>315</v>
      </c>
      <c r="CE37" t="s">
        <v>615</v>
      </c>
      <c r="CF37" t="s">
        <v>615</v>
      </c>
      <c r="CG37" t="s">
        <v>615</v>
      </c>
      <c r="CH37" t="s">
        <v>621</v>
      </c>
      <c r="CI37" t="s">
        <v>443</v>
      </c>
      <c r="CJ37" t="s">
        <v>443</v>
      </c>
      <c r="CK37" t="s">
        <v>615</v>
      </c>
      <c r="CL37" t="s">
        <v>615</v>
      </c>
      <c r="CM37" t="s">
        <v>1239</v>
      </c>
      <c r="CN37" t="s">
        <v>524</v>
      </c>
      <c r="CO37" t="s">
        <v>443</v>
      </c>
      <c r="CP37" t="s">
        <v>524</v>
      </c>
      <c r="CQ37" t="s">
        <v>524</v>
      </c>
      <c r="CR37" t="s">
        <v>615</v>
      </c>
      <c r="CS37" t="s">
        <v>524</v>
      </c>
      <c r="CT37" t="s">
        <v>615</v>
      </c>
      <c r="CU37" t="s">
        <v>524</v>
      </c>
      <c r="CV37" t="s">
        <v>524</v>
      </c>
      <c r="CW37" t="s">
        <v>1240</v>
      </c>
      <c r="CX37" t="s">
        <v>443</v>
      </c>
      <c r="CY37" t="s">
        <v>621</v>
      </c>
      <c r="CZ37" t="s">
        <v>443</v>
      </c>
      <c r="DA37" t="s">
        <v>443</v>
      </c>
      <c r="DB37" t="s">
        <v>443</v>
      </c>
      <c r="DC37" t="s">
        <v>443</v>
      </c>
      <c r="DD37" t="s">
        <v>443</v>
      </c>
      <c r="DE37" t="s">
        <v>443</v>
      </c>
      <c r="DF37" t="s">
        <v>443</v>
      </c>
      <c r="DG37" t="s">
        <v>443</v>
      </c>
      <c r="DH37" t="s">
        <v>443</v>
      </c>
      <c r="DI37" t="s">
        <v>443</v>
      </c>
      <c r="DJ37" t="s">
        <v>443</v>
      </c>
      <c r="DK37" t="s">
        <v>443</v>
      </c>
      <c r="DL37" t="s">
        <v>443</v>
      </c>
      <c r="DM37" t="s">
        <v>443</v>
      </c>
      <c r="DN37" t="s">
        <v>443</v>
      </c>
      <c r="DO37" t="s">
        <v>443</v>
      </c>
      <c r="DP37" t="s">
        <v>443</v>
      </c>
      <c r="DQ37" t="s">
        <v>524</v>
      </c>
      <c r="DR37" t="s">
        <v>524</v>
      </c>
      <c r="DS37" t="s">
        <v>524</v>
      </c>
      <c r="DT37" t="s">
        <v>524</v>
      </c>
      <c r="DU37" t="s">
        <v>524</v>
      </c>
      <c r="DV37" t="s">
        <v>524</v>
      </c>
      <c r="DW37" t="s">
        <v>1241</v>
      </c>
      <c r="DX37" t="s">
        <v>315</v>
      </c>
      <c r="DY37" t="s">
        <v>443</v>
      </c>
      <c r="DZ37" t="s">
        <v>1242</v>
      </c>
      <c r="EA37" t="s">
        <v>443</v>
      </c>
      <c r="EB37" t="s">
        <v>443</v>
      </c>
      <c r="EC37" t="s">
        <v>524</v>
      </c>
      <c r="ED37" t="s">
        <v>524</v>
      </c>
      <c r="EE37" t="s">
        <v>524</v>
      </c>
      <c r="EF37" t="s">
        <v>524</v>
      </c>
      <c r="EG37" t="s">
        <v>524</v>
      </c>
      <c r="EH37" t="s">
        <v>524</v>
      </c>
      <c r="EI37" t="s">
        <v>524</v>
      </c>
      <c r="EJ37" t="s">
        <v>524</v>
      </c>
      <c r="EK37" t="s">
        <v>443</v>
      </c>
      <c r="EL37" t="s">
        <v>443</v>
      </c>
      <c r="EM37" t="s">
        <v>1243</v>
      </c>
      <c r="EN37" t="s">
        <v>609</v>
      </c>
      <c r="EO37" t="s">
        <v>443</v>
      </c>
      <c r="EP37" t="s">
        <v>524</v>
      </c>
      <c r="EQ37" t="s">
        <v>609</v>
      </c>
      <c r="ER37" t="s">
        <v>443</v>
      </c>
      <c r="ES37" t="s">
        <v>615</v>
      </c>
      <c r="ET37" t="s">
        <v>621</v>
      </c>
      <c r="EU37" t="s">
        <v>443</v>
      </c>
      <c r="EV37" t="s">
        <v>443</v>
      </c>
      <c r="EW37" t="s">
        <v>621</v>
      </c>
      <c r="EX37" t="s">
        <v>1244</v>
      </c>
      <c r="EY37" t="s">
        <v>524</v>
      </c>
      <c r="EZ37" t="s">
        <v>524</v>
      </c>
      <c r="FA37" t="s">
        <v>524</v>
      </c>
      <c r="FB37" t="s">
        <v>1244</v>
      </c>
      <c r="FC37" t="s">
        <v>524</v>
      </c>
      <c r="FD37" t="s">
        <v>524</v>
      </c>
      <c r="FE37" t="s">
        <v>524</v>
      </c>
      <c r="FF37" t="s">
        <v>524</v>
      </c>
      <c r="FG37" t="s">
        <v>1245</v>
      </c>
      <c r="FH37" t="s">
        <v>315</v>
      </c>
      <c r="FI37" t="s">
        <v>1246</v>
      </c>
      <c r="FJ37" t="s">
        <v>1244</v>
      </c>
      <c r="FK37" t="s">
        <v>315</v>
      </c>
      <c r="FL37" t="s">
        <v>315</v>
      </c>
      <c r="FM37" t="s">
        <v>1244</v>
      </c>
      <c r="FN37" t="s">
        <v>524</v>
      </c>
      <c r="FO37" t="s">
        <v>464</v>
      </c>
      <c r="FP37" t="s">
        <v>443</v>
      </c>
      <c r="FQ37" t="s">
        <v>443</v>
      </c>
      <c r="FR37" t="s">
        <v>615</v>
      </c>
      <c r="FS37" t="s">
        <v>443</v>
      </c>
      <c r="FT37" t="s">
        <v>609</v>
      </c>
    </row>
    <row r="38">
      <c r="A38" s="379" t="s">
        <v>1229</v>
      </c>
      <c r="B38" s="380" t="s">
        <v>45</v>
      </c>
      <c r="C38" s="381" t="s">
        <v>85</v>
      </c>
      <c r="D38" s="469" t="s">
        <v>1247</v>
      </c>
      <c r="E38" s="470" t="s">
        <v>615</v>
      </c>
      <c r="F38" t="str">
        <f t="array" ref="F38:ALQ38">transpose(Filtered!AI2:AI1005)</f>
        <v>Not specified</v>
      </c>
      <c r="H38" t="s">
        <v>471</v>
      </c>
      <c r="I38" t="s">
        <v>516</v>
      </c>
      <c r="J38" t="s">
        <v>529</v>
      </c>
      <c r="P38" t="s">
        <v>613</v>
      </c>
      <c r="Q38" t="s">
        <v>324</v>
      </c>
      <c r="S38" t="s">
        <v>659</v>
      </c>
      <c r="T38" t="s">
        <v>686</v>
      </c>
      <c r="V38" t="s">
        <v>724</v>
      </c>
      <c r="W38" t="s">
        <v>744</v>
      </c>
      <c r="Z38" t="s">
        <v>724</v>
      </c>
      <c r="AA38" t="s">
        <v>324</v>
      </c>
      <c r="AB38" t="s">
        <v>324</v>
      </c>
      <c r="AC38" t="s">
        <v>810</v>
      </c>
      <c r="AD38" t="s">
        <v>846</v>
      </c>
      <c r="AE38" t="s">
        <v>881</v>
      </c>
      <c r="AF38" s="78" t="s">
        <v>906</v>
      </c>
      <c r="AG38" t="s">
        <v>913</v>
      </c>
      <c r="AH38" s="78" t="s">
        <v>906</v>
      </c>
      <c r="AI38" s="78" t="s">
        <v>906</v>
      </c>
      <c r="AJ38" s="78" t="s">
        <v>906</v>
      </c>
      <c r="AK38" t="s">
        <v>956</v>
      </c>
      <c r="AL38" t="s">
        <v>324</v>
      </c>
      <c r="AM38" t="s">
        <v>956</v>
      </c>
      <c r="AN38" t="s">
        <v>1018</v>
      </c>
      <c r="AO38" t="s">
        <v>1025</v>
      </c>
      <c r="AP38" t="s">
        <v>1025</v>
      </c>
      <c r="AQ38" t="s">
        <v>913</v>
      </c>
      <c r="AR38" t="s">
        <v>1061</v>
      </c>
      <c r="AS38" t="s">
        <v>1066</v>
      </c>
      <c r="AV38" t="s">
        <v>1105</v>
      </c>
      <c r="AW38" t="s">
        <v>1114</v>
      </c>
      <c r="AX38" t="s">
        <v>1123</v>
      </c>
      <c r="BA38" t="s">
        <v>1137</v>
      </c>
      <c r="BB38" t="s">
        <v>1148</v>
      </c>
      <c r="BC38" t="s">
        <v>1172</v>
      </c>
      <c r="BD38" t="s">
        <v>1172</v>
      </c>
      <c r="BE38" t="s">
        <v>1194</v>
      </c>
      <c r="BF38" t="s">
        <v>1225</v>
      </c>
      <c r="BG38" t="s">
        <v>1237</v>
      </c>
      <c r="BH38" t="s">
        <v>1252</v>
      </c>
      <c r="BI38" t="s">
        <v>1252</v>
      </c>
      <c r="BJ38" t="s">
        <v>1255</v>
      </c>
      <c r="BK38" t="s">
        <v>1256</v>
      </c>
      <c r="BL38" t="s">
        <v>1257</v>
      </c>
      <c r="BM38" t="s">
        <v>1257</v>
      </c>
      <c r="BN38" t="s">
        <v>1257</v>
      </c>
      <c r="BO38" t="s">
        <v>1257</v>
      </c>
      <c r="BP38" t="s">
        <v>1257</v>
      </c>
      <c r="BQ38" t="s">
        <v>1258</v>
      </c>
      <c r="BS38" t="s">
        <v>1259</v>
      </c>
      <c r="BU38" t="s">
        <v>1260</v>
      </c>
      <c r="BW38" t="s">
        <v>324</v>
      </c>
      <c r="BX38" t="s">
        <v>810</v>
      </c>
      <c r="BZ38" t="s">
        <v>1261</v>
      </c>
      <c r="CB38" t="s">
        <v>1262</v>
      </c>
      <c r="CD38" t="s">
        <v>1263</v>
      </c>
      <c r="CE38" t="s">
        <v>1264</v>
      </c>
      <c r="CF38" t="s">
        <v>1265</v>
      </c>
      <c r="CG38" t="s">
        <v>1264</v>
      </c>
      <c r="CH38" t="s">
        <v>1266</v>
      </c>
      <c r="CI38" t="s">
        <v>659</v>
      </c>
      <c r="CJ38" t="s">
        <v>1105</v>
      </c>
      <c r="CK38" t="s">
        <v>1267</v>
      </c>
      <c r="CL38" t="s">
        <v>1268</v>
      </c>
      <c r="CO38" t="s">
        <v>659</v>
      </c>
      <c r="CR38" t="s">
        <v>1267</v>
      </c>
      <c r="CW38" t="s">
        <v>1269</v>
      </c>
      <c r="CX38" t="s">
        <v>1270</v>
      </c>
      <c r="CY38" t="s">
        <v>1271</v>
      </c>
      <c r="CZ38" t="s">
        <v>1272</v>
      </c>
      <c r="DA38" t="s">
        <v>1273</v>
      </c>
      <c r="DC38" t="s">
        <v>324</v>
      </c>
      <c r="DD38" t="s">
        <v>324</v>
      </c>
      <c r="DE38" t="s">
        <v>324</v>
      </c>
      <c r="DF38" t="s">
        <v>324</v>
      </c>
      <c r="DG38" t="s">
        <v>324</v>
      </c>
      <c r="DH38" t="s">
        <v>324</v>
      </c>
      <c r="DI38" t="s">
        <v>324</v>
      </c>
      <c r="DJ38" t="s">
        <v>324</v>
      </c>
      <c r="DK38" t="s">
        <v>324</v>
      </c>
      <c r="DL38" t="s">
        <v>324</v>
      </c>
      <c r="DM38" t="s">
        <v>324</v>
      </c>
      <c r="DN38" t="s">
        <v>324</v>
      </c>
      <c r="DO38" t="s">
        <v>324</v>
      </c>
      <c r="DP38" t="s">
        <v>324</v>
      </c>
      <c r="DW38" t="s">
        <v>1274</v>
      </c>
      <c r="DX38" t="s">
        <v>1275</v>
      </c>
      <c r="DY38" t="s">
        <v>1276</v>
      </c>
      <c r="EA38" t="s">
        <v>1277</v>
      </c>
      <c r="EB38" s="78" t="s">
        <v>1278</v>
      </c>
      <c r="EL38" t="s">
        <v>1281</v>
      </c>
      <c r="EM38" t="s">
        <v>1282</v>
      </c>
      <c r="EO38" t="s">
        <v>1283</v>
      </c>
      <c r="ET38" t="s">
        <v>324</v>
      </c>
      <c r="EU38" t="s">
        <v>1284</v>
      </c>
      <c r="EV38" t="s">
        <v>1284</v>
      </c>
      <c r="EW38" t="s">
        <v>1285</v>
      </c>
      <c r="EX38" t="s">
        <v>1286</v>
      </c>
      <c r="EY38" t="s">
        <v>1287</v>
      </c>
      <c r="EZ38" t="s">
        <v>1288</v>
      </c>
      <c r="FB38" t="s">
        <v>1286</v>
      </c>
      <c r="FC38" t="s">
        <v>1289</v>
      </c>
      <c r="FG38" t="s">
        <v>1290</v>
      </c>
      <c r="FH38" t="s">
        <v>1291</v>
      </c>
      <c r="FJ38" t="s">
        <v>1292</v>
      </c>
      <c r="FK38" t="s">
        <v>1293</v>
      </c>
      <c r="FL38" t="s">
        <v>1294</v>
      </c>
      <c r="FM38" t="s">
        <v>1295</v>
      </c>
      <c r="FQ38" t="s">
        <v>1296</v>
      </c>
      <c r="FR38" t="s">
        <v>1297</v>
      </c>
      <c r="FT38" t="s">
        <v>1172</v>
      </c>
    </row>
    <row r="39">
      <c r="A39" s="379" t="s">
        <v>1229</v>
      </c>
      <c r="B39" s="380" t="s">
        <v>47</v>
      </c>
      <c r="C39" s="473" t="s">
        <v>1298</v>
      </c>
      <c r="D39" s="469" t="s">
        <v>1299</v>
      </c>
      <c r="E39" s="470" t="s">
        <v>366</v>
      </c>
      <c r="F39" t="str">
        <f t="array" ref="F39:ALQ39">transpose(Filtered!AJ2:AJ1005)</f>
        <v>Yes, in the reference list</v>
      </c>
      <c r="G39" t="s">
        <v>315</v>
      </c>
      <c r="H39" t="s">
        <v>315</v>
      </c>
      <c r="I39" t="s">
        <v>315</v>
      </c>
      <c r="J39" t="s">
        <v>324</v>
      </c>
      <c r="K39" t="s">
        <v>324</v>
      </c>
      <c r="L39" t="s">
        <v>324</v>
      </c>
      <c r="M39" t="s">
        <v>324</v>
      </c>
      <c r="N39" t="s">
        <v>324</v>
      </c>
      <c r="O39" t="s">
        <v>324</v>
      </c>
      <c r="P39" t="s">
        <v>324</v>
      </c>
      <c r="Q39" t="s">
        <v>324</v>
      </c>
      <c r="R39" t="s">
        <v>315</v>
      </c>
      <c r="S39" t="s">
        <v>366</v>
      </c>
      <c r="T39" t="s">
        <v>366</v>
      </c>
      <c r="U39" t="s">
        <v>706</v>
      </c>
      <c r="V39" t="s">
        <v>713</v>
      </c>
      <c r="W39" t="s">
        <v>324</v>
      </c>
      <c r="X39" t="s">
        <v>324</v>
      </c>
      <c r="Y39" t="s">
        <v>324</v>
      </c>
      <c r="Z39" t="s">
        <v>713</v>
      </c>
      <c r="AA39" t="s">
        <v>324</v>
      </c>
      <c r="AB39" t="s">
        <v>324</v>
      </c>
      <c r="AC39" t="s">
        <v>324</v>
      </c>
      <c r="AD39" t="s">
        <v>324</v>
      </c>
      <c r="AE39" t="s">
        <v>324</v>
      </c>
      <c r="AF39" t="s">
        <v>324</v>
      </c>
      <c r="AG39" t="s">
        <v>324</v>
      </c>
      <c r="AH39" t="s">
        <v>324</v>
      </c>
      <c r="AI39" t="s">
        <v>324</v>
      </c>
      <c r="AJ39" t="s">
        <v>324</v>
      </c>
      <c r="AK39" t="s">
        <v>366</v>
      </c>
      <c r="AL39" t="s">
        <v>282</v>
      </c>
      <c r="AM39" t="s">
        <v>366</v>
      </c>
      <c r="AN39" t="s">
        <v>315</v>
      </c>
      <c r="AO39" t="s">
        <v>282</v>
      </c>
      <c r="AP39" t="s">
        <v>282</v>
      </c>
      <c r="AQ39" t="s">
        <v>324</v>
      </c>
      <c r="AR39" t="s">
        <v>706</v>
      </c>
      <c r="AS39" t="s">
        <v>324</v>
      </c>
      <c r="AT39" t="s">
        <v>324</v>
      </c>
      <c r="AU39" t="s">
        <v>324</v>
      </c>
      <c r="AV39" t="s">
        <v>324</v>
      </c>
      <c r="AW39" t="s">
        <v>1115</v>
      </c>
      <c r="AX39" t="s">
        <v>1124</v>
      </c>
      <c r="AY39" t="s">
        <v>324</v>
      </c>
      <c r="AZ39" t="s">
        <v>324</v>
      </c>
      <c r="BA39" t="s">
        <v>324</v>
      </c>
      <c r="BB39" t="s">
        <v>324</v>
      </c>
      <c r="BC39" t="s">
        <v>324</v>
      </c>
      <c r="BD39" t="s">
        <v>315</v>
      </c>
      <c r="BE39" t="s">
        <v>324</v>
      </c>
      <c r="BF39" t="s">
        <v>324</v>
      </c>
      <c r="BG39" t="s">
        <v>324</v>
      </c>
      <c r="BH39" t="s">
        <v>324</v>
      </c>
      <c r="BI39" t="s">
        <v>324</v>
      </c>
      <c r="BJ39" t="s">
        <v>315</v>
      </c>
      <c r="BK39" t="s">
        <v>366</v>
      </c>
      <c r="BL39" t="s">
        <v>324</v>
      </c>
      <c r="BM39" t="s">
        <v>324</v>
      </c>
      <c r="BN39" t="s">
        <v>324</v>
      </c>
      <c r="BO39" t="s">
        <v>324</v>
      </c>
      <c r="BP39" t="s">
        <v>324</v>
      </c>
      <c r="BQ39" t="s">
        <v>1300</v>
      </c>
      <c r="BR39" t="s">
        <v>324</v>
      </c>
      <c r="BS39" t="s">
        <v>324</v>
      </c>
      <c r="BT39" t="s">
        <v>324</v>
      </c>
      <c r="BU39" t="s">
        <v>324</v>
      </c>
      <c r="BV39" t="s">
        <v>324</v>
      </c>
      <c r="BW39" t="s">
        <v>324</v>
      </c>
      <c r="BX39" t="s">
        <v>324</v>
      </c>
      <c r="BY39" t="s">
        <v>324</v>
      </c>
      <c r="BZ39" t="s">
        <v>324</v>
      </c>
      <c r="CA39" t="s">
        <v>324</v>
      </c>
      <c r="CB39" t="s">
        <v>315</v>
      </c>
      <c r="CC39" t="s">
        <v>324</v>
      </c>
      <c r="CD39" t="s">
        <v>324</v>
      </c>
      <c r="CE39" t="s">
        <v>324</v>
      </c>
      <c r="CF39" t="s">
        <v>1301</v>
      </c>
      <c r="CG39" t="s">
        <v>324</v>
      </c>
      <c r="CH39" t="s">
        <v>366</v>
      </c>
      <c r="CI39" t="s">
        <v>315</v>
      </c>
      <c r="CJ39" t="s">
        <v>366</v>
      </c>
      <c r="CK39" t="s">
        <v>315</v>
      </c>
      <c r="CL39" t="s">
        <v>315</v>
      </c>
      <c r="CM39" t="s">
        <v>324</v>
      </c>
      <c r="CN39" t="s">
        <v>315</v>
      </c>
      <c r="CO39" t="s">
        <v>315</v>
      </c>
      <c r="CP39" t="s">
        <v>324</v>
      </c>
      <c r="CQ39" t="s">
        <v>324</v>
      </c>
      <c r="CR39" t="s">
        <v>324</v>
      </c>
      <c r="CS39" t="s">
        <v>324</v>
      </c>
      <c r="CT39" t="s">
        <v>324</v>
      </c>
      <c r="CU39" t="s">
        <v>324</v>
      </c>
      <c r="CV39" t="s">
        <v>324</v>
      </c>
      <c r="CW39" t="s">
        <v>324</v>
      </c>
      <c r="CX39" t="s">
        <v>1302</v>
      </c>
      <c r="CY39" t="s">
        <v>1303</v>
      </c>
      <c r="CZ39" t="s">
        <v>1304</v>
      </c>
      <c r="DA39" t="s">
        <v>324</v>
      </c>
      <c r="DB39" t="s">
        <v>1305</v>
      </c>
      <c r="DC39" t="s">
        <v>366</v>
      </c>
      <c r="DD39" t="s">
        <v>366</v>
      </c>
      <c r="DE39" t="s">
        <v>366</v>
      </c>
      <c r="DF39" t="s">
        <v>366</v>
      </c>
      <c r="DG39" t="s">
        <v>1305</v>
      </c>
      <c r="DH39" t="s">
        <v>366</v>
      </c>
      <c r="DI39" t="s">
        <v>366</v>
      </c>
      <c r="DJ39" t="s">
        <v>366</v>
      </c>
      <c r="DK39" t="s">
        <v>366</v>
      </c>
      <c r="DL39" t="s">
        <v>366</v>
      </c>
      <c r="DM39" t="s">
        <v>366</v>
      </c>
      <c r="DN39" t="s">
        <v>366</v>
      </c>
      <c r="DO39" t="s">
        <v>366</v>
      </c>
      <c r="DP39" t="s">
        <v>366</v>
      </c>
      <c r="DQ39" t="s">
        <v>324</v>
      </c>
      <c r="DR39" t="s">
        <v>324</v>
      </c>
      <c r="DS39" t="s">
        <v>324</v>
      </c>
      <c r="DT39" t="s">
        <v>324</v>
      </c>
      <c r="DU39" t="s">
        <v>324</v>
      </c>
      <c r="DV39" t="s">
        <v>324</v>
      </c>
      <c r="DW39" t="s">
        <v>1306</v>
      </c>
      <c r="DX39" t="s">
        <v>315</v>
      </c>
      <c r="DY39" t="s">
        <v>324</v>
      </c>
      <c r="DZ39" t="s">
        <v>324</v>
      </c>
      <c r="EA39" t="s">
        <v>366</v>
      </c>
      <c r="EB39" t="s">
        <v>366</v>
      </c>
      <c r="EC39" t="s">
        <v>713</v>
      </c>
      <c r="ED39" t="s">
        <v>324</v>
      </c>
      <c r="EE39" t="s">
        <v>324</v>
      </c>
      <c r="EF39" t="s">
        <v>1307</v>
      </c>
      <c r="EG39" t="s">
        <v>1308</v>
      </c>
      <c r="EH39" t="s">
        <v>1309</v>
      </c>
      <c r="EI39" t="s">
        <v>315</v>
      </c>
      <c r="EJ39" t="s">
        <v>366</v>
      </c>
      <c r="EK39" t="s">
        <v>324</v>
      </c>
      <c r="EL39" t="s">
        <v>466</v>
      </c>
      <c r="EM39" t="s">
        <v>324</v>
      </c>
      <c r="EN39" t="s">
        <v>324</v>
      </c>
      <c r="EO39" t="s">
        <v>324</v>
      </c>
      <c r="EP39" t="s">
        <v>324</v>
      </c>
      <c r="EQ39" t="s">
        <v>324</v>
      </c>
      <c r="ER39" t="s">
        <v>324</v>
      </c>
      <c r="ES39" t="s">
        <v>324</v>
      </c>
      <c r="ET39" t="s">
        <v>324</v>
      </c>
      <c r="EU39" t="s">
        <v>324</v>
      </c>
      <c r="EV39" t="s">
        <v>324</v>
      </c>
      <c r="EW39" t="s">
        <v>1310</v>
      </c>
      <c r="EX39" t="s">
        <v>315</v>
      </c>
      <c r="EY39" t="s">
        <v>369</v>
      </c>
      <c r="EZ39" t="s">
        <v>324</v>
      </c>
      <c r="FA39" t="s">
        <v>324</v>
      </c>
      <c r="FB39" t="s">
        <v>324</v>
      </c>
      <c r="FC39" t="s">
        <v>315</v>
      </c>
      <c r="FD39" t="s">
        <v>315</v>
      </c>
      <c r="FE39" t="s">
        <v>315</v>
      </c>
      <c r="FF39" t="s">
        <v>1311</v>
      </c>
      <c r="FG39" t="s">
        <v>315</v>
      </c>
      <c r="FH39" t="s">
        <v>315</v>
      </c>
      <c r="FI39" t="s">
        <v>315</v>
      </c>
      <c r="FJ39" t="s">
        <v>315</v>
      </c>
      <c r="FK39" t="s">
        <v>324</v>
      </c>
      <c r="FL39" t="s">
        <v>324</v>
      </c>
      <c r="FM39" t="s">
        <v>324</v>
      </c>
      <c r="FN39" t="s">
        <v>324</v>
      </c>
      <c r="FO39" t="s">
        <v>324</v>
      </c>
      <c r="FP39" t="s">
        <v>324</v>
      </c>
      <c r="FQ39" t="s">
        <v>324</v>
      </c>
      <c r="FR39" t="s">
        <v>324</v>
      </c>
      <c r="FS39" t="s">
        <v>315</v>
      </c>
      <c r="FT39" t="s">
        <v>324</v>
      </c>
    </row>
    <row r="40">
      <c r="A40" s="379" t="s">
        <v>1229</v>
      </c>
      <c r="B40" s="380" t="s">
        <v>48</v>
      </c>
      <c r="C40" s="381" t="s">
        <v>88</v>
      </c>
      <c r="D40" s="380" t="s">
        <v>107</v>
      </c>
      <c r="E40" s="467" t="s">
        <v>282</v>
      </c>
      <c r="F40" t="str">
        <f t="array" ref="F40:ALQ40">transpose(Filtered!AK2:AK1005)</f>
        <v>Yes</v>
      </c>
      <c r="G40" t="s">
        <v>282</v>
      </c>
      <c r="H40" t="s">
        <v>282</v>
      </c>
      <c r="I40" t="s">
        <v>315</v>
      </c>
      <c r="J40" t="s">
        <v>282</v>
      </c>
      <c r="K40" t="s">
        <v>315</v>
      </c>
      <c r="N40" t="s">
        <v>282</v>
      </c>
      <c r="O40" t="s">
        <v>315</v>
      </c>
      <c r="P40" t="s">
        <v>315</v>
      </c>
      <c r="Q40" t="s">
        <v>282</v>
      </c>
      <c r="R40" t="s">
        <v>315</v>
      </c>
      <c r="S40" t="s">
        <v>315</v>
      </c>
      <c r="T40" t="s">
        <v>315</v>
      </c>
      <c r="U40" t="s">
        <v>315</v>
      </c>
      <c r="V40" t="s">
        <v>315</v>
      </c>
      <c r="W40" t="s">
        <v>282</v>
      </c>
      <c r="X40" t="s">
        <v>282</v>
      </c>
      <c r="Y40" t="s">
        <v>282</v>
      </c>
      <c r="Z40" t="s">
        <v>315</v>
      </c>
      <c r="AA40" t="s">
        <v>315</v>
      </c>
      <c r="AB40" t="s">
        <v>315</v>
      </c>
      <c r="AC40" t="s">
        <v>282</v>
      </c>
      <c r="AD40" t="s">
        <v>315</v>
      </c>
      <c r="AE40" t="s">
        <v>315</v>
      </c>
      <c r="AF40" t="s">
        <v>315</v>
      </c>
      <c r="AG40" t="s">
        <v>315</v>
      </c>
      <c r="AH40" t="s">
        <v>315</v>
      </c>
      <c r="AI40" t="s">
        <v>315</v>
      </c>
      <c r="AJ40" t="s">
        <v>315</v>
      </c>
      <c r="AK40" t="s">
        <v>315</v>
      </c>
      <c r="AL40" t="s">
        <v>315</v>
      </c>
      <c r="AM40" t="s">
        <v>315</v>
      </c>
      <c r="AN40" t="s">
        <v>315</v>
      </c>
      <c r="AO40" t="s">
        <v>315</v>
      </c>
      <c r="AP40" t="s">
        <v>315</v>
      </c>
      <c r="AQ40" t="s">
        <v>315</v>
      </c>
      <c r="AR40" t="s">
        <v>315</v>
      </c>
      <c r="AS40" t="s">
        <v>315</v>
      </c>
      <c r="AT40" t="s">
        <v>315</v>
      </c>
      <c r="AU40" t="s">
        <v>315</v>
      </c>
      <c r="AV40" t="s">
        <v>315</v>
      </c>
      <c r="AW40" t="s">
        <v>315</v>
      </c>
      <c r="AX40" t="s">
        <v>315</v>
      </c>
      <c r="AY40" t="s">
        <v>315</v>
      </c>
      <c r="AZ40" t="s">
        <v>315</v>
      </c>
      <c r="BA40" t="s">
        <v>315</v>
      </c>
      <c r="BB40" t="s">
        <v>315</v>
      </c>
      <c r="BC40" t="s">
        <v>315</v>
      </c>
      <c r="BD40" t="s">
        <v>315</v>
      </c>
      <c r="BE40" t="s">
        <v>315</v>
      </c>
      <c r="BF40" t="s">
        <v>315</v>
      </c>
      <c r="BG40" t="s">
        <v>315</v>
      </c>
      <c r="BH40" t="s">
        <v>315</v>
      </c>
      <c r="BI40" t="s">
        <v>315</v>
      </c>
      <c r="BJ40" t="s">
        <v>315</v>
      </c>
      <c r="BK40" t="s">
        <v>315</v>
      </c>
      <c r="BL40" t="s">
        <v>315</v>
      </c>
      <c r="BM40" t="s">
        <v>315</v>
      </c>
      <c r="BO40" t="s">
        <v>315</v>
      </c>
      <c r="BP40" t="s">
        <v>315</v>
      </c>
      <c r="BQ40" t="s">
        <v>315</v>
      </c>
      <c r="BR40" t="s">
        <v>315</v>
      </c>
      <c r="BS40" t="s">
        <v>315</v>
      </c>
      <c r="BT40" t="s">
        <v>282</v>
      </c>
      <c r="BU40" t="s">
        <v>315</v>
      </c>
      <c r="BV40" t="s">
        <v>315</v>
      </c>
      <c r="BW40" t="s">
        <v>315</v>
      </c>
      <c r="BX40" t="s">
        <v>315</v>
      </c>
      <c r="BY40" t="s">
        <v>315</v>
      </c>
      <c r="BZ40" t="s">
        <v>315</v>
      </c>
      <c r="CB40" t="s">
        <v>315</v>
      </c>
      <c r="CC40" t="s">
        <v>315</v>
      </c>
      <c r="CD40" t="s">
        <v>315</v>
      </c>
      <c r="CE40" t="s">
        <v>315</v>
      </c>
      <c r="CF40" t="s">
        <v>315</v>
      </c>
      <c r="CG40" t="s">
        <v>315</v>
      </c>
      <c r="CH40" t="s">
        <v>315</v>
      </c>
      <c r="CI40" t="s">
        <v>315</v>
      </c>
      <c r="CJ40" t="s">
        <v>315</v>
      </c>
      <c r="CK40" t="s">
        <v>315</v>
      </c>
      <c r="CL40" t="s">
        <v>315</v>
      </c>
      <c r="CM40" t="s">
        <v>282</v>
      </c>
      <c r="CN40" t="s">
        <v>315</v>
      </c>
      <c r="CO40" t="s">
        <v>315</v>
      </c>
      <c r="CR40" t="s">
        <v>315</v>
      </c>
      <c r="CS40" t="s">
        <v>315</v>
      </c>
      <c r="CU40" t="s">
        <v>315</v>
      </c>
      <c r="CV40" t="s">
        <v>315</v>
      </c>
      <c r="CW40" t="s">
        <v>282</v>
      </c>
      <c r="CX40" t="s">
        <v>315</v>
      </c>
      <c r="CY40" t="s">
        <v>315</v>
      </c>
      <c r="DA40" t="s">
        <v>315</v>
      </c>
      <c r="DB40" t="s">
        <v>369</v>
      </c>
      <c r="DG40" t="s">
        <v>369</v>
      </c>
      <c r="DQ40" t="s">
        <v>315</v>
      </c>
      <c r="DR40" t="s">
        <v>315</v>
      </c>
      <c r="DS40" t="s">
        <v>315</v>
      </c>
      <c r="DT40" t="s">
        <v>315</v>
      </c>
      <c r="DU40" t="s">
        <v>315</v>
      </c>
      <c r="DV40" t="s">
        <v>315</v>
      </c>
      <c r="DW40" t="s">
        <v>315</v>
      </c>
      <c r="DX40" t="s">
        <v>315</v>
      </c>
      <c r="DY40" t="s">
        <v>315</v>
      </c>
      <c r="DZ40" t="s">
        <v>315</v>
      </c>
      <c r="EA40" t="s">
        <v>369</v>
      </c>
      <c r="EB40" t="s">
        <v>315</v>
      </c>
      <c r="EC40" t="s">
        <v>315</v>
      </c>
      <c r="ED40" t="s">
        <v>315</v>
      </c>
      <c r="EE40" t="s">
        <v>315</v>
      </c>
      <c r="EF40" t="s">
        <v>315</v>
      </c>
      <c r="EI40" t="s">
        <v>315</v>
      </c>
      <c r="EJ40" t="s">
        <v>315</v>
      </c>
      <c r="EK40" t="s">
        <v>369</v>
      </c>
      <c r="EL40" t="s">
        <v>369</v>
      </c>
      <c r="EM40" t="s">
        <v>315</v>
      </c>
      <c r="EN40" t="s">
        <v>315</v>
      </c>
      <c r="EO40" t="s">
        <v>315</v>
      </c>
      <c r="EP40" t="s">
        <v>315</v>
      </c>
      <c r="EQ40" t="s">
        <v>315</v>
      </c>
      <c r="ER40" t="s">
        <v>315</v>
      </c>
      <c r="ES40" t="s">
        <v>315</v>
      </c>
      <c r="ET40" t="s">
        <v>315</v>
      </c>
      <c r="EU40" t="s">
        <v>315</v>
      </c>
      <c r="EV40" t="s">
        <v>315</v>
      </c>
      <c r="EW40" t="s">
        <v>369</v>
      </c>
      <c r="EX40" t="s">
        <v>315</v>
      </c>
      <c r="EY40" t="s">
        <v>315</v>
      </c>
      <c r="EZ40" t="s">
        <v>315</v>
      </c>
      <c r="FA40" t="s">
        <v>315</v>
      </c>
      <c r="FB40" t="s">
        <v>315</v>
      </c>
      <c r="FC40" t="s">
        <v>315</v>
      </c>
      <c r="FD40" t="s">
        <v>315</v>
      </c>
      <c r="FE40" t="s">
        <v>315</v>
      </c>
      <c r="FF40" t="s">
        <v>315</v>
      </c>
      <c r="FG40" t="s">
        <v>315</v>
      </c>
      <c r="FH40" t="s">
        <v>315</v>
      </c>
      <c r="FI40" t="s">
        <v>315</v>
      </c>
      <c r="FJ40" t="s">
        <v>315</v>
      </c>
      <c r="FK40" t="s">
        <v>315</v>
      </c>
      <c r="FL40" t="s">
        <v>315</v>
      </c>
      <c r="FM40" t="s">
        <v>315</v>
      </c>
      <c r="FN40" t="s">
        <v>315</v>
      </c>
      <c r="FO40" t="s">
        <v>282</v>
      </c>
      <c r="FP40" t="s">
        <v>315</v>
      </c>
      <c r="FQ40" t="s">
        <v>315</v>
      </c>
      <c r="FR40" t="s">
        <v>315</v>
      </c>
      <c r="FS40" t="s">
        <v>315</v>
      </c>
      <c r="FT40" t="s">
        <v>315</v>
      </c>
    </row>
    <row r="41">
      <c r="A41" s="379" t="s">
        <v>1229</v>
      </c>
      <c r="B41" s="380" t="s">
        <v>49</v>
      </c>
      <c r="C41" s="473" t="s">
        <v>1313</v>
      </c>
      <c r="D41" s="380" t="s">
        <v>98</v>
      </c>
      <c r="E41" s="467" t="s">
        <v>825</v>
      </c>
      <c r="F41" t="str">
        <f t="array" ref="F41:ALQ41">transpose(Filtered!AL2:AL1005)</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I41" t="s">
        <v>507</v>
      </c>
      <c r="K41" t="s">
        <v>507</v>
      </c>
      <c r="T41" t="s">
        <v>687</v>
      </c>
      <c r="W41" t="s">
        <v>731</v>
      </c>
      <c r="AD41" t="s">
        <v>851</v>
      </c>
      <c r="AF41" s="78" t="s">
        <v>907</v>
      </c>
      <c r="AG41" t="s">
        <v>914</v>
      </c>
      <c r="AH41" t="s">
        <v>931</v>
      </c>
      <c r="AI41" t="s">
        <v>944</v>
      </c>
      <c r="AJ41" t="s">
        <v>952</v>
      </c>
      <c r="AK41" t="s">
        <v>315</v>
      </c>
      <c r="AL41" t="s">
        <v>324</v>
      </c>
      <c r="AO41" t="s">
        <v>1026</v>
      </c>
      <c r="AP41" t="s">
        <v>1026</v>
      </c>
      <c r="AS41" s="78" t="s">
        <v>1067</v>
      </c>
      <c r="BA41" t="s">
        <v>1138</v>
      </c>
      <c r="BB41" t="s">
        <v>1149</v>
      </c>
      <c r="BE41" t="s">
        <v>1195</v>
      </c>
      <c r="BF41" t="s">
        <v>1226</v>
      </c>
      <c r="BK41" t="s">
        <v>1316</v>
      </c>
      <c r="BQ41" t="s">
        <v>1317</v>
      </c>
      <c r="BT41" t="s">
        <v>1318</v>
      </c>
      <c r="CE41" t="s">
        <v>1319</v>
      </c>
      <c r="CF41" t="s">
        <v>1320</v>
      </c>
      <c r="CX41" t="s">
        <v>1321</v>
      </c>
      <c r="DB41" t="s">
        <v>1323</v>
      </c>
      <c r="DC41" t="s">
        <v>1323</v>
      </c>
      <c r="DD41" t="s">
        <v>1323</v>
      </c>
      <c r="DE41" t="s">
        <v>1323</v>
      </c>
      <c r="DF41" t="s">
        <v>1323</v>
      </c>
      <c r="DG41" t="s">
        <v>1323</v>
      </c>
      <c r="DH41" t="s">
        <v>1323</v>
      </c>
      <c r="DI41" t="s">
        <v>1323</v>
      </c>
      <c r="DJ41" t="s">
        <v>1323</v>
      </c>
      <c r="DK41" t="s">
        <v>1323</v>
      </c>
      <c r="DL41" t="s">
        <v>1323</v>
      </c>
      <c r="DM41" t="s">
        <v>1323</v>
      </c>
      <c r="DN41" t="s">
        <v>1323</v>
      </c>
      <c r="DO41" t="s">
        <v>1323</v>
      </c>
      <c r="DP41" t="s">
        <v>1323</v>
      </c>
      <c r="DY41" s="78" t="s">
        <v>1324</v>
      </c>
      <c r="EM41" t="s">
        <v>1326</v>
      </c>
      <c r="EU41" t="s">
        <v>1327</v>
      </c>
      <c r="EV41" t="s">
        <v>1328</v>
      </c>
      <c r="EW41" t="s">
        <v>1329</v>
      </c>
      <c r="FH41" t="s">
        <v>1330</v>
      </c>
      <c r="FK41" t="s">
        <v>1331</v>
      </c>
      <c r="FL41" t="s">
        <v>1332</v>
      </c>
      <c r="FM41" t="s">
        <v>1333</v>
      </c>
    </row>
    <row r="42">
      <c r="A42" s="379" t="s">
        <v>1229</v>
      </c>
      <c r="B42" s="380" t="s">
        <v>50</v>
      </c>
      <c r="C42" s="473" t="s">
        <v>1334</v>
      </c>
      <c r="D42" s="380" t="s">
        <v>98</v>
      </c>
      <c r="E42" s="467" t="s">
        <v>825</v>
      </c>
      <c r="F42" t="str">
        <f t="array" ref="F42:ALQ42">transpose(Filtered!AM2:AM1005)</f>
        <v>Not specified</v>
      </c>
      <c r="K42" t="s">
        <v>324</v>
      </c>
      <c r="N42" t="s">
        <v>324</v>
      </c>
      <c r="W42" t="s">
        <v>745</v>
      </c>
      <c r="AE42" t="s">
        <v>883</v>
      </c>
      <c r="AG42" t="s">
        <v>324</v>
      </c>
      <c r="AH42" t="s">
        <v>324</v>
      </c>
      <c r="AI42" t="s">
        <v>324</v>
      </c>
      <c r="AJ42" t="s">
        <v>324</v>
      </c>
      <c r="AK42" t="s">
        <v>324</v>
      </c>
      <c r="AL42" t="s">
        <v>324</v>
      </c>
      <c r="BE42" t="s">
        <v>1208</v>
      </c>
      <c r="BK42" t="s">
        <v>324</v>
      </c>
      <c r="BL42" t="s">
        <v>1335</v>
      </c>
      <c r="BM42" t="s">
        <v>1335</v>
      </c>
      <c r="BN42" t="s">
        <v>1336</v>
      </c>
      <c r="BO42" t="s">
        <v>1336</v>
      </c>
      <c r="CD42" t="s">
        <v>1337</v>
      </c>
      <c r="CZ42" t="s">
        <v>324</v>
      </c>
      <c r="DY42" t="s">
        <v>324</v>
      </c>
      <c r="EM42" t="s">
        <v>1338</v>
      </c>
    </row>
    <row r="43">
      <c r="A43" s="379" t="s">
        <v>1229</v>
      </c>
      <c r="B43" s="380" t="s">
        <v>51</v>
      </c>
      <c r="C43" s="473" t="s">
        <v>1339</v>
      </c>
      <c r="D43" s="380" t="s">
        <v>98</v>
      </c>
      <c r="E43" s="467" t="s">
        <v>825</v>
      </c>
      <c r="F43" t="str">
        <f t="array" ref="F43:ALQ43">transpose(Filtered!AN2:AN1005)</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K43" t="s">
        <v>324</v>
      </c>
      <c r="N43" t="s">
        <v>324</v>
      </c>
      <c r="AG43" t="s">
        <v>324</v>
      </c>
      <c r="AH43" t="s">
        <v>324</v>
      </c>
      <c r="AI43" t="s">
        <v>324</v>
      </c>
      <c r="AJ43" t="s">
        <v>324</v>
      </c>
      <c r="AK43" t="s">
        <v>324</v>
      </c>
      <c r="AL43" t="s">
        <v>324</v>
      </c>
      <c r="BK43" t="s">
        <v>324</v>
      </c>
      <c r="EM43" t="s">
        <v>1341</v>
      </c>
      <c r="FM43" t="s">
        <v>1343</v>
      </c>
    </row>
    <row r="44">
      <c r="A44" s="379" t="s">
        <v>1229</v>
      </c>
      <c r="B44" s="380" t="s">
        <v>52</v>
      </c>
      <c r="C44" s="381" t="s">
        <v>92</v>
      </c>
      <c r="D44" s="380" t="s">
        <v>98</v>
      </c>
      <c r="E44" s="467" t="s">
        <v>825</v>
      </c>
      <c r="F44" t="str">
        <f t="array" ref="F44:ALQ44">transpose(Filtered!AO2:AO1005)</f>
        <v/>
      </c>
      <c r="K44" t="s">
        <v>324</v>
      </c>
      <c r="X44" t="s">
        <v>324</v>
      </c>
      <c r="AD44" t="s">
        <v>851</v>
      </c>
      <c r="AG44" t="s">
        <v>324</v>
      </c>
      <c r="AH44" t="s">
        <v>324</v>
      </c>
      <c r="AI44" t="s">
        <v>324</v>
      </c>
      <c r="AJ44" t="s">
        <v>324</v>
      </c>
      <c r="AK44" t="s">
        <v>324</v>
      </c>
      <c r="AL44" t="s">
        <v>324</v>
      </c>
      <c r="BK44" t="s">
        <v>324</v>
      </c>
      <c r="DG44" t="s">
        <v>324</v>
      </c>
      <c r="DW44" t="s">
        <v>1344</v>
      </c>
      <c r="EL44" t="s">
        <v>1345</v>
      </c>
    </row>
    <row r="45">
      <c r="A45" s="224"/>
      <c r="B45" s="224"/>
      <c r="C45" s="224"/>
      <c r="D45" s="224"/>
      <c r="E45" s="224"/>
    </row>
    <row r="46">
      <c r="A46" s="224"/>
      <c r="B46" s="224"/>
      <c r="C46" s="224"/>
      <c r="D46" s="224"/>
      <c r="E46" s="224"/>
    </row>
    <row r="47">
      <c r="A47" s="224"/>
      <c r="B47" s="224"/>
      <c r="C47" s="224"/>
      <c r="D47" s="224"/>
      <c r="E47" s="224"/>
    </row>
    <row r="48">
      <c r="A48" s="224" t="s">
        <v>1346</v>
      </c>
      <c r="B48" s="488" t="s">
        <v>1347</v>
      </c>
      <c r="C48" s="488" t="s">
        <v>1348</v>
      </c>
      <c r="D48" s="488" t="s">
        <v>1349</v>
      </c>
      <c r="E48" s="224"/>
    </row>
    <row r="49">
      <c r="A49" s="224"/>
      <c r="B49" s="224" t="s">
        <v>291</v>
      </c>
      <c r="C49" s="224" t="s">
        <v>369</v>
      </c>
      <c r="D49" s="489" t="s">
        <v>875</v>
      </c>
      <c r="E49" s="224"/>
    </row>
    <row r="50">
      <c r="A50" s="224"/>
      <c r="B50" s="490" t="s">
        <v>393</v>
      </c>
      <c r="C50" s="489" t="s">
        <v>282</v>
      </c>
      <c r="D50" s="489" t="s">
        <v>329</v>
      </c>
      <c r="E50" s="224"/>
    </row>
    <row r="51">
      <c r="A51" s="224"/>
      <c r="B51" s="489" t="s">
        <v>396</v>
      </c>
      <c r="C51" s="489" t="s">
        <v>315</v>
      </c>
      <c r="D51" s="489" t="s">
        <v>327</v>
      </c>
      <c r="E51" s="224"/>
    </row>
    <row r="52">
      <c r="A52" s="224"/>
      <c r="B52" s="489" t="s">
        <v>523</v>
      </c>
      <c r="C52" s="224"/>
      <c r="D52" s="489" t="s">
        <v>282</v>
      </c>
      <c r="E52" s="224"/>
    </row>
    <row r="53">
      <c r="A53" s="224"/>
      <c r="B53" s="489" t="s">
        <v>315</v>
      </c>
      <c r="C53" s="224"/>
      <c r="D53" s="489" t="s">
        <v>324</v>
      </c>
      <c r="E53" s="224"/>
    </row>
    <row r="54">
      <c r="A54" s="224"/>
      <c r="B54" s="489" t="s">
        <v>961</v>
      </c>
      <c r="C54" s="224"/>
      <c r="D54" s="224"/>
      <c r="E54" s="224"/>
    </row>
    <row r="55">
      <c r="A55" s="224"/>
      <c r="B55" s="224"/>
      <c r="C55" s="224"/>
      <c r="D55" s="224"/>
      <c r="E55" s="224"/>
    </row>
    <row r="56">
      <c r="A56" s="224"/>
      <c r="B56" s="488" t="s">
        <v>1352</v>
      </c>
      <c r="C56" s="488" t="s">
        <v>1353</v>
      </c>
      <c r="D56" s="488" t="s">
        <v>1354</v>
      </c>
      <c r="E56" s="224"/>
    </row>
    <row r="57">
      <c r="A57" s="224"/>
      <c r="B57" s="490" t="s">
        <v>366</v>
      </c>
      <c r="C57" s="490" t="s">
        <v>524</v>
      </c>
      <c r="D57" s="489" t="s">
        <v>1355</v>
      </c>
      <c r="E57" s="224"/>
    </row>
    <row r="58">
      <c r="A58" s="224"/>
      <c r="B58" s="490" t="s">
        <v>706</v>
      </c>
      <c r="C58" s="490" t="s">
        <v>464</v>
      </c>
      <c r="D58" s="489" t="s">
        <v>1356</v>
      </c>
      <c r="E58" s="224"/>
    </row>
    <row r="59">
      <c r="A59" s="224"/>
      <c r="B59" s="490" t="s">
        <v>282</v>
      </c>
      <c r="C59" s="490" t="s">
        <v>443</v>
      </c>
      <c r="D59" s="489" t="s">
        <v>1357</v>
      </c>
      <c r="E59" s="224"/>
    </row>
    <row r="60">
      <c r="A60" s="224"/>
      <c r="B60" s="490" t="s">
        <v>324</v>
      </c>
      <c r="C60" s="490" t="s">
        <v>615</v>
      </c>
      <c r="D60" s="489" t="s">
        <v>1358</v>
      </c>
      <c r="E60" s="224"/>
    </row>
    <row r="61">
      <c r="A61" s="224"/>
      <c r="B61" s="490" t="s">
        <v>315</v>
      </c>
      <c r="C61" s="490" t="s">
        <v>621</v>
      </c>
      <c r="D61" s="489" t="s">
        <v>1359</v>
      </c>
      <c r="E61" s="224"/>
    </row>
    <row r="62">
      <c r="A62" s="224"/>
      <c r="B62" s="490" t="s">
        <v>961</v>
      </c>
      <c r="C62" s="491" t="s">
        <v>609</v>
      </c>
      <c r="D62" s="224"/>
      <c r="E62" s="224"/>
    </row>
    <row r="63">
      <c r="A63" s="224"/>
      <c r="B63" s="224"/>
      <c r="C63" s="490" t="s">
        <v>961</v>
      </c>
      <c r="D63" s="224"/>
      <c r="E63" s="224"/>
    </row>
    <row r="64">
      <c r="A64" s="224"/>
      <c r="B64" s="224"/>
      <c r="C64" s="224"/>
      <c r="D64" s="224"/>
      <c r="E64" s="224"/>
    </row>
    <row r="65">
      <c r="A65" s="224"/>
      <c r="B65" s="224"/>
      <c r="C65" s="224"/>
      <c r="D65" s="224"/>
      <c r="E65" s="224"/>
    </row>
    <row r="66">
      <c r="A66" s="224"/>
      <c r="B66" s="224"/>
      <c r="C66" s="224"/>
      <c r="D66" s="224"/>
      <c r="E66" s="224"/>
    </row>
    <row r="67">
      <c r="A67" s="224"/>
      <c r="B67" s="224"/>
      <c r="C67" s="224"/>
      <c r="D67" s="224"/>
      <c r="E67" s="224"/>
    </row>
    <row r="68">
      <c r="A68" s="224"/>
      <c r="B68" s="224"/>
      <c r="C68" s="224"/>
      <c r="D68" s="224"/>
      <c r="E68" s="224"/>
    </row>
    <row r="69">
      <c r="A69" s="224"/>
      <c r="B69" s="224"/>
      <c r="C69" s="224"/>
      <c r="D69" s="224"/>
      <c r="E69" s="224"/>
    </row>
    <row r="70">
      <c r="A70" s="224"/>
      <c r="B70" s="224"/>
      <c r="C70" s="224"/>
      <c r="D70" s="224"/>
      <c r="E70" s="224"/>
    </row>
    <row r="71">
      <c r="A71" s="224"/>
      <c r="B71" s="224"/>
      <c r="C71" s="224"/>
      <c r="D71" s="224"/>
      <c r="E71" s="224"/>
    </row>
    <row r="72">
      <c r="A72" s="224"/>
      <c r="B72" s="224"/>
      <c r="C72" s="224"/>
      <c r="D72" s="224"/>
      <c r="E72" s="224"/>
    </row>
    <row r="73">
      <c r="A73" s="224"/>
      <c r="B73" s="224"/>
      <c r="C73" s="224"/>
      <c r="D73" s="224"/>
      <c r="E73" s="224"/>
    </row>
    <row r="74">
      <c r="A74" s="224"/>
      <c r="B74" s="224"/>
      <c r="C74" s="224"/>
      <c r="D74" s="224"/>
      <c r="E74" s="224"/>
    </row>
    <row r="75">
      <c r="A75" s="224"/>
      <c r="B75" s="224"/>
      <c r="C75" s="224"/>
      <c r="D75" s="224"/>
      <c r="E75" s="224"/>
    </row>
    <row r="76">
      <c r="A76" s="224"/>
      <c r="B76" s="224"/>
      <c r="C76" s="224"/>
      <c r="D76" s="224"/>
      <c r="E76" s="224"/>
    </row>
    <row r="77">
      <c r="A77" s="224"/>
      <c r="B77" s="224"/>
      <c r="C77" s="224"/>
      <c r="D77" s="224"/>
      <c r="E77" s="224"/>
    </row>
    <row r="78">
      <c r="A78" s="224"/>
      <c r="B78" s="224"/>
      <c r="C78" s="224"/>
      <c r="D78" s="224"/>
      <c r="E78" s="224"/>
    </row>
    <row r="79">
      <c r="A79" s="224"/>
      <c r="B79" s="224"/>
      <c r="C79" s="224"/>
      <c r="D79" s="224"/>
      <c r="E79" s="224"/>
    </row>
    <row r="80">
      <c r="A80" s="224"/>
      <c r="B80" s="224"/>
      <c r="C80" s="224"/>
      <c r="D80" s="224"/>
      <c r="E80" s="224"/>
    </row>
    <row r="81">
      <c r="A81" s="224"/>
      <c r="B81" s="224"/>
      <c r="C81" s="224"/>
      <c r="D81" s="224"/>
      <c r="E81" s="224"/>
    </row>
    <row r="82">
      <c r="A82" s="224"/>
      <c r="B82" s="224"/>
      <c r="C82" s="224"/>
      <c r="D82" s="224"/>
      <c r="E82" s="224"/>
    </row>
    <row r="83">
      <c r="A83" s="224"/>
      <c r="B83" s="224"/>
      <c r="C83" s="224"/>
      <c r="D83" s="224"/>
      <c r="E83" s="224"/>
    </row>
    <row r="84">
      <c r="A84" s="224"/>
      <c r="B84" s="224"/>
      <c r="C84" s="224"/>
      <c r="D84" s="224"/>
      <c r="E84" s="224"/>
    </row>
    <row r="85">
      <c r="A85" s="224"/>
      <c r="B85" s="224"/>
      <c r="C85" s="224"/>
      <c r="D85" s="224"/>
      <c r="E85" s="224"/>
    </row>
    <row r="86">
      <c r="A86" s="224"/>
      <c r="B86" s="224"/>
      <c r="C86" s="224"/>
      <c r="D86" s="224"/>
      <c r="E86" s="224"/>
    </row>
    <row r="87">
      <c r="A87" s="224"/>
      <c r="B87" s="224"/>
      <c r="C87" s="224"/>
      <c r="D87" s="224"/>
      <c r="E87" s="224"/>
    </row>
    <row r="88">
      <c r="A88" s="224"/>
      <c r="B88" s="224"/>
      <c r="C88" s="224"/>
      <c r="D88" s="224"/>
      <c r="E88" s="224"/>
    </row>
    <row r="89">
      <c r="A89" s="224"/>
      <c r="B89" s="224"/>
      <c r="C89" s="224"/>
      <c r="D89" s="224"/>
      <c r="E89" s="224"/>
    </row>
    <row r="90">
      <c r="A90" s="224"/>
      <c r="B90" s="224"/>
      <c r="C90" s="224"/>
      <c r="D90" s="224"/>
      <c r="E90" s="224"/>
    </row>
    <row r="91">
      <c r="A91" s="224"/>
      <c r="B91" s="224"/>
      <c r="C91" s="224"/>
      <c r="D91" s="224"/>
      <c r="E91" s="224"/>
    </row>
    <row r="92">
      <c r="A92" s="224"/>
      <c r="B92" s="224"/>
      <c r="C92" s="224"/>
      <c r="D92" s="224"/>
      <c r="E92" s="224"/>
    </row>
    <row r="93">
      <c r="A93" s="224"/>
      <c r="B93" s="224"/>
      <c r="C93" s="224"/>
      <c r="D93" s="224"/>
      <c r="E93" s="224"/>
    </row>
    <row r="94">
      <c r="A94" s="224"/>
      <c r="B94" s="224"/>
      <c r="C94" s="224"/>
      <c r="D94" s="224"/>
      <c r="E94" s="224"/>
    </row>
    <row r="95">
      <c r="A95" s="224"/>
      <c r="B95" s="224"/>
      <c r="C95" s="224"/>
      <c r="D95" s="224"/>
      <c r="E95" s="224"/>
    </row>
    <row r="96">
      <c r="A96" s="224"/>
      <c r="B96" s="224"/>
      <c r="C96" s="224"/>
      <c r="D96" s="224"/>
      <c r="E96" s="224"/>
    </row>
    <row r="97">
      <c r="A97" s="224"/>
      <c r="B97" s="224"/>
      <c r="C97" s="224"/>
      <c r="D97" s="224"/>
      <c r="E97" s="224"/>
    </row>
    <row r="98">
      <c r="A98" s="224"/>
      <c r="B98" s="224"/>
      <c r="C98" s="224"/>
      <c r="D98" s="224"/>
      <c r="E98" s="224"/>
    </row>
    <row r="99">
      <c r="A99" s="224"/>
      <c r="B99" s="224"/>
      <c r="C99" s="224"/>
      <c r="D99" s="224"/>
      <c r="E99" s="224"/>
    </row>
    <row r="100">
      <c r="A100" s="224"/>
      <c r="B100" s="224"/>
      <c r="C100" s="224"/>
      <c r="D100" s="224"/>
      <c r="E100" s="224"/>
    </row>
    <row r="101">
      <c r="A101" s="224"/>
      <c r="B101" s="224"/>
      <c r="C101" s="224"/>
      <c r="D101" s="224"/>
      <c r="E101" s="224"/>
    </row>
    <row r="102">
      <c r="A102" s="224"/>
      <c r="B102" s="224"/>
      <c r="C102" s="224"/>
      <c r="D102" s="224"/>
      <c r="E102" s="224"/>
    </row>
    <row r="103">
      <c r="A103" s="224"/>
      <c r="B103" s="224"/>
      <c r="C103" s="224"/>
      <c r="D103" s="224"/>
      <c r="E103" s="224"/>
    </row>
    <row r="104">
      <c r="A104" s="224"/>
      <c r="B104" s="224"/>
      <c r="C104" s="224"/>
      <c r="D104" s="224"/>
      <c r="E104" s="224"/>
    </row>
    <row r="105">
      <c r="A105" s="224"/>
      <c r="B105" s="224"/>
      <c r="C105" s="224"/>
      <c r="D105" s="224"/>
      <c r="E105" s="224"/>
    </row>
    <row r="106">
      <c r="A106" s="224"/>
      <c r="B106" s="224"/>
      <c r="C106" s="224"/>
      <c r="D106" s="224"/>
      <c r="E106" s="224"/>
    </row>
    <row r="107">
      <c r="A107" s="224"/>
      <c r="B107" s="224"/>
      <c r="C107" s="224"/>
      <c r="D107" s="224"/>
      <c r="E107" s="224"/>
    </row>
    <row r="108">
      <c r="A108" s="224"/>
      <c r="B108" s="224"/>
      <c r="C108" s="224"/>
      <c r="D108" s="224"/>
      <c r="E108" s="224"/>
    </row>
    <row r="109">
      <c r="A109" s="224"/>
      <c r="B109" s="224"/>
      <c r="C109" s="224"/>
      <c r="D109" s="224"/>
      <c r="E109" s="224"/>
    </row>
    <row r="110">
      <c r="A110" s="224"/>
      <c r="B110" s="224"/>
      <c r="C110" s="224"/>
      <c r="D110" s="224"/>
      <c r="E110" s="224"/>
    </row>
    <row r="111">
      <c r="A111" s="224"/>
      <c r="B111" s="224"/>
      <c r="C111" s="224"/>
      <c r="D111" s="224"/>
      <c r="E111" s="224"/>
    </row>
    <row r="112">
      <c r="A112" s="224"/>
      <c r="B112" s="224"/>
      <c r="C112" s="224"/>
      <c r="D112" s="224"/>
      <c r="E112" s="224"/>
    </row>
    <row r="113">
      <c r="A113" s="224"/>
      <c r="B113" s="224"/>
      <c r="C113" s="224"/>
      <c r="D113" s="224"/>
      <c r="E113" s="224"/>
    </row>
    <row r="114">
      <c r="A114" s="224"/>
      <c r="B114" s="224"/>
      <c r="C114" s="224"/>
      <c r="D114" s="224"/>
      <c r="E114" s="224"/>
    </row>
    <row r="115">
      <c r="A115" s="224"/>
      <c r="B115" s="224"/>
      <c r="C115" s="224"/>
      <c r="D115" s="224"/>
      <c r="E115" s="224"/>
    </row>
    <row r="116">
      <c r="A116" s="224"/>
      <c r="B116" s="224"/>
      <c r="C116" s="224"/>
      <c r="D116" s="224"/>
      <c r="E116" s="224"/>
    </row>
    <row r="117">
      <c r="A117" s="224"/>
      <c r="B117" s="224"/>
      <c r="C117" s="224"/>
      <c r="D117" s="224"/>
      <c r="E117" s="224"/>
    </row>
    <row r="118">
      <c r="A118" s="224"/>
      <c r="B118" s="224"/>
      <c r="C118" s="224"/>
      <c r="D118" s="224"/>
      <c r="E118" s="224"/>
    </row>
    <row r="119">
      <c r="A119" s="224"/>
      <c r="B119" s="224"/>
      <c r="C119" s="224"/>
      <c r="D119" s="224"/>
      <c r="E119" s="224"/>
    </row>
    <row r="120">
      <c r="A120" s="224"/>
      <c r="B120" s="224"/>
      <c r="C120" s="224"/>
      <c r="D120" s="224"/>
      <c r="E120" s="224"/>
    </row>
    <row r="121">
      <c r="A121" s="224"/>
      <c r="B121" s="224"/>
      <c r="C121" s="224"/>
      <c r="D121" s="224"/>
      <c r="E121" s="224"/>
    </row>
    <row r="122">
      <c r="A122" s="224"/>
      <c r="B122" s="224"/>
      <c r="C122" s="224"/>
      <c r="D122" s="224"/>
      <c r="E122" s="224"/>
    </row>
    <row r="123">
      <c r="A123" s="224"/>
      <c r="B123" s="224"/>
      <c r="C123" s="224"/>
      <c r="D123" s="224"/>
      <c r="E123" s="224"/>
    </row>
    <row r="124">
      <c r="A124" s="224"/>
      <c r="B124" s="224"/>
      <c r="C124" s="224"/>
      <c r="D124" s="224"/>
      <c r="E124" s="224"/>
    </row>
    <row r="125">
      <c r="A125" s="224"/>
      <c r="B125" s="224"/>
      <c r="C125" s="224"/>
      <c r="D125" s="224"/>
      <c r="E125" s="224"/>
    </row>
    <row r="126">
      <c r="A126" s="224"/>
      <c r="B126" s="224"/>
      <c r="C126" s="224"/>
      <c r="D126" s="224"/>
      <c r="E126" s="224"/>
    </row>
    <row r="127">
      <c r="A127" s="224"/>
      <c r="B127" s="224"/>
      <c r="C127" s="224"/>
      <c r="D127" s="224"/>
      <c r="E127" s="224"/>
    </row>
    <row r="128">
      <c r="A128" s="224"/>
      <c r="B128" s="224"/>
      <c r="C128" s="224"/>
      <c r="D128" s="224"/>
      <c r="E128" s="224"/>
    </row>
    <row r="129">
      <c r="A129" s="224"/>
      <c r="B129" s="224"/>
      <c r="C129" s="224"/>
      <c r="D129" s="224"/>
      <c r="E129" s="224"/>
    </row>
    <row r="130">
      <c r="A130" s="224"/>
      <c r="B130" s="224"/>
      <c r="C130" s="224"/>
      <c r="D130" s="224"/>
      <c r="E130" s="224"/>
    </row>
    <row r="131">
      <c r="A131" s="224"/>
      <c r="B131" s="224"/>
      <c r="C131" s="224"/>
      <c r="D131" s="224"/>
      <c r="E131" s="224"/>
    </row>
    <row r="132">
      <c r="A132" s="224"/>
      <c r="B132" s="224"/>
      <c r="C132" s="224"/>
      <c r="D132" s="224"/>
      <c r="E132" s="224"/>
    </row>
    <row r="133">
      <c r="A133" s="224"/>
      <c r="B133" s="224"/>
      <c r="C133" s="224"/>
      <c r="D133" s="224"/>
      <c r="E133" s="224"/>
    </row>
    <row r="134">
      <c r="A134" s="224"/>
      <c r="B134" s="224"/>
      <c r="C134" s="224"/>
      <c r="D134" s="224"/>
      <c r="E134" s="224"/>
    </row>
    <row r="135">
      <c r="A135" s="224"/>
      <c r="B135" s="224"/>
      <c r="C135" s="224"/>
      <c r="D135" s="224"/>
      <c r="E135" s="224"/>
    </row>
    <row r="136">
      <c r="A136" s="224"/>
      <c r="B136" s="224"/>
      <c r="C136" s="224"/>
      <c r="D136" s="224"/>
      <c r="E136" s="224"/>
    </row>
    <row r="137">
      <c r="A137" s="224"/>
      <c r="B137" s="224"/>
      <c r="C137" s="224"/>
      <c r="D137" s="224"/>
      <c r="E137" s="224"/>
    </row>
    <row r="138">
      <c r="A138" s="224"/>
      <c r="B138" s="224"/>
      <c r="C138" s="224"/>
      <c r="D138" s="224"/>
      <c r="E138" s="224"/>
    </row>
    <row r="139">
      <c r="A139" s="224"/>
      <c r="B139" s="224"/>
      <c r="C139" s="224"/>
      <c r="D139" s="224"/>
      <c r="E139" s="224"/>
    </row>
    <row r="140">
      <c r="A140" s="224"/>
      <c r="B140" s="224"/>
      <c r="C140" s="224"/>
      <c r="D140" s="224"/>
      <c r="E140" s="224"/>
    </row>
    <row r="141">
      <c r="A141" s="224"/>
      <c r="B141" s="224"/>
      <c r="C141" s="224"/>
      <c r="D141" s="224"/>
      <c r="E141" s="224"/>
    </row>
    <row r="142">
      <c r="A142" s="224"/>
      <c r="B142" s="224"/>
      <c r="C142" s="224"/>
      <c r="D142" s="224"/>
      <c r="E142" s="224"/>
    </row>
    <row r="143">
      <c r="A143" s="224"/>
      <c r="B143" s="224"/>
      <c r="C143" s="224"/>
      <c r="D143" s="224"/>
      <c r="E143" s="224"/>
    </row>
    <row r="144">
      <c r="A144" s="224"/>
      <c r="B144" s="224"/>
      <c r="C144" s="224"/>
      <c r="D144" s="224"/>
      <c r="E144" s="224"/>
    </row>
    <row r="145">
      <c r="A145" s="224"/>
      <c r="B145" s="224"/>
      <c r="C145" s="224"/>
      <c r="D145" s="224"/>
      <c r="E145" s="224"/>
    </row>
    <row r="146">
      <c r="A146" s="224"/>
      <c r="B146" s="224"/>
      <c r="C146" s="224"/>
      <c r="D146" s="224"/>
      <c r="E146" s="224"/>
    </row>
    <row r="147">
      <c r="A147" s="224"/>
      <c r="B147" s="224"/>
      <c r="C147" s="224"/>
      <c r="D147" s="224"/>
      <c r="E147" s="224"/>
    </row>
    <row r="148">
      <c r="A148" s="224"/>
      <c r="B148" s="224"/>
      <c r="C148" s="224"/>
      <c r="D148" s="224"/>
      <c r="E148" s="224"/>
    </row>
    <row r="149">
      <c r="A149" s="224"/>
      <c r="B149" s="224"/>
      <c r="C149" s="224"/>
      <c r="D149" s="224"/>
      <c r="E149" s="224"/>
    </row>
    <row r="150">
      <c r="A150" s="224"/>
      <c r="B150" s="224"/>
      <c r="C150" s="224"/>
      <c r="D150" s="224"/>
      <c r="E150" s="224"/>
    </row>
    <row r="151">
      <c r="A151" s="224"/>
      <c r="B151" s="224"/>
      <c r="C151" s="224"/>
      <c r="D151" s="224"/>
      <c r="E151" s="224"/>
    </row>
    <row r="152">
      <c r="A152" s="224"/>
      <c r="B152" s="224"/>
      <c r="C152" s="224"/>
      <c r="D152" s="224"/>
      <c r="E152" s="224"/>
    </row>
    <row r="153">
      <c r="A153" s="224"/>
      <c r="B153" s="224"/>
      <c r="C153" s="224"/>
      <c r="D153" s="224"/>
      <c r="E153" s="224"/>
    </row>
    <row r="154">
      <c r="A154" s="224"/>
      <c r="B154" s="224"/>
      <c r="C154" s="224"/>
      <c r="D154" s="224"/>
      <c r="E154" s="224"/>
    </row>
    <row r="155">
      <c r="A155" s="224"/>
      <c r="B155" s="224"/>
      <c r="C155" s="224"/>
      <c r="D155" s="224"/>
      <c r="E155" s="224"/>
    </row>
    <row r="156">
      <c r="A156" s="224"/>
      <c r="B156" s="224"/>
      <c r="C156" s="224"/>
      <c r="D156" s="224"/>
      <c r="E156" s="224"/>
    </row>
    <row r="157">
      <c r="A157" s="224"/>
      <c r="B157" s="224"/>
      <c r="C157" s="224"/>
      <c r="D157" s="224"/>
      <c r="E157" s="224"/>
    </row>
    <row r="158">
      <c r="A158" s="224"/>
      <c r="B158" s="224"/>
      <c r="C158" s="224"/>
      <c r="D158" s="224"/>
      <c r="E158" s="224"/>
    </row>
    <row r="159">
      <c r="A159" s="224"/>
      <c r="B159" s="224"/>
      <c r="C159" s="224"/>
      <c r="D159" s="224"/>
      <c r="E159" s="224"/>
    </row>
    <row r="160">
      <c r="A160" s="224"/>
      <c r="B160" s="224"/>
      <c r="C160" s="224"/>
      <c r="D160" s="224"/>
      <c r="E160" s="224"/>
    </row>
    <row r="161">
      <c r="A161" s="224"/>
      <c r="B161" s="224"/>
      <c r="C161" s="224"/>
      <c r="D161" s="224"/>
      <c r="E161" s="224"/>
    </row>
    <row r="162">
      <c r="A162" s="224"/>
      <c r="B162" s="224"/>
      <c r="C162" s="224"/>
      <c r="D162" s="224"/>
      <c r="E162" s="224"/>
    </row>
    <row r="163">
      <c r="A163" s="224"/>
      <c r="B163" s="224"/>
      <c r="C163" s="224"/>
      <c r="D163" s="224"/>
      <c r="E163" s="224"/>
    </row>
    <row r="164">
      <c r="A164" s="224"/>
      <c r="B164" s="224"/>
      <c r="C164" s="224"/>
      <c r="D164" s="224"/>
      <c r="E164" s="224"/>
    </row>
    <row r="165">
      <c r="A165" s="224"/>
      <c r="B165" s="224"/>
      <c r="C165" s="224"/>
      <c r="D165" s="224"/>
      <c r="E165" s="224"/>
    </row>
    <row r="166">
      <c r="A166" s="224"/>
      <c r="B166" s="224"/>
      <c r="C166" s="224"/>
      <c r="D166" s="224"/>
      <c r="E166" s="224"/>
    </row>
    <row r="167">
      <c r="A167" s="224"/>
      <c r="B167" s="224"/>
      <c r="C167" s="224"/>
      <c r="D167" s="224"/>
      <c r="E167" s="224"/>
    </row>
    <row r="168">
      <c r="A168" s="224"/>
      <c r="B168" s="224"/>
      <c r="C168" s="224"/>
      <c r="D168" s="224"/>
      <c r="E168" s="224"/>
    </row>
    <row r="169">
      <c r="A169" s="224"/>
      <c r="B169" s="224"/>
      <c r="C169" s="224"/>
      <c r="D169" s="224"/>
      <c r="E169" s="224"/>
    </row>
    <row r="170">
      <c r="A170" s="224"/>
      <c r="B170" s="224"/>
      <c r="C170" s="224"/>
      <c r="D170" s="224"/>
      <c r="E170" s="224"/>
    </row>
    <row r="171">
      <c r="A171" s="224"/>
      <c r="B171" s="224"/>
      <c r="C171" s="224"/>
      <c r="D171" s="224"/>
      <c r="E171" s="224"/>
    </row>
    <row r="172">
      <c r="A172" s="224"/>
      <c r="B172" s="224"/>
      <c r="C172" s="224"/>
      <c r="D172" s="224"/>
      <c r="E172" s="224"/>
    </row>
    <row r="173">
      <c r="A173" s="224"/>
      <c r="B173" s="224"/>
      <c r="C173" s="224"/>
      <c r="D173" s="224"/>
      <c r="E173" s="224"/>
    </row>
    <row r="174">
      <c r="A174" s="224"/>
      <c r="B174" s="224"/>
      <c r="C174" s="224"/>
      <c r="D174" s="224"/>
      <c r="E174" s="224"/>
    </row>
    <row r="175">
      <c r="A175" s="224"/>
      <c r="B175" s="224"/>
      <c r="C175" s="224"/>
      <c r="D175" s="224"/>
      <c r="E175" s="224"/>
    </row>
    <row r="176">
      <c r="A176" s="224"/>
      <c r="B176" s="224"/>
      <c r="C176" s="224"/>
      <c r="D176" s="224"/>
      <c r="E176" s="224"/>
    </row>
    <row r="177">
      <c r="A177" s="224"/>
      <c r="B177" s="224"/>
      <c r="C177" s="224"/>
      <c r="D177" s="224"/>
      <c r="E177" s="224"/>
    </row>
    <row r="178">
      <c r="A178" s="224"/>
      <c r="B178" s="224"/>
      <c r="C178" s="224"/>
      <c r="D178" s="224"/>
      <c r="E178" s="224"/>
    </row>
    <row r="179">
      <c r="A179" s="224"/>
      <c r="B179" s="224"/>
      <c r="C179" s="224"/>
      <c r="D179" s="224"/>
      <c r="E179" s="224"/>
    </row>
    <row r="180">
      <c r="A180" s="224"/>
      <c r="B180" s="224"/>
      <c r="C180" s="224"/>
      <c r="D180" s="224"/>
      <c r="E180" s="224"/>
    </row>
    <row r="181">
      <c r="A181" s="224"/>
      <c r="B181" s="224"/>
      <c r="C181" s="224"/>
      <c r="D181" s="224"/>
      <c r="E181" s="224"/>
    </row>
    <row r="182">
      <c r="A182" s="224"/>
      <c r="B182" s="224"/>
      <c r="C182" s="224"/>
      <c r="D182" s="224"/>
      <c r="E182" s="224"/>
    </row>
    <row r="183">
      <c r="A183" s="224"/>
      <c r="B183" s="224"/>
      <c r="C183" s="224"/>
      <c r="D183" s="224"/>
      <c r="E183" s="224"/>
    </row>
    <row r="184">
      <c r="A184" s="224"/>
      <c r="B184" s="224"/>
      <c r="C184" s="224"/>
      <c r="D184" s="224"/>
      <c r="E184" s="224"/>
    </row>
    <row r="185">
      <c r="A185" s="224"/>
      <c r="B185" s="224"/>
      <c r="C185" s="224"/>
      <c r="D185" s="224"/>
      <c r="E185" s="224"/>
    </row>
    <row r="186">
      <c r="A186" s="224"/>
      <c r="B186" s="224"/>
      <c r="C186" s="224"/>
      <c r="D186" s="224"/>
      <c r="E186" s="224"/>
    </row>
    <row r="187">
      <c r="A187" s="224"/>
      <c r="B187" s="224"/>
      <c r="C187" s="224"/>
      <c r="D187" s="224"/>
      <c r="E187" s="224"/>
    </row>
    <row r="188">
      <c r="A188" s="224"/>
      <c r="B188" s="224"/>
      <c r="C188" s="224"/>
      <c r="D188" s="224"/>
      <c r="E188" s="224"/>
    </row>
    <row r="189">
      <c r="A189" s="224"/>
      <c r="B189" s="224"/>
      <c r="C189" s="224"/>
      <c r="D189" s="224"/>
      <c r="E189" s="224"/>
    </row>
    <row r="190">
      <c r="A190" s="224"/>
      <c r="B190" s="224"/>
      <c r="C190" s="224"/>
      <c r="D190" s="224"/>
      <c r="E190" s="224"/>
    </row>
    <row r="191">
      <c r="A191" s="224"/>
      <c r="B191" s="224"/>
      <c r="C191" s="224"/>
      <c r="D191" s="224"/>
      <c r="E191" s="224"/>
    </row>
    <row r="192">
      <c r="A192" s="224"/>
      <c r="B192" s="224"/>
      <c r="C192" s="224"/>
      <c r="D192" s="224"/>
      <c r="E192" s="224"/>
    </row>
    <row r="193">
      <c r="A193" s="224"/>
      <c r="B193" s="224"/>
      <c r="C193" s="224"/>
      <c r="D193" s="224"/>
      <c r="E193" s="224"/>
    </row>
    <row r="194">
      <c r="A194" s="224"/>
      <c r="B194" s="224"/>
      <c r="C194" s="224"/>
      <c r="D194" s="224"/>
      <c r="E194" s="224"/>
    </row>
    <row r="195">
      <c r="A195" s="224"/>
      <c r="B195" s="224"/>
      <c r="C195" s="224"/>
      <c r="D195" s="224"/>
      <c r="E195" s="224"/>
    </row>
    <row r="196">
      <c r="A196" s="224"/>
      <c r="B196" s="224"/>
      <c r="C196" s="224"/>
      <c r="D196" s="224"/>
      <c r="E196" s="224"/>
    </row>
    <row r="197">
      <c r="A197" s="224"/>
      <c r="B197" s="224"/>
      <c r="C197" s="224"/>
      <c r="D197" s="224"/>
      <c r="E197" s="224"/>
    </row>
    <row r="198">
      <c r="A198" s="224"/>
      <c r="B198" s="224"/>
      <c r="C198" s="224"/>
      <c r="D198" s="224"/>
      <c r="E198" s="224"/>
    </row>
    <row r="199">
      <c r="A199" s="224"/>
      <c r="B199" s="224"/>
      <c r="C199" s="224"/>
      <c r="D199" s="224"/>
      <c r="E199" s="224"/>
    </row>
    <row r="200">
      <c r="A200" s="224"/>
      <c r="B200" s="224"/>
      <c r="C200" s="224"/>
      <c r="D200" s="224"/>
      <c r="E200" s="224"/>
    </row>
    <row r="201">
      <c r="A201" s="224"/>
      <c r="B201" s="224"/>
      <c r="C201" s="224"/>
      <c r="D201" s="224"/>
      <c r="E201" s="224"/>
    </row>
    <row r="202">
      <c r="A202" s="224"/>
      <c r="B202" s="224"/>
      <c r="C202" s="224"/>
      <c r="D202" s="224"/>
      <c r="E202" s="224"/>
    </row>
    <row r="203">
      <c r="A203" s="224"/>
      <c r="B203" s="224"/>
      <c r="C203" s="224"/>
      <c r="D203" s="224"/>
      <c r="E203" s="224"/>
    </row>
    <row r="204">
      <c r="A204" s="224"/>
      <c r="B204" s="224"/>
      <c r="C204" s="224"/>
      <c r="D204" s="224"/>
      <c r="E204" s="224"/>
    </row>
    <row r="205">
      <c r="A205" s="224"/>
      <c r="B205" s="224"/>
      <c r="C205" s="224"/>
      <c r="D205" s="224"/>
      <c r="E205" s="224"/>
    </row>
    <row r="206">
      <c r="A206" s="224"/>
      <c r="B206" s="224"/>
      <c r="C206" s="224"/>
      <c r="D206" s="224"/>
      <c r="E206" s="224"/>
    </row>
    <row r="207">
      <c r="A207" s="224"/>
      <c r="B207" s="224"/>
      <c r="C207" s="224"/>
      <c r="D207" s="224"/>
      <c r="E207" s="224"/>
    </row>
    <row r="208">
      <c r="A208" s="224"/>
      <c r="B208" s="224"/>
      <c r="C208" s="224"/>
      <c r="D208" s="224"/>
      <c r="E208" s="224"/>
    </row>
    <row r="209">
      <c r="A209" s="224"/>
      <c r="B209" s="224"/>
      <c r="C209" s="224"/>
      <c r="D209" s="224"/>
      <c r="E209" s="224"/>
    </row>
    <row r="210">
      <c r="A210" s="224"/>
      <c r="B210" s="224"/>
      <c r="C210" s="224"/>
      <c r="D210" s="224"/>
      <c r="E210" s="224"/>
    </row>
    <row r="211">
      <c r="A211" s="224"/>
      <c r="B211" s="224"/>
      <c r="C211" s="224"/>
      <c r="D211" s="224"/>
      <c r="E211" s="224"/>
    </row>
    <row r="212">
      <c r="A212" s="224"/>
      <c r="B212" s="224"/>
      <c r="C212" s="224"/>
      <c r="D212" s="224"/>
      <c r="E212" s="224"/>
    </row>
    <row r="213">
      <c r="A213" s="224"/>
      <c r="B213" s="224"/>
      <c r="C213" s="224"/>
      <c r="D213" s="224"/>
      <c r="E213" s="224"/>
    </row>
    <row r="214">
      <c r="A214" s="224"/>
      <c r="B214" s="224"/>
      <c r="C214" s="224"/>
      <c r="D214" s="224"/>
      <c r="E214" s="224"/>
    </row>
    <row r="215">
      <c r="A215" s="224"/>
      <c r="B215" s="224"/>
      <c r="C215" s="224"/>
      <c r="D215" s="224"/>
      <c r="E215" s="224"/>
    </row>
    <row r="216">
      <c r="A216" s="224"/>
      <c r="B216" s="224"/>
      <c r="C216" s="224"/>
      <c r="D216" s="224"/>
      <c r="E216" s="224"/>
    </row>
    <row r="217">
      <c r="A217" s="224"/>
      <c r="B217" s="224"/>
      <c r="C217" s="224"/>
      <c r="D217" s="224"/>
      <c r="E217" s="224"/>
    </row>
    <row r="218">
      <c r="A218" s="224"/>
      <c r="B218" s="224"/>
      <c r="C218" s="224"/>
      <c r="D218" s="224"/>
      <c r="E218" s="224"/>
    </row>
    <row r="219">
      <c r="A219" s="224"/>
      <c r="B219" s="224"/>
      <c r="C219" s="224"/>
      <c r="D219" s="224"/>
      <c r="E219" s="224"/>
    </row>
    <row r="220">
      <c r="A220" s="224"/>
      <c r="B220" s="224"/>
      <c r="C220" s="224"/>
      <c r="D220" s="224"/>
      <c r="E220" s="224"/>
    </row>
    <row r="221">
      <c r="A221" s="224"/>
      <c r="B221" s="224"/>
      <c r="C221" s="224"/>
      <c r="D221" s="224"/>
      <c r="E221" s="224"/>
    </row>
    <row r="222">
      <c r="A222" s="224"/>
      <c r="B222" s="224"/>
      <c r="C222" s="224"/>
      <c r="D222" s="224"/>
      <c r="E222" s="224"/>
    </row>
    <row r="223">
      <c r="A223" s="224"/>
      <c r="B223" s="224"/>
      <c r="C223" s="224"/>
      <c r="D223" s="224"/>
      <c r="E223" s="224"/>
    </row>
    <row r="224">
      <c r="A224" s="224"/>
      <c r="B224" s="224"/>
      <c r="C224" s="224"/>
      <c r="D224" s="224"/>
      <c r="E224" s="224"/>
    </row>
    <row r="225">
      <c r="A225" s="224"/>
      <c r="B225" s="224"/>
      <c r="C225" s="224"/>
      <c r="D225" s="224"/>
      <c r="E225" s="224"/>
    </row>
    <row r="226">
      <c r="A226" s="224"/>
      <c r="B226" s="224"/>
      <c r="C226" s="224"/>
      <c r="D226" s="224"/>
      <c r="E226" s="224"/>
    </row>
    <row r="227">
      <c r="A227" s="224"/>
      <c r="B227" s="224"/>
      <c r="C227" s="224"/>
      <c r="D227" s="224"/>
      <c r="E227" s="224"/>
    </row>
    <row r="228">
      <c r="A228" s="224"/>
      <c r="B228" s="224"/>
      <c r="C228" s="224"/>
      <c r="D228" s="224"/>
      <c r="E228" s="224"/>
    </row>
    <row r="229">
      <c r="A229" s="224"/>
      <c r="B229" s="224"/>
      <c r="C229" s="224"/>
      <c r="D229" s="224"/>
      <c r="E229" s="224"/>
    </row>
    <row r="230">
      <c r="A230" s="224"/>
      <c r="B230" s="224"/>
      <c r="C230" s="224"/>
      <c r="D230" s="224"/>
      <c r="E230" s="224"/>
    </row>
    <row r="231">
      <c r="A231" s="224"/>
      <c r="B231" s="224"/>
      <c r="C231" s="224"/>
      <c r="D231" s="224"/>
      <c r="E231" s="224"/>
    </row>
    <row r="232">
      <c r="A232" s="224"/>
      <c r="B232" s="224"/>
      <c r="C232" s="224"/>
      <c r="D232" s="224"/>
      <c r="E232" s="224"/>
    </row>
    <row r="233">
      <c r="A233" s="224"/>
      <c r="B233" s="224"/>
      <c r="C233" s="224"/>
      <c r="D233" s="224"/>
      <c r="E233" s="224"/>
    </row>
    <row r="234">
      <c r="A234" s="224"/>
      <c r="B234" s="224"/>
      <c r="C234" s="224"/>
      <c r="D234" s="224"/>
      <c r="E234" s="224"/>
    </row>
    <row r="235">
      <c r="A235" s="224"/>
      <c r="B235" s="224"/>
      <c r="C235" s="224"/>
      <c r="D235" s="224"/>
      <c r="E235" s="224"/>
    </row>
    <row r="236">
      <c r="A236" s="224"/>
      <c r="B236" s="224"/>
      <c r="C236" s="224"/>
      <c r="D236" s="224"/>
      <c r="E236" s="224"/>
    </row>
    <row r="237">
      <c r="A237" s="224"/>
      <c r="B237" s="224"/>
      <c r="C237" s="224"/>
      <c r="D237" s="224"/>
      <c r="E237" s="224"/>
    </row>
    <row r="238">
      <c r="A238" s="224"/>
      <c r="B238" s="224"/>
      <c r="C238" s="224"/>
      <c r="D238" s="224"/>
      <c r="E238" s="224"/>
    </row>
    <row r="239">
      <c r="A239" s="224"/>
      <c r="B239" s="224"/>
      <c r="C239" s="224"/>
      <c r="D239" s="224"/>
      <c r="E239" s="224"/>
    </row>
    <row r="240">
      <c r="A240" s="224"/>
      <c r="B240" s="224"/>
      <c r="C240" s="224"/>
      <c r="D240" s="224"/>
      <c r="E240" s="224"/>
    </row>
    <row r="241">
      <c r="A241" s="224"/>
      <c r="B241" s="224"/>
      <c r="C241" s="224"/>
      <c r="D241" s="224"/>
      <c r="E241" s="224"/>
    </row>
    <row r="242">
      <c r="A242" s="224"/>
      <c r="B242" s="224"/>
      <c r="C242" s="224"/>
      <c r="D242" s="224"/>
      <c r="E242" s="224"/>
    </row>
    <row r="243">
      <c r="A243" s="224"/>
      <c r="B243" s="224"/>
      <c r="C243" s="224"/>
      <c r="D243" s="224"/>
      <c r="E243" s="224"/>
    </row>
    <row r="244">
      <c r="A244" s="224"/>
      <c r="B244" s="224"/>
      <c r="C244" s="224"/>
      <c r="D244" s="224"/>
      <c r="E244" s="224"/>
    </row>
    <row r="245">
      <c r="A245" s="224"/>
      <c r="B245" s="224"/>
      <c r="C245" s="224"/>
      <c r="D245" s="224"/>
      <c r="E245" s="224"/>
    </row>
    <row r="246">
      <c r="A246" s="224"/>
      <c r="B246" s="224"/>
      <c r="C246" s="224"/>
      <c r="D246" s="224"/>
      <c r="E246" s="224"/>
    </row>
    <row r="247">
      <c r="A247" s="224"/>
      <c r="B247" s="224"/>
      <c r="C247" s="224"/>
      <c r="D247" s="224"/>
      <c r="E247" s="224"/>
    </row>
    <row r="248">
      <c r="A248" s="224"/>
      <c r="B248" s="224"/>
      <c r="C248" s="224"/>
      <c r="D248" s="224"/>
      <c r="E248" s="224"/>
    </row>
    <row r="249">
      <c r="A249" s="224"/>
      <c r="B249" s="224"/>
      <c r="C249" s="224"/>
      <c r="D249" s="224"/>
      <c r="E249" s="224"/>
    </row>
    <row r="250">
      <c r="A250" s="224"/>
      <c r="B250" s="224"/>
      <c r="C250" s="224"/>
      <c r="D250" s="224"/>
      <c r="E250" s="224"/>
    </row>
    <row r="251">
      <c r="A251" s="224"/>
      <c r="B251" s="224"/>
      <c r="C251" s="224"/>
      <c r="D251" s="224"/>
      <c r="E251" s="224"/>
    </row>
    <row r="252">
      <c r="A252" s="224"/>
      <c r="B252" s="224"/>
      <c r="C252" s="224"/>
      <c r="D252" s="224"/>
      <c r="E252" s="224"/>
    </row>
    <row r="253">
      <c r="A253" s="224"/>
      <c r="B253" s="224"/>
      <c r="C253" s="224"/>
      <c r="D253" s="224"/>
      <c r="E253" s="224"/>
    </row>
    <row r="254">
      <c r="A254" s="224"/>
      <c r="B254" s="224"/>
      <c r="C254" s="224"/>
      <c r="D254" s="224"/>
      <c r="E254" s="224"/>
    </row>
    <row r="255">
      <c r="A255" s="224"/>
      <c r="B255" s="224"/>
      <c r="C255" s="224"/>
      <c r="D255" s="224"/>
      <c r="E255" s="224"/>
    </row>
    <row r="256">
      <c r="A256" s="224"/>
      <c r="B256" s="224"/>
      <c r="C256" s="224"/>
      <c r="D256" s="224"/>
      <c r="E256" s="224"/>
    </row>
    <row r="257">
      <c r="A257" s="224"/>
      <c r="B257" s="224"/>
      <c r="C257" s="224"/>
      <c r="D257" s="224"/>
      <c r="E257" s="224"/>
    </row>
    <row r="258">
      <c r="A258" s="224"/>
      <c r="B258" s="224"/>
      <c r="C258" s="224"/>
      <c r="D258" s="224"/>
      <c r="E258" s="224"/>
    </row>
    <row r="259">
      <c r="A259" s="224"/>
      <c r="B259" s="224"/>
      <c r="C259" s="224"/>
      <c r="D259" s="224"/>
      <c r="E259" s="224"/>
    </row>
    <row r="260">
      <c r="A260" s="224"/>
      <c r="B260" s="224"/>
      <c r="C260" s="224"/>
      <c r="D260" s="224"/>
      <c r="E260" s="224"/>
    </row>
    <row r="261">
      <c r="A261" s="224"/>
      <c r="B261" s="224"/>
      <c r="C261" s="224"/>
      <c r="D261" s="224"/>
      <c r="E261" s="224"/>
    </row>
    <row r="262">
      <c r="A262" s="224"/>
      <c r="B262" s="224"/>
      <c r="C262" s="224"/>
      <c r="D262" s="224"/>
      <c r="E262" s="224"/>
    </row>
    <row r="263">
      <c r="A263" s="224"/>
      <c r="B263" s="224"/>
      <c r="C263" s="224"/>
      <c r="D263" s="224"/>
      <c r="E263" s="224"/>
    </row>
    <row r="264">
      <c r="A264" s="224"/>
      <c r="B264" s="224"/>
      <c r="C264" s="224"/>
      <c r="D264" s="224"/>
      <c r="E264" s="224"/>
    </row>
    <row r="265">
      <c r="A265" s="224"/>
      <c r="B265" s="224"/>
      <c r="C265" s="224"/>
      <c r="D265" s="224"/>
      <c r="E265" s="224"/>
    </row>
    <row r="266">
      <c r="A266" s="224"/>
      <c r="B266" s="224"/>
      <c r="C266" s="224"/>
      <c r="D266" s="224"/>
      <c r="E266" s="224"/>
    </row>
    <row r="267">
      <c r="A267" s="224"/>
      <c r="B267" s="224"/>
      <c r="C267" s="224"/>
      <c r="D267" s="224"/>
      <c r="E267" s="224"/>
    </row>
    <row r="268">
      <c r="A268" s="224"/>
      <c r="B268" s="224"/>
      <c r="C268" s="224"/>
      <c r="D268" s="224"/>
      <c r="E268" s="224"/>
    </row>
    <row r="269">
      <c r="A269" s="224"/>
      <c r="B269" s="224"/>
      <c r="C269" s="224"/>
      <c r="D269" s="224"/>
      <c r="E269" s="224"/>
    </row>
    <row r="270">
      <c r="A270" s="224"/>
      <c r="B270" s="224"/>
      <c r="C270" s="224"/>
      <c r="D270" s="224"/>
      <c r="E270" s="224"/>
    </row>
    <row r="271">
      <c r="A271" s="224"/>
      <c r="B271" s="224"/>
      <c r="C271" s="224"/>
      <c r="D271" s="224"/>
      <c r="E271" s="224"/>
    </row>
    <row r="272">
      <c r="A272" s="224"/>
      <c r="B272" s="224"/>
      <c r="C272" s="224"/>
      <c r="D272" s="224"/>
      <c r="E272" s="224"/>
    </row>
    <row r="273">
      <c r="A273" s="224"/>
      <c r="B273" s="224"/>
      <c r="C273" s="224"/>
      <c r="D273" s="224"/>
      <c r="E273" s="224"/>
    </row>
    <row r="274">
      <c r="A274" s="224"/>
      <c r="B274" s="224"/>
      <c r="C274" s="224"/>
      <c r="D274" s="224"/>
      <c r="E274" s="224"/>
    </row>
    <row r="275">
      <c r="A275" s="224"/>
      <c r="B275" s="224"/>
      <c r="C275" s="224"/>
      <c r="D275" s="224"/>
      <c r="E275" s="224"/>
    </row>
    <row r="276">
      <c r="A276" s="224"/>
      <c r="B276" s="224"/>
      <c r="C276" s="224"/>
      <c r="D276" s="224"/>
      <c r="E276" s="224"/>
    </row>
    <row r="277">
      <c r="A277" s="224"/>
      <c r="B277" s="224"/>
      <c r="C277" s="224"/>
      <c r="D277" s="224"/>
      <c r="E277" s="224"/>
    </row>
    <row r="278">
      <c r="A278" s="224"/>
      <c r="B278" s="224"/>
      <c r="C278" s="224"/>
      <c r="D278" s="224"/>
      <c r="E278" s="224"/>
    </row>
    <row r="279">
      <c r="A279" s="224"/>
      <c r="B279" s="224"/>
      <c r="C279" s="224"/>
      <c r="D279" s="224"/>
      <c r="E279" s="224"/>
    </row>
    <row r="280">
      <c r="A280" s="224"/>
      <c r="B280" s="224"/>
      <c r="C280" s="224"/>
      <c r="D280" s="224"/>
      <c r="E280" s="224"/>
    </row>
    <row r="281">
      <c r="A281" s="224"/>
      <c r="B281" s="224"/>
      <c r="C281" s="224"/>
      <c r="D281" s="224"/>
      <c r="E281" s="224"/>
    </row>
    <row r="282">
      <c r="A282" s="224"/>
      <c r="B282" s="224"/>
      <c r="C282" s="224"/>
      <c r="D282" s="224"/>
      <c r="E282" s="224"/>
    </row>
    <row r="283">
      <c r="A283" s="224"/>
      <c r="B283" s="224"/>
      <c r="C283" s="224"/>
      <c r="D283" s="224"/>
      <c r="E283" s="224"/>
    </row>
    <row r="284">
      <c r="A284" s="224"/>
      <c r="B284" s="224"/>
      <c r="C284" s="224"/>
      <c r="D284" s="224"/>
      <c r="E284" s="224"/>
    </row>
    <row r="285">
      <c r="A285" s="224"/>
      <c r="B285" s="224"/>
      <c r="C285" s="224"/>
      <c r="D285" s="224"/>
      <c r="E285" s="224"/>
    </row>
    <row r="286">
      <c r="A286" s="224"/>
      <c r="B286" s="224"/>
      <c r="C286" s="224"/>
      <c r="D286" s="224"/>
      <c r="E286" s="224"/>
    </row>
    <row r="287">
      <c r="A287" s="224"/>
      <c r="B287" s="224"/>
      <c r="C287" s="224"/>
      <c r="D287" s="224"/>
      <c r="E287" s="224"/>
    </row>
    <row r="288">
      <c r="A288" s="224"/>
      <c r="B288" s="224"/>
      <c r="C288" s="224"/>
      <c r="D288" s="224"/>
      <c r="E288" s="224"/>
    </row>
    <row r="289">
      <c r="A289" s="224"/>
      <c r="B289" s="224"/>
      <c r="C289" s="224"/>
      <c r="D289" s="224"/>
      <c r="E289" s="224"/>
    </row>
    <row r="290">
      <c r="A290" s="224"/>
      <c r="B290" s="224"/>
      <c r="C290" s="224"/>
      <c r="D290" s="224"/>
      <c r="E290" s="224"/>
    </row>
    <row r="291">
      <c r="A291" s="224"/>
      <c r="B291" s="224"/>
      <c r="C291" s="224"/>
      <c r="D291" s="224"/>
      <c r="E291" s="224"/>
    </row>
    <row r="292">
      <c r="A292" s="224"/>
      <c r="B292" s="224"/>
      <c r="C292" s="224"/>
      <c r="D292" s="224"/>
      <c r="E292" s="224"/>
    </row>
    <row r="293">
      <c r="A293" s="224"/>
      <c r="B293" s="224"/>
      <c r="C293" s="224"/>
      <c r="D293" s="224"/>
      <c r="E293" s="224"/>
    </row>
    <row r="294">
      <c r="A294" s="224"/>
      <c r="B294" s="224"/>
      <c r="C294" s="224"/>
      <c r="D294" s="224"/>
      <c r="E294" s="224"/>
    </row>
    <row r="295">
      <c r="A295" s="224"/>
      <c r="B295" s="224"/>
      <c r="C295" s="224"/>
      <c r="D295" s="224"/>
      <c r="E295" s="224"/>
    </row>
    <row r="296">
      <c r="A296" s="224"/>
      <c r="B296" s="224"/>
      <c r="C296" s="224"/>
      <c r="D296" s="224"/>
      <c r="E296" s="224"/>
    </row>
    <row r="297">
      <c r="A297" s="224"/>
      <c r="B297" s="224"/>
      <c r="C297" s="224"/>
      <c r="D297" s="224"/>
      <c r="E297" s="224"/>
    </row>
    <row r="298">
      <c r="A298" s="224"/>
      <c r="B298" s="224"/>
      <c r="C298" s="224"/>
      <c r="D298" s="224"/>
      <c r="E298" s="224"/>
    </row>
    <row r="299">
      <c r="A299" s="224"/>
      <c r="B299" s="224"/>
      <c r="C299" s="224"/>
      <c r="D299" s="224"/>
      <c r="E299" s="224"/>
    </row>
    <row r="300">
      <c r="A300" s="224"/>
      <c r="B300" s="224"/>
      <c r="C300" s="224"/>
      <c r="D300" s="224"/>
      <c r="E300" s="224"/>
    </row>
    <row r="301">
      <c r="A301" s="224"/>
      <c r="B301" s="224"/>
      <c r="C301" s="224"/>
      <c r="D301" s="224"/>
      <c r="E301" s="224"/>
    </row>
    <row r="302">
      <c r="A302" s="224"/>
      <c r="B302" s="224"/>
      <c r="C302" s="224"/>
      <c r="D302" s="224"/>
      <c r="E302" s="224"/>
    </row>
    <row r="303">
      <c r="A303" s="224"/>
      <c r="B303" s="224"/>
      <c r="C303" s="224"/>
      <c r="D303" s="224"/>
      <c r="E303" s="224"/>
    </row>
    <row r="304">
      <c r="A304" s="224"/>
      <c r="B304" s="224"/>
      <c r="C304" s="224"/>
      <c r="D304" s="224"/>
      <c r="E304" s="224"/>
    </row>
    <row r="305">
      <c r="A305" s="224"/>
      <c r="B305" s="224"/>
      <c r="C305" s="224"/>
      <c r="D305" s="224"/>
      <c r="E305" s="224"/>
    </row>
    <row r="306">
      <c r="A306" s="224"/>
      <c r="B306" s="224"/>
      <c r="C306" s="224"/>
      <c r="D306" s="224"/>
      <c r="E306" s="224"/>
    </row>
    <row r="307">
      <c r="A307" s="224"/>
      <c r="B307" s="224"/>
      <c r="C307" s="224"/>
      <c r="D307" s="224"/>
      <c r="E307" s="224"/>
    </row>
    <row r="308">
      <c r="A308" s="224"/>
      <c r="B308" s="224"/>
      <c r="C308" s="224"/>
      <c r="D308" s="224"/>
      <c r="E308" s="224"/>
    </row>
    <row r="309">
      <c r="A309" s="224"/>
      <c r="B309" s="224"/>
      <c r="C309" s="224"/>
      <c r="D309" s="224"/>
      <c r="E309" s="224"/>
    </row>
    <row r="310">
      <c r="A310" s="224"/>
      <c r="B310" s="224"/>
      <c r="C310" s="224"/>
      <c r="D310" s="224"/>
      <c r="E310" s="224"/>
    </row>
    <row r="311">
      <c r="A311" s="224"/>
      <c r="B311" s="224"/>
      <c r="C311" s="224"/>
      <c r="D311" s="224"/>
      <c r="E311" s="224"/>
    </row>
    <row r="312">
      <c r="A312" s="224"/>
      <c r="B312" s="224"/>
      <c r="C312" s="224"/>
      <c r="D312" s="224"/>
      <c r="E312" s="224"/>
    </row>
    <row r="313">
      <c r="A313" s="224"/>
      <c r="B313" s="224"/>
      <c r="C313" s="224"/>
      <c r="D313" s="224"/>
      <c r="E313" s="224"/>
    </row>
    <row r="314">
      <c r="A314" s="224"/>
      <c r="B314" s="224"/>
      <c r="C314" s="224"/>
      <c r="D314" s="224"/>
      <c r="E314" s="224"/>
    </row>
    <row r="315">
      <c r="A315" s="224"/>
      <c r="B315" s="224"/>
      <c r="C315" s="224"/>
      <c r="D315" s="224"/>
      <c r="E315" s="224"/>
    </row>
    <row r="316">
      <c r="A316" s="224"/>
      <c r="B316" s="224"/>
      <c r="C316" s="224"/>
      <c r="D316" s="224"/>
      <c r="E316" s="224"/>
    </row>
    <row r="317">
      <c r="A317" s="224"/>
      <c r="B317" s="224"/>
      <c r="C317" s="224"/>
      <c r="D317" s="224"/>
      <c r="E317" s="224"/>
    </row>
    <row r="318">
      <c r="A318" s="224"/>
      <c r="B318" s="224"/>
      <c r="C318" s="224"/>
      <c r="D318" s="224"/>
      <c r="E318" s="224"/>
    </row>
    <row r="319">
      <c r="A319" s="224"/>
      <c r="B319" s="224"/>
      <c r="C319" s="224"/>
      <c r="D319" s="224"/>
      <c r="E319" s="224"/>
    </row>
    <row r="320">
      <c r="A320" s="224"/>
      <c r="B320" s="224"/>
      <c r="C320" s="224"/>
      <c r="D320" s="224"/>
      <c r="E320" s="224"/>
    </row>
    <row r="321">
      <c r="A321" s="224"/>
      <c r="B321" s="224"/>
      <c r="C321" s="224"/>
      <c r="D321" s="224"/>
      <c r="E321" s="224"/>
    </row>
    <row r="322">
      <c r="A322" s="224"/>
      <c r="B322" s="224"/>
      <c r="C322" s="224"/>
      <c r="D322" s="224"/>
      <c r="E322" s="224"/>
    </row>
    <row r="323">
      <c r="A323" s="224"/>
      <c r="B323" s="224"/>
      <c r="C323" s="224"/>
      <c r="D323" s="224"/>
      <c r="E323" s="224"/>
    </row>
    <row r="324">
      <c r="A324" s="224"/>
      <c r="B324" s="224"/>
      <c r="C324" s="224"/>
      <c r="D324" s="224"/>
      <c r="E324" s="224"/>
    </row>
    <row r="325">
      <c r="A325" s="224"/>
      <c r="B325" s="224"/>
      <c r="C325" s="224"/>
      <c r="D325" s="224"/>
      <c r="E325" s="224"/>
    </row>
    <row r="326">
      <c r="A326" s="224"/>
      <c r="B326" s="224"/>
      <c r="C326" s="224"/>
      <c r="D326" s="224"/>
      <c r="E326" s="224"/>
    </row>
    <row r="327">
      <c r="A327" s="224"/>
      <c r="B327" s="224"/>
      <c r="C327" s="224"/>
      <c r="D327" s="224"/>
      <c r="E327" s="224"/>
    </row>
    <row r="328">
      <c r="A328" s="224"/>
      <c r="B328" s="224"/>
      <c r="C328" s="224"/>
      <c r="D328" s="224"/>
      <c r="E328" s="224"/>
    </row>
    <row r="329">
      <c r="A329" s="224"/>
      <c r="B329" s="224"/>
      <c r="C329" s="224"/>
      <c r="D329" s="224"/>
      <c r="E329" s="224"/>
    </row>
    <row r="330">
      <c r="A330" s="224"/>
      <c r="B330" s="224"/>
      <c r="C330" s="224"/>
      <c r="D330" s="224"/>
      <c r="E330" s="224"/>
    </row>
    <row r="331">
      <c r="A331" s="224"/>
      <c r="B331" s="224"/>
      <c r="C331" s="224"/>
      <c r="D331" s="224"/>
      <c r="E331" s="224"/>
    </row>
    <row r="332">
      <c r="A332" s="224"/>
      <c r="B332" s="224"/>
      <c r="C332" s="224"/>
      <c r="D332" s="224"/>
      <c r="E332" s="224"/>
    </row>
    <row r="333">
      <c r="A333" s="224"/>
      <c r="B333" s="224"/>
      <c r="C333" s="224"/>
      <c r="D333" s="224"/>
      <c r="E333" s="224"/>
    </row>
    <row r="334">
      <c r="A334" s="224"/>
      <c r="B334" s="224"/>
      <c r="C334" s="224"/>
      <c r="D334" s="224"/>
      <c r="E334" s="224"/>
    </row>
    <row r="335">
      <c r="A335" s="224"/>
      <c r="B335" s="224"/>
      <c r="C335" s="224"/>
      <c r="D335" s="224"/>
      <c r="E335" s="224"/>
    </row>
    <row r="336">
      <c r="A336" s="224"/>
      <c r="B336" s="224"/>
      <c r="C336" s="224"/>
      <c r="D336" s="224"/>
      <c r="E336" s="224"/>
    </row>
    <row r="337">
      <c r="A337" s="224"/>
      <c r="B337" s="224"/>
      <c r="C337" s="224"/>
      <c r="D337" s="224"/>
      <c r="E337" s="224"/>
    </row>
    <row r="338">
      <c r="A338" s="224"/>
      <c r="B338" s="224"/>
      <c r="C338" s="224"/>
      <c r="D338" s="224"/>
      <c r="E338" s="224"/>
    </row>
    <row r="339">
      <c r="A339" s="224"/>
      <c r="B339" s="224"/>
      <c r="C339" s="224"/>
      <c r="D339" s="224"/>
      <c r="E339" s="224"/>
    </row>
    <row r="340">
      <c r="A340" s="224"/>
      <c r="B340" s="224"/>
      <c r="C340" s="224"/>
      <c r="D340" s="224"/>
      <c r="E340" s="224"/>
    </row>
    <row r="341">
      <c r="A341" s="224"/>
      <c r="B341" s="224"/>
      <c r="C341" s="224"/>
      <c r="D341" s="224"/>
      <c r="E341" s="224"/>
    </row>
    <row r="342">
      <c r="A342" s="224"/>
      <c r="B342" s="224"/>
      <c r="C342" s="224"/>
      <c r="D342" s="224"/>
      <c r="E342" s="224"/>
    </row>
    <row r="343">
      <c r="A343" s="224"/>
      <c r="B343" s="224"/>
      <c r="C343" s="224"/>
      <c r="D343" s="224"/>
      <c r="E343" s="224"/>
    </row>
    <row r="344">
      <c r="A344" s="224"/>
      <c r="B344" s="224"/>
      <c r="C344" s="224"/>
      <c r="D344" s="224"/>
      <c r="E344" s="224"/>
    </row>
    <row r="345">
      <c r="A345" s="224"/>
      <c r="B345" s="224"/>
      <c r="C345" s="224"/>
      <c r="D345" s="224"/>
      <c r="E345" s="224"/>
    </row>
    <row r="346">
      <c r="A346" s="224"/>
      <c r="B346" s="224"/>
      <c r="C346" s="224"/>
      <c r="D346" s="224"/>
      <c r="E346" s="224"/>
    </row>
    <row r="347">
      <c r="A347" s="224"/>
      <c r="B347" s="224"/>
      <c r="C347" s="224"/>
      <c r="D347" s="224"/>
      <c r="E347" s="224"/>
    </row>
    <row r="348">
      <c r="A348" s="224"/>
      <c r="B348" s="224"/>
      <c r="C348" s="224"/>
      <c r="D348" s="224"/>
      <c r="E348" s="224"/>
    </row>
    <row r="349">
      <c r="A349" s="224"/>
      <c r="B349" s="224"/>
      <c r="C349" s="224"/>
      <c r="D349" s="224"/>
      <c r="E349" s="224"/>
    </row>
    <row r="350">
      <c r="A350" s="224"/>
      <c r="B350" s="224"/>
      <c r="C350" s="224"/>
      <c r="D350" s="224"/>
      <c r="E350" s="224"/>
    </row>
    <row r="351">
      <c r="A351" s="224"/>
      <c r="B351" s="224"/>
      <c r="C351" s="224"/>
      <c r="D351" s="224"/>
      <c r="E351" s="224"/>
    </row>
    <row r="352">
      <c r="A352" s="224"/>
      <c r="B352" s="224"/>
      <c r="C352" s="224"/>
      <c r="D352" s="224"/>
      <c r="E352" s="224"/>
    </row>
    <row r="353">
      <c r="A353" s="224"/>
      <c r="B353" s="224"/>
      <c r="C353" s="224"/>
      <c r="D353" s="224"/>
      <c r="E353" s="224"/>
    </row>
    <row r="354">
      <c r="A354" s="224"/>
      <c r="B354" s="224"/>
      <c r="C354" s="224"/>
      <c r="D354" s="224"/>
      <c r="E354" s="224"/>
    </row>
    <row r="355">
      <c r="A355" s="224"/>
      <c r="B355" s="224"/>
      <c r="C355" s="224"/>
      <c r="D355" s="224"/>
      <c r="E355" s="224"/>
    </row>
    <row r="356">
      <c r="A356" s="224"/>
      <c r="B356" s="224"/>
      <c r="C356" s="224"/>
      <c r="D356" s="224"/>
      <c r="E356" s="224"/>
    </row>
    <row r="357">
      <c r="A357" s="224"/>
      <c r="B357" s="224"/>
      <c r="C357" s="224"/>
      <c r="D357" s="224"/>
      <c r="E357" s="224"/>
    </row>
    <row r="358">
      <c r="A358" s="224"/>
      <c r="B358" s="224"/>
      <c r="C358" s="224"/>
      <c r="D358" s="224"/>
      <c r="E358" s="224"/>
    </row>
    <row r="359">
      <c r="A359" s="224"/>
      <c r="B359" s="224"/>
      <c r="C359" s="224"/>
      <c r="D359" s="224"/>
      <c r="E359" s="224"/>
    </row>
    <row r="360">
      <c r="A360" s="224"/>
      <c r="B360" s="224"/>
      <c r="C360" s="224"/>
      <c r="D360" s="224"/>
      <c r="E360" s="224"/>
    </row>
    <row r="361">
      <c r="A361" s="224"/>
      <c r="B361" s="224"/>
      <c r="C361" s="224"/>
      <c r="D361" s="224"/>
      <c r="E361" s="224"/>
    </row>
    <row r="362">
      <c r="A362" s="224"/>
      <c r="B362" s="224"/>
      <c r="C362" s="224"/>
      <c r="D362" s="224"/>
      <c r="E362" s="224"/>
    </row>
    <row r="363">
      <c r="A363" s="224"/>
      <c r="B363" s="224"/>
      <c r="C363" s="224"/>
      <c r="D363" s="224"/>
      <c r="E363" s="224"/>
    </row>
    <row r="364">
      <c r="A364" s="224"/>
      <c r="B364" s="224"/>
      <c r="C364" s="224"/>
      <c r="D364" s="224"/>
      <c r="E364" s="224"/>
    </row>
    <row r="365">
      <c r="A365" s="224"/>
      <c r="B365" s="224"/>
      <c r="C365" s="224"/>
      <c r="D365" s="224"/>
      <c r="E365" s="224"/>
    </row>
    <row r="366">
      <c r="A366" s="224"/>
      <c r="B366" s="224"/>
      <c r="C366" s="224"/>
      <c r="D366" s="224"/>
      <c r="E366" s="224"/>
    </row>
    <row r="367">
      <c r="A367" s="224"/>
      <c r="B367" s="224"/>
      <c r="C367" s="224"/>
      <c r="D367" s="224"/>
      <c r="E367" s="224"/>
    </row>
    <row r="368">
      <c r="A368" s="224"/>
      <c r="B368" s="224"/>
      <c r="C368" s="224"/>
      <c r="D368" s="224"/>
      <c r="E368" s="224"/>
    </row>
    <row r="369">
      <c r="A369" s="224"/>
      <c r="B369" s="224"/>
      <c r="C369" s="224"/>
      <c r="D369" s="224"/>
      <c r="E369" s="224"/>
    </row>
    <row r="370">
      <c r="A370" s="224"/>
      <c r="B370" s="224"/>
      <c r="C370" s="224"/>
      <c r="D370" s="224"/>
      <c r="E370" s="224"/>
    </row>
    <row r="371">
      <c r="A371" s="224"/>
      <c r="B371" s="224"/>
      <c r="C371" s="224"/>
      <c r="D371" s="224"/>
      <c r="E371" s="224"/>
    </row>
    <row r="372">
      <c r="A372" s="224"/>
      <c r="B372" s="224"/>
      <c r="C372" s="224"/>
      <c r="D372" s="224"/>
      <c r="E372" s="224"/>
    </row>
    <row r="373">
      <c r="A373" s="224"/>
      <c r="B373" s="224"/>
      <c r="C373" s="224"/>
      <c r="D373" s="224"/>
      <c r="E373" s="224"/>
    </row>
    <row r="374">
      <c r="A374" s="224"/>
      <c r="B374" s="224"/>
      <c r="C374" s="224"/>
      <c r="D374" s="224"/>
      <c r="E374" s="224"/>
    </row>
    <row r="375">
      <c r="A375" s="224"/>
      <c r="B375" s="224"/>
      <c r="C375" s="224"/>
      <c r="D375" s="224"/>
      <c r="E375" s="224"/>
    </row>
    <row r="376">
      <c r="A376" s="224"/>
      <c r="B376" s="224"/>
      <c r="C376" s="224"/>
      <c r="D376" s="224"/>
      <c r="E376" s="224"/>
    </row>
    <row r="377">
      <c r="A377" s="224"/>
      <c r="B377" s="224"/>
      <c r="C377" s="224"/>
      <c r="D377" s="224"/>
      <c r="E377" s="224"/>
    </row>
    <row r="378">
      <c r="A378" s="224"/>
      <c r="B378" s="224"/>
      <c r="C378" s="224"/>
      <c r="D378" s="224"/>
      <c r="E378" s="224"/>
    </row>
    <row r="379">
      <c r="A379" s="224"/>
      <c r="B379" s="224"/>
      <c r="C379" s="224"/>
      <c r="D379" s="224"/>
      <c r="E379" s="224"/>
    </row>
    <row r="380">
      <c r="A380" s="224"/>
      <c r="B380" s="224"/>
      <c r="C380" s="224"/>
      <c r="D380" s="224"/>
      <c r="E380" s="224"/>
    </row>
    <row r="381">
      <c r="A381" s="224"/>
      <c r="B381" s="224"/>
      <c r="C381" s="224"/>
      <c r="D381" s="224"/>
      <c r="E381" s="224"/>
    </row>
    <row r="382">
      <c r="A382" s="224"/>
      <c r="B382" s="224"/>
      <c r="C382" s="224"/>
      <c r="D382" s="224"/>
      <c r="E382" s="224"/>
    </row>
    <row r="383">
      <c r="A383" s="224"/>
      <c r="B383" s="224"/>
      <c r="C383" s="224"/>
      <c r="D383" s="224"/>
      <c r="E383" s="224"/>
    </row>
    <row r="384">
      <c r="A384" s="224"/>
      <c r="B384" s="224"/>
      <c r="C384" s="224"/>
      <c r="D384" s="224"/>
      <c r="E384" s="224"/>
    </row>
    <row r="385">
      <c r="A385" s="224"/>
      <c r="B385" s="224"/>
      <c r="C385" s="224"/>
      <c r="D385" s="224"/>
      <c r="E385" s="224"/>
    </row>
    <row r="386">
      <c r="A386" s="224"/>
      <c r="B386" s="224"/>
      <c r="C386" s="224"/>
      <c r="D386" s="224"/>
      <c r="E386" s="224"/>
    </row>
    <row r="387">
      <c r="A387" s="224"/>
      <c r="B387" s="224"/>
      <c r="C387" s="224"/>
      <c r="D387" s="224"/>
      <c r="E387" s="224"/>
    </row>
    <row r="388">
      <c r="A388" s="224"/>
      <c r="B388" s="224"/>
      <c r="C388" s="224"/>
      <c r="D388" s="224"/>
      <c r="E388" s="224"/>
    </row>
    <row r="389">
      <c r="A389" s="224"/>
      <c r="B389" s="224"/>
      <c r="C389" s="224"/>
      <c r="D389" s="224"/>
      <c r="E389" s="224"/>
    </row>
    <row r="390">
      <c r="A390" s="224"/>
      <c r="B390" s="224"/>
      <c r="C390" s="224"/>
      <c r="D390" s="224"/>
      <c r="E390" s="224"/>
    </row>
    <row r="391">
      <c r="A391" s="224"/>
      <c r="B391" s="224"/>
      <c r="C391" s="224"/>
      <c r="D391" s="224"/>
      <c r="E391" s="224"/>
    </row>
    <row r="392">
      <c r="A392" s="224"/>
      <c r="B392" s="224"/>
      <c r="C392" s="224"/>
      <c r="D392" s="224"/>
      <c r="E392" s="224"/>
    </row>
    <row r="393">
      <c r="A393" s="224"/>
      <c r="B393" s="224"/>
      <c r="C393" s="224"/>
      <c r="D393" s="224"/>
      <c r="E393" s="224"/>
    </row>
    <row r="394">
      <c r="A394" s="224"/>
      <c r="B394" s="224"/>
      <c r="C394" s="224"/>
      <c r="D394" s="224"/>
      <c r="E394" s="224"/>
    </row>
    <row r="395">
      <c r="A395" s="224"/>
      <c r="B395" s="224"/>
      <c r="C395" s="224"/>
      <c r="D395" s="224"/>
      <c r="E395" s="224"/>
    </row>
    <row r="396">
      <c r="A396" s="224"/>
      <c r="B396" s="224"/>
      <c r="C396" s="224"/>
      <c r="D396" s="224"/>
      <c r="E396" s="224"/>
    </row>
    <row r="397">
      <c r="A397" s="224"/>
      <c r="B397" s="224"/>
      <c r="C397" s="224"/>
      <c r="D397" s="224"/>
      <c r="E397" s="224"/>
    </row>
    <row r="398">
      <c r="A398" s="224"/>
      <c r="B398" s="224"/>
      <c r="C398" s="224"/>
      <c r="D398" s="224"/>
      <c r="E398" s="224"/>
    </row>
    <row r="399">
      <c r="A399" s="224"/>
      <c r="B399" s="224"/>
      <c r="C399" s="224"/>
      <c r="D399" s="224"/>
      <c r="E399" s="224"/>
    </row>
    <row r="400">
      <c r="A400" s="224"/>
      <c r="B400" s="224"/>
      <c r="C400" s="224"/>
      <c r="D400" s="224"/>
      <c r="E400" s="224"/>
    </row>
    <row r="401">
      <c r="A401" s="224"/>
      <c r="B401" s="224"/>
      <c r="C401" s="224"/>
      <c r="D401" s="224"/>
      <c r="E401" s="224"/>
    </row>
    <row r="402">
      <c r="A402" s="224"/>
      <c r="B402" s="224"/>
      <c r="C402" s="224"/>
      <c r="D402" s="224"/>
      <c r="E402" s="224"/>
    </row>
    <row r="403">
      <c r="A403" s="224"/>
      <c r="B403" s="224"/>
      <c r="C403" s="224"/>
      <c r="D403" s="224"/>
      <c r="E403" s="224"/>
    </row>
    <row r="404">
      <c r="A404" s="224"/>
      <c r="B404" s="224"/>
      <c r="C404" s="224"/>
      <c r="D404" s="224"/>
      <c r="E404" s="224"/>
    </row>
    <row r="405">
      <c r="A405" s="224"/>
      <c r="B405" s="224"/>
      <c r="C405" s="224"/>
      <c r="D405" s="224"/>
      <c r="E405" s="224"/>
    </row>
    <row r="406">
      <c r="A406" s="224"/>
      <c r="B406" s="224"/>
      <c r="C406" s="224"/>
      <c r="D406" s="224"/>
      <c r="E406" s="224"/>
    </row>
    <row r="407">
      <c r="A407" s="224"/>
      <c r="B407" s="224"/>
      <c r="C407" s="224"/>
      <c r="D407" s="224"/>
      <c r="E407" s="224"/>
    </row>
    <row r="408">
      <c r="A408" s="224"/>
      <c r="B408" s="224"/>
      <c r="C408" s="224"/>
      <c r="D408" s="224"/>
      <c r="E408" s="224"/>
    </row>
    <row r="409">
      <c r="A409" s="224"/>
      <c r="B409" s="224"/>
      <c r="C409" s="224"/>
      <c r="D409" s="224"/>
      <c r="E409" s="224"/>
    </row>
    <row r="410">
      <c r="A410" s="224"/>
      <c r="B410" s="224"/>
      <c r="C410" s="224"/>
      <c r="D410" s="224"/>
      <c r="E410" s="224"/>
    </row>
    <row r="411">
      <c r="A411" s="224"/>
      <c r="B411" s="224"/>
      <c r="C411" s="224"/>
      <c r="D411" s="224"/>
      <c r="E411" s="224"/>
    </row>
    <row r="412">
      <c r="A412" s="224"/>
      <c r="B412" s="224"/>
      <c r="C412" s="224"/>
      <c r="D412" s="224"/>
      <c r="E412" s="224"/>
    </row>
    <row r="413">
      <c r="A413" s="224"/>
      <c r="B413" s="224"/>
      <c r="C413" s="224"/>
      <c r="D413" s="224"/>
      <c r="E413" s="224"/>
    </row>
    <row r="414">
      <c r="A414" s="224"/>
      <c r="B414" s="224"/>
      <c r="C414" s="224"/>
      <c r="D414" s="224"/>
      <c r="E414" s="224"/>
    </row>
    <row r="415">
      <c r="A415" s="224"/>
      <c r="B415" s="224"/>
      <c r="C415" s="224"/>
      <c r="D415" s="224"/>
      <c r="E415" s="224"/>
    </row>
    <row r="416">
      <c r="A416" s="224"/>
      <c r="B416" s="224"/>
      <c r="C416" s="224"/>
      <c r="D416" s="224"/>
      <c r="E416" s="224"/>
    </row>
    <row r="417">
      <c r="A417" s="224"/>
      <c r="B417" s="224"/>
      <c r="C417" s="224"/>
      <c r="D417" s="224"/>
      <c r="E417" s="224"/>
    </row>
    <row r="418">
      <c r="A418" s="224"/>
      <c r="B418" s="224"/>
      <c r="C418" s="224"/>
      <c r="D418" s="224"/>
      <c r="E418" s="224"/>
    </row>
    <row r="419">
      <c r="A419" s="224"/>
      <c r="B419" s="224"/>
      <c r="C419" s="224"/>
      <c r="D419" s="224"/>
      <c r="E419" s="224"/>
    </row>
    <row r="420">
      <c r="A420" s="224"/>
      <c r="B420" s="224"/>
      <c r="C420" s="224"/>
      <c r="D420" s="224"/>
      <c r="E420" s="224"/>
    </row>
    <row r="421">
      <c r="A421" s="224"/>
      <c r="B421" s="224"/>
      <c r="C421" s="224"/>
      <c r="D421" s="224"/>
      <c r="E421" s="224"/>
    </row>
    <row r="422">
      <c r="A422" s="224"/>
      <c r="B422" s="224"/>
      <c r="C422" s="224"/>
      <c r="D422" s="224"/>
      <c r="E422" s="224"/>
    </row>
    <row r="423">
      <c r="A423" s="224"/>
      <c r="B423" s="224"/>
      <c r="C423" s="224"/>
      <c r="D423" s="224"/>
      <c r="E423" s="224"/>
    </row>
    <row r="424">
      <c r="A424" s="224"/>
      <c r="B424" s="224"/>
      <c r="C424" s="224"/>
      <c r="D424" s="224"/>
      <c r="E424" s="224"/>
    </row>
    <row r="425">
      <c r="A425" s="224"/>
      <c r="B425" s="224"/>
      <c r="C425" s="224"/>
      <c r="D425" s="224"/>
      <c r="E425" s="224"/>
    </row>
    <row r="426">
      <c r="A426" s="224"/>
      <c r="B426" s="224"/>
      <c r="C426" s="224"/>
      <c r="D426" s="224"/>
      <c r="E426" s="224"/>
    </row>
    <row r="427">
      <c r="A427" s="224"/>
      <c r="B427" s="224"/>
      <c r="C427" s="224"/>
      <c r="D427" s="224"/>
      <c r="E427" s="224"/>
    </row>
    <row r="428">
      <c r="A428" s="224"/>
      <c r="B428" s="224"/>
      <c r="C428" s="224"/>
      <c r="D428" s="224"/>
      <c r="E428" s="224"/>
    </row>
    <row r="429">
      <c r="A429" s="224"/>
      <c r="B429" s="224"/>
      <c r="C429" s="224"/>
      <c r="D429" s="224"/>
      <c r="E429" s="224"/>
    </row>
    <row r="430">
      <c r="A430" s="224"/>
      <c r="B430" s="224"/>
      <c r="C430" s="224"/>
      <c r="D430" s="224"/>
      <c r="E430" s="224"/>
    </row>
    <row r="431">
      <c r="A431" s="224"/>
      <c r="B431" s="224"/>
      <c r="C431" s="224"/>
      <c r="D431" s="224"/>
      <c r="E431" s="224"/>
    </row>
    <row r="432">
      <c r="A432" s="224"/>
      <c r="B432" s="224"/>
      <c r="C432" s="224"/>
      <c r="D432" s="224"/>
      <c r="E432" s="224"/>
    </row>
    <row r="433">
      <c r="A433" s="224"/>
      <c r="B433" s="224"/>
      <c r="C433" s="224"/>
      <c r="D433" s="224"/>
      <c r="E433" s="224"/>
    </row>
    <row r="434">
      <c r="A434" s="224"/>
      <c r="B434" s="224"/>
      <c r="C434" s="224"/>
      <c r="D434" s="224"/>
      <c r="E434" s="224"/>
    </row>
    <row r="435">
      <c r="A435" s="224"/>
      <c r="B435" s="224"/>
      <c r="C435" s="224"/>
      <c r="D435" s="224"/>
      <c r="E435" s="224"/>
    </row>
    <row r="436">
      <c r="A436" s="224"/>
      <c r="B436" s="224"/>
      <c r="C436" s="224"/>
      <c r="D436" s="224"/>
      <c r="E436" s="224"/>
    </row>
    <row r="437">
      <c r="A437" s="224"/>
      <c r="B437" s="224"/>
      <c r="C437" s="224"/>
      <c r="D437" s="224"/>
      <c r="E437" s="224"/>
    </row>
    <row r="438">
      <c r="A438" s="224"/>
      <c r="B438" s="224"/>
      <c r="C438" s="224"/>
      <c r="D438" s="224"/>
      <c r="E438" s="224"/>
    </row>
    <row r="439">
      <c r="A439" s="224"/>
      <c r="B439" s="224"/>
      <c r="C439" s="224"/>
      <c r="D439" s="224"/>
      <c r="E439" s="224"/>
    </row>
    <row r="440">
      <c r="A440" s="224"/>
      <c r="B440" s="224"/>
      <c r="C440" s="224"/>
      <c r="D440" s="224"/>
      <c r="E440" s="224"/>
    </row>
    <row r="441">
      <c r="A441" s="224"/>
      <c r="B441" s="224"/>
      <c r="C441" s="224"/>
      <c r="D441" s="224"/>
      <c r="E441" s="224"/>
    </row>
    <row r="442">
      <c r="A442" s="224"/>
      <c r="B442" s="224"/>
      <c r="C442" s="224"/>
      <c r="D442" s="224"/>
      <c r="E442" s="224"/>
    </row>
    <row r="443">
      <c r="A443" s="224"/>
      <c r="B443" s="224"/>
      <c r="C443" s="224"/>
      <c r="D443" s="224"/>
      <c r="E443" s="224"/>
    </row>
    <row r="444">
      <c r="A444" s="224"/>
      <c r="B444" s="224"/>
      <c r="C444" s="224"/>
      <c r="D444" s="224"/>
      <c r="E444" s="224"/>
    </row>
    <row r="445">
      <c r="A445" s="224"/>
      <c r="B445" s="224"/>
      <c r="C445" s="224"/>
      <c r="D445" s="224"/>
      <c r="E445" s="224"/>
    </row>
    <row r="446">
      <c r="A446" s="224"/>
      <c r="B446" s="224"/>
      <c r="C446" s="224"/>
      <c r="D446" s="224"/>
      <c r="E446" s="224"/>
    </row>
    <row r="447">
      <c r="A447" s="224"/>
      <c r="B447" s="224"/>
      <c r="C447" s="224"/>
      <c r="D447" s="224"/>
      <c r="E447" s="224"/>
    </row>
    <row r="448">
      <c r="A448" s="224"/>
      <c r="B448" s="224"/>
      <c r="C448" s="224"/>
      <c r="D448" s="224"/>
      <c r="E448" s="224"/>
    </row>
    <row r="449">
      <c r="A449" s="224"/>
      <c r="B449" s="224"/>
      <c r="C449" s="224"/>
      <c r="D449" s="224"/>
      <c r="E449" s="224"/>
    </row>
    <row r="450">
      <c r="A450" s="224"/>
      <c r="B450" s="224"/>
      <c r="C450" s="224"/>
      <c r="D450" s="224"/>
      <c r="E450" s="224"/>
    </row>
    <row r="451">
      <c r="A451" s="224"/>
      <c r="B451" s="224"/>
      <c r="C451" s="224"/>
      <c r="D451" s="224"/>
      <c r="E451" s="224"/>
    </row>
    <row r="452">
      <c r="A452" s="224"/>
      <c r="B452" s="224"/>
      <c r="C452" s="224"/>
      <c r="D452" s="224"/>
      <c r="E452" s="224"/>
    </row>
    <row r="453">
      <c r="A453" s="224"/>
      <c r="B453" s="224"/>
      <c r="C453" s="224"/>
      <c r="D453" s="224"/>
      <c r="E453" s="224"/>
    </row>
    <row r="454">
      <c r="A454" s="224"/>
      <c r="B454" s="224"/>
      <c r="C454" s="224"/>
      <c r="D454" s="224"/>
      <c r="E454" s="224"/>
    </row>
    <row r="455">
      <c r="A455" s="224"/>
      <c r="B455" s="224"/>
      <c r="C455" s="224"/>
      <c r="D455" s="224"/>
      <c r="E455" s="224"/>
    </row>
    <row r="456">
      <c r="A456" s="224"/>
      <c r="B456" s="224"/>
      <c r="C456" s="224"/>
      <c r="D456" s="224"/>
      <c r="E456" s="224"/>
    </row>
    <row r="457">
      <c r="A457" s="224"/>
      <c r="B457" s="224"/>
      <c r="C457" s="224"/>
      <c r="D457" s="224"/>
      <c r="E457" s="224"/>
    </row>
    <row r="458">
      <c r="A458" s="224"/>
      <c r="B458" s="224"/>
      <c r="C458" s="224"/>
      <c r="D458" s="224"/>
      <c r="E458" s="224"/>
    </row>
    <row r="459">
      <c r="A459" s="224"/>
      <c r="B459" s="224"/>
      <c r="C459" s="224"/>
      <c r="D459" s="224"/>
      <c r="E459" s="224"/>
    </row>
    <row r="460">
      <c r="A460" s="224"/>
      <c r="B460" s="224"/>
      <c r="C460" s="224"/>
      <c r="D460" s="224"/>
      <c r="E460" s="224"/>
    </row>
    <row r="461">
      <c r="A461" s="224"/>
      <c r="B461" s="224"/>
      <c r="C461" s="224"/>
      <c r="D461" s="224"/>
      <c r="E461" s="224"/>
    </row>
    <row r="462">
      <c r="A462" s="224"/>
      <c r="B462" s="224"/>
      <c r="C462" s="224"/>
      <c r="D462" s="224"/>
      <c r="E462" s="224"/>
    </row>
    <row r="463">
      <c r="A463" s="224"/>
      <c r="B463" s="224"/>
      <c r="C463" s="224"/>
      <c r="D463" s="224"/>
      <c r="E463" s="224"/>
    </row>
    <row r="464">
      <c r="A464" s="224"/>
      <c r="B464" s="224"/>
      <c r="C464" s="224"/>
      <c r="D464" s="224"/>
      <c r="E464" s="224"/>
    </row>
    <row r="465">
      <c r="A465" s="224"/>
      <c r="B465" s="224"/>
      <c r="C465" s="224"/>
      <c r="D465" s="224"/>
      <c r="E465" s="224"/>
    </row>
    <row r="466">
      <c r="A466" s="224"/>
      <c r="B466" s="224"/>
      <c r="C466" s="224"/>
      <c r="D466" s="224"/>
      <c r="E466" s="224"/>
    </row>
    <row r="467">
      <c r="A467" s="224"/>
      <c r="B467" s="224"/>
      <c r="C467" s="224"/>
      <c r="D467" s="224"/>
      <c r="E467" s="224"/>
    </row>
    <row r="468">
      <c r="A468" s="224"/>
      <c r="B468" s="224"/>
      <c r="C468" s="224"/>
      <c r="D468" s="224"/>
      <c r="E468" s="224"/>
    </row>
    <row r="469">
      <c r="A469" s="224"/>
      <c r="B469" s="224"/>
      <c r="C469" s="224"/>
      <c r="D469" s="224"/>
      <c r="E469" s="224"/>
    </row>
    <row r="470">
      <c r="A470" s="224"/>
      <c r="B470" s="224"/>
      <c r="C470" s="224"/>
      <c r="D470" s="224"/>
      <c r="E470" s="224"/>
    </row>
    <row r="471">
      <c r="A471" s="224"/>
      <c r="B471" s="224"/>
      <c r="C471" s="224"/>
      <c r="D471" s="224"/>
      <c r="E471" s="224"/>
    </row>
    <row r="472">
      <c r="A472" s="224"/>
      <c r="B472" s="224"/>
      <c r="C472" s="224"/>
      <c r="D472" s="224"/>
      <c r="E472" s="224"/>
    </row>
    <row r="473">
      <c r="A473" s="224"/>
      <c r="B473" s="224"/>
      <c r="C473" s="224"/>
      <c r="D473" s="224"/>
      <c r="E473" s="224"/>
    </row>
    <row r="474">
      <c r="A474" s="224"/>
      <c r="B474" s="224"/>
      <c r="C474" s="224"/>
      <c r="D474" s="224"/>
      <c r="E474" s="224"/>
    </row>
    <row r="475">
      <c r="A475" s="224"/>
      <c r="B475" s="224"/>
      <c r="C475" s="224"/>
      <c r="D475" s="224"/>
      <c r="E475" s="224"/>
    </row>
    <row r="476">
      <c r="A476" s="224"/>
      <c r="B476" s="224"/>
      <c r="C476" s="224"/>
      <c r="D476" s="224"/>
      <c r="E476" s="224"/>
    </row>
    <row r="477">
      <c r="A477" s="224"/>
      <c r="B477" s="224"/>
      <c r="C477" s="224"/>
      <c r="D477" s="224"/>
      <c r="E477" s="224"/>
    </row>
    <row r="478">
      <c r="A478" s="224"/>
      <c r="B478" s="224"/>
      <c r="C478" s="224"/>
      <c r="D478" s="224"/>
      <c r="E478" s="224"/>
    </row>
    <row r="479">
      <c r="A479" s="224"/>
      <c r="B479" s="224"/>
      <c r="C479" s="224"/>
      <c r="D479" s="224"/>
      <c r="E479" s="224"/>
    </row>
    <row r="480">
      <c r="A480" s="224"/>
      <c r="B480" s="224"/>
      <c r="C480" s="224"/>
      <c r="D480" s="224"/>
      <c r="E480" s="224"/>
    </row>
    <row r="481">
      <c r="A481" s="224"/>
      <c r="B481" s="224"/>
      <c r="C481" s="224"/>
      <c r="D481" s="224"/>
      <c r="E481" s="224"/>
    </row>
    <row r="482">
      <c r="A482" s="224"/>
      <c r="B482" s="224"/>
      <c r="C482" s="224"/>
      <c r="D482" s="224"/>
      <c r="E482" s="224"/>
    </row>
    <row r="483">
      <c r="A483" s="224"/>
      <c r="B483" s="224"/>
      <c r="C483" s="224"/>
      <c r="D483" s="224"/>
      <c r="E483" s="224"/>
    </row>
    <row r="484">
      <c r="A484" s="224"/>
      <c r="B484" s="224"/>
      <c r="C484" s="224"/>
      <c r="D484" s="224"/>
      <c r="E484" s="224"/>
    </row>
    <row r="485">
      <c r="A485" s="224"/>
      <c r="B485" s="224"/>
      <c r="C485" s="224"/>
      <c r="D485" s="224"/>
      <c r="E485" s="224"/>
    </row>
    <row r="486">
      <c r="A486" s="224"/>
      <c r="B486" s="224"/>
      <c r="C486" s="224"/>
      <c r="D486" s="224"/>
      <c r="E486" s="224"/>
    </row>
    <row r="487">
      <c r="A487" s="224"/>
      <c r="B487" s="224"/>
      <c r="C487" s="224"/>
      <c r="D487" s="224"/>
      <c r="E487" s="224"/>
    </row>
    <row r="488">
      <c r="A488" s="224"/>
      <c r="B488" s="224"/>
      <c r="C488" s="224"/>
      <c r="D488" s="224"/>
      <c r="E488" s="224"/>
    </row>
    <row r="489">
      <c r="A489" s="224"/>
      <c r="B489" s="224"/>
      <c r="C489" s="224"/>
      <c r="D489" s="224"/>
      <c r="E489" s="224"/>
    </row>
    <row r="490">
      <c r="A490" s="224"/>
      <c r="B490" s="224"/>
      <c r="C490" s="224"/>
      <c r="D490" s="224"/>
      <c r="E490" s="224"/>
    </row>
    <row r="491">
      <c r="A491" s="224"/>
      <c r="B491" s="224"/>
      <c r="C491" s="224"/>
      <c r="D491" s="224"/>
      <c r="E491" s="224"/>
    </row>
    <row r="492">
      <c r="A492" s="224"/>
      <c r="B492" s="224"/>
      <c r="C492" s="224"/>
      <c r="D492" s="224"/>
      <c r="E492" s="224"/>
    </row>
    <row r="493">
      <c r="A493" s="224"/>
      <c r="B493" s="224"/>
      <c r="C493" s="224"/>
      <c r="D493" s="224"/>
      <c r="E493" s="224"/>
    </row>
    <row r="494">
      <c r="A494" s="224"/>
      <c r="B494" s="224"/>
      <c r="C494" s="224"/>
      <c r="D494" s="224"/>
      <c r="E494" s="224"/>
    </row>
    <row r="495">
      <c r="A495" s="224"/>
      <c r="B495" s="224"/>
      <c r="C495" s="224"/>
      <c r="D495" s="224"/>
      <c r="E495" s="224"/>
    </row>
    <row r="496">
      <c r="A496" s="224"/>
      <c r="B496" s="224"/>
      <c r="C496" s="224"/>
      <c r="D496" s="224"/>
      <c r="E496" s="224"/>
    </row>
    <row r="497">
      <c r="A497" s="224"/>
      <c r="B497" s="224"/>
      <c r="C497" s="224"/>
      <c r="D497" s="224"/>
      <c r="E497" s="224"/>
    </row>
    <row r="498">
      <c r="A498" s="224"/>
      <c r="B498" s="224"/>
      <c r="C498" s="224"/>
      <c r="D498" s="224"/>
      <c r="E498" s="224"/>
    </row>
    <row r="499">
      <c r="A499" s="224"/>
      <c r="B499" s="224"/>
      <c r="C499" s="224"/>
      <c r="D499" s="224"/>
      <c r="E499" s="224"/>
    </row>
    <row r="500">
      <c r="A500" s="224"/>
      <c r="B500" s="224"/>
      <c r="C500" s="224"/>
      <c r="D500" s="224"/>
      <c r="E500" s="224"/>
    </row>
    <row r="501">
      <c r="A501" s="224"/>
      <c r="B501" s="224"/>
      <c r="C501" s="224"/>
      <c r="D501" s="224"/>
      <c r="E501" s="224"/>
    </row>
    <row r="502">
      <c r="A502" s="224"/>
      <c r="B502" s="224"/>
      <c r="C502" s="224"/>
      <c r="D502" s="224"/>
      <c r="E502" s="224"/>
    </row>
    <row r="503">
      <c r="A503" s="224"/>
      <c r="B503" s="224"/>
      <c r="C503" s="224"/>
      <c r="D503" s="224"/>
      <c r="E503" s="224"/>
    </row>
    <row r="504">
      <c r="A504" s="224"/>
      <c r="B504" s="224"/>
      <c r="C504" s="224"/>
      <c r="D504" s="224"/>
      <c r="E504" s="224"/>
    </row>
    <row r="505">
      <c r="A505" s="224"/>
      <c r="B505" s="224"/>
      <c r="C505" s="224"/>
      <c r="D505" s="224"/>
      <c r="E505" s="224"/>
    </row>
    <row r="506">
      <c r="A506" s="224"/>
      <c r="B506" s="224"/>
      <c r="C506" s="224"/>
      <c r="D506" s="224"/>
      <c r="E506" s="224"/>
    </row>
    <row r="507">
      <c r="A507" s="224"/>
      <c r="B507" s="224"/>
      <c r="C507" s="224"/>
      <c r="D507" s="224"/>
      <c r="E507" s="224"/>
    </row>
    <row r="508">
      <c r="A508" s="224"/>
      <c r="B508" s="224"/>
      <c r="C508" s="224"/>
      <c r="D508" s="224"/>
      <c r="E508" s="224"/>
    </row>
    <row r="509">
      <c r="A509" s="224"/>
      <c r="B509" s="224"/>
      <c r="C509" s="224"/>
      <c r="D509" s="224"/>
      <c r="E509" s="224"/>
    </row>
    <row r="510">
      <c r="A510" s="224"/>
      <c r="B510" s="224"/>
      <c r="C510" s="224"/>
      <c r="D510" s="224"/>
      <c r="E510" s="224"/>
    </row>
    <row r="511">
      <c r="A511" s="224"/>
      <c r="B511" s="224"/>
      <c r="C511" s="224"/>
      <c r="D511" s="224"/>
      <c r="E511" s="224"/>
    </row>
    <row r="512">
      <c r="A512" s="224"/>
      <c r="B512" s="224"/>
      <c r="C512" s="224"/>
      <c r="D512" s="224"/>
      <c r="E512" s="224"/>
    </row>
    <row r="513">
      <c r="A513" s="224"/>
      <c r="B513" s="224"/>
      <c r="C513" s="224"/>
      <c r="D513" s="224"/>
      <c r="E513" s="224"/>
    </row>
    <row r="514">
      <c r="A514" s="224"/>
      <c r="B514" s="224"/>
      <c r="C514" s="224"/>
      <c r="D514" s="224"/>
      <c r="E514" s="224"/>
    </row>
    <row r="515">
      <c r="A515" s="224"/>
      <c r="B515" s="224"/>
      <c r="C515" s="224"/>
      <c r="D515" s="224"/>
      <c r="E515" s="224"/>
    </row>
    <row r="516">
      <c r="A516" s="224"/>
      <c r="B516" s="224"/>
      <c r="C516" s="224"/>
      <c r="D516" s="224"/>
      <c r="E516" s="224"/>
    </row>
    <row r="517">
      <c r="A517" s="224"/>
      <c r="B517" s="224"/>
      <c r="C517" s="224"/>
      <c r="D517" s="224"/>
      <c r="E517" s="224"/>
    </row>
    <row r="518">
      <c r="A518" s="224"/>
      <c r="B518" s="224"/>
      <c r="C518" s="224"/>
      <c r="D518" s="224"/>
      <c r="E518" s="224"/>
    </row>
    <row r="519">
      <c r="A519" s="224"/>
      <c r="B519" s="224"/>
      <c r="C519" s="224"/>
      <c r="D519" s="224"/>
      <c r="E519" s="224"/>
    </row>
    <row r="520">
      <c r="A520" s="224"/>
      <c r="B520" s="224"/>
      <c r="C520" s="224"/>
      <c r="D520" s="224"/>
      <c r="E520" s="224"/>
    </row>
    <row r="521">
      <c r="A521" s="224"/>
      <c r="B521" s="224"/>
      <c r="C521" s="224"/>
      <c r="D521" s="224"/>
      <c r="E521" s="224"/>
    </row>
    <row r="522">
      <c r="A522" s="224"/>
      <c r="B522" s="224"/>
      <c r="C522" s="224"/>
      <c r="D522" s="224"/>
      <c r="E522" s="224"/>
    </row>
    <row r="523">
      <c r="A523" s="224"/>
      <c r="B523" s="224"/>
      <c r="C523" s="224"/>
      <c r="D523" s="224"/>
      <c r="E523" s="224"/>
    </row>
    <row r="524">
      <c r="A524" s="224"/>
      <c r="B524" s="224"/>
      <c r="C524" s="224"/>
      <c r="D524" s="224"/>
      <c r="E524" s="224"/>
    </row>
    <row r="525">
      <c r="A525" s="224"/>
      <c r="B525" s="224"/>
      <c r="C525" s="224"/>
      <c r="D525" s="224"/>
      <c r="E525" s="224"/>
    </row>
    <row r="526">
      <c r="A526" s="224"/>
      <c r="B526" s="224"/>
      <c r="C526" s="224"/>
      <c r="D526" s="224"/>
      <c r="E526" s="224"/>
    </row>
    <row r="527">
      <c r="A527" s="224"/>
      <c r="B527" s="224"/>
      <c r="C527" s="224"/>
      <c r="D527" s="224"/>
      <c r="E527" s="224"/>
    </row>
    <row r="528">
      <c r="A528" s="224"/>
      <c r="B528" s="224"/>
      <c r="C528" s="224"/>
      <c r="D528" s="224"/>
      <c r="E528" s="224"/>
    </row>
    <row r="529">
      <c r="A529" s="224"/>
      <c r="B529" s="224"/>
      <c r="C529" s="224"/>
      <c r="D529" s="224"/>
      <c r="E529" s="224"/>
    </row>
    <row r="530">
      <c r="A530" s="224"/>
      <c r="B530" s="224"/>
      <c r="C530" s="224"/>
      <c r="D530" s="224"/>
      <c r="E530" s="224"/>
    </row>
    <row r="531">
      <c r="A531" s="224"/>
      <c r="B531" s="224"/>
      <c r="C531" s="224"/>
      <c r="D531" s="224"/>
      <c r="E531" s="224"/>
    </row>
    <row r="532">
      <c r="A532" s="224"/>
      <c r="B532" s="224"/>
      <c r="C532" s="224"/>
      <c r="D532" s="224"/>
      <c r="E532" s="224"/>
    </row>
    <row r="533">
      <c r="A533" s="224"/>
      <c r="B533" s="224"/>
      <c r="C533" s="224"/>
      <c r="D533" s="224"/>
      <c r="E533" s="224"/>
    </row>
    <row r="534">
      <c r="A534" s="224"/>
      <c r="B534" s="224"/>
      <c r="C534" s="224"/>
      <c r="D534" s="224"/>
      <c r="E534" s="224"/>
    </row>
    <row r="535">
      <c r="A535" s="224"/>
      <c r="B535" s="224"/>
      <c r="C535" s="224"/>
      <c r="D535" s="224"/>
      <c r="E535" s="224"/>
    </row>
    <row r="536">
      <c r="A536" s="224"/>
      <c r="B536" s="224"/>
      <c r="C536" s="224"/>
      <c r="D536" s="224"/>
      <c r="E536" s="224"/>
    </row>
    <row r="537">
      <c r="A537" s="224"/>
      <c r="B537" s="224"/>
      <c r="C537" s="224"/>
      <c r="D537" s="224"/>
      <c r="E537" s="224"/>
    </row>
    <row r="538">
      <c r="A538" s="224"/>
      <c r="B538" s="224"/>
      <c r="C538" s="224"/>
      <c r="D538" s="224"/>
      <c r="E538" s="224"/>
    </row>
    <row r="539">
      <c r="A539" s="224"/>
      <c r="B539" s="224"/>
      <c r="C539" s="224"/>
      <c r="D539" s="224"/>
      <c r="E539" s="224"/>
    </row>
    <row r="540">
      <c r="A540" s="224"/>
      <c r="B540" s="224"/>
      <c r="C540" s="224"/>
      <c r="D540" s="224"/>
      <c r="E540" s="224"/>
    </row>
    <row r="541">
      <c r="A541" s="224"/>
      <c r="B541" s="224"/>
      <c r="C541" s="224"/>
      <c r="D541" s="224"/>
      <c r="E541" s="224"/>
    </row>
    <row r="542">
      <c r="A542" s="224"/>
      <c r="B542" s="224"/>
      <c r="C542" s="224"/>
      <c r="D542" s="224"/>
      <c r="E542" s="224"/>
    </row>
    <row r="543">
      <c r="A543" s="224"/>
      <c r="B543" s="224"/>
      <c r="C543" s="224"/>
      <c r="D543" s="224"/>
      <c r="E543" s="224"/>
    </row>
    <row r="544">
      <c r="A544" s="224"/>
      <c r="B544" s="224"/>
      <c r="C544" s="224"/>
      <c r="D544" s="224"/>
      <c r="E544" s="224"/>
    </row>
    <row r="545">
      <c r="A545" s="224"/>
      <c r="B545" s="224"/>
      <c r="C545" s="224"/>
      <c r="D545" s="224"/>
      <c r="E545" s="224"/>
    </row>
    <row r="546">
      <c r="A546" s="224"/>
      <c r="B546" s="224"/>
      <c r="C546" s="224"/>
      <c r="D546" s="224"/>
      <c r="E546" s="224"/>
    </row>
    <row r="547">
      <c r="A547" s="224"/>
      <c r="B547" s="224"/>
      <c r="C547" s="224"/>
      <c r="D547" s="224"/>
      <c r="E547" s="224"/>
    </row>
    <row r="548">
      <c r="A548" s="224"/>
      <c r="B548" s="224"/>
      <c r="C548" s="224"/>
      <c r="D548" s="224"/>
      <c r="E548" s="224"/>
    </row>
    <row r="549">
      <c r="A549" s="224"/>
      <c r="B549" s="224"/>
      <c r="C549" s="224"/>
      <c r="D549" s="224"/>
      <c r="E549" s="224"/>
    </row>
    <row r="550">
      <c r="A550" s="224"/>
      <c r="B550" s="224"/>
      <c r="C550" s="224"/>
      <c r="D550" s="224"/>
      <c r="E550" s="224"/>
    </row>
    <row r="551">
      <c r="A551" s="224"/>
      <c r="B551" s="224"/>
      <c r="C551" s="224"/>
      <c r="D551" s="224"/>
      <c r="E551" s="224"/>
    </row>
    <row r="552">
      <c r="A552" s="224"/>
      <c r="B552" s="224"/>
      <c r="C552" s="224"/>
      <c r="D552" s="224"/>
      <c r="E552" s="224"/>
    </row>
    <row r="553">
      <c r="A553" s="224"/>
      <c r="B553" s="224"/>
      <c r="C553" s="224"/>
      <c r="D553" s="224"/>
      <c r="E553" s="224"/>
    </row>
    <row r="554">
      <c r="A554" s="224"/>
      <c r="B554" s="224"/>
      <c r="C554" s="224"/>
      <c r="D554" s="224"/>
      <c r="E554" s="224"/>
    </row>
    <row r="555">
      <c r="A555" s="224"/>
      <c r="B555" s="224"/>
      <c r="C555" s="224"/>
      <c r="D555" s="224"/>
      <c r="E555" s="224"/>
    </row>
    <row r="556">
      <c r="A556" s="224"/>
      <c r="B556" s="224"/>
      <c r="C556" s="224"/>
      <c r="D556" s="224"/>
      <c r="E556" s="224"/>
    </row>
    <row r="557">
      <c r="A557" s="224"/>
      <c r="B557" s="224"/>
      <c r="C557" s="224"/>
      <c r="D557" s="224"/>
      <c r="E557" s="224"/>
    </row>
    <row r="558">
      <c r="A558" s="224"/>
      <c r="B558" s="224"/>
      <c r="C558" s="224"/>
      <c r="D558" s="224"/>
      <c r="E558" s="224"/>
    </row>
    <row r="559">
      <c r="A559" s="224"/>
      <c r="B559" s="224"/>
      <c r="C559" s="224"/>
      <c r="D559" s="224"/>
      <c r="E559" s="224"/>
    </row>
    <row r="560">
      <c r="A560" s="224"/>
      <c r="B560" s="224"/>
      <c r="C560" s="224"/>
      <c r="D560" s="224"/>
      <c r="E560" s="224"/>
    </row>
    <row r="561">
      <c r="A561" s="224"/>
      <c r="B561" s="224"/>
      <c r="C561" s="224"/>
      <c r="D561" s="224"/>
      <c r="E561" s="224"/>
    </row>
    <row r="562">
      <c r="A562" s="224"/>
      <c r="B562" s="224"/>
      <c r="C562" s="224"/>
      <c r="D562" s="224"/>
      <c r="E562" s="224"/>
    </row>
    <row r="563">
      <c r="A563" s="224"/>
      <c r="B563" s="224"/>
      <c r="C563" s="224"/>
      <c r="D563" s="224"/>
      <c r="E563" s="224"/>
    </row>
    <row r="564">
      <c r="A564" s="224"/>
      <c r="B564" s="224"/>
      <c r="C564" s="224"/>
      <c r="D564" s="224"/>
      <c r="E564" s="224"/>
    </row>
    <row r="565">
      <c r="A565" s="224"/>
      <c r="B565" s="224"/>
      <c r="C565" s="224"/>
      <c r="D565" s="224"/>
      <c r="E565" s="224"/>
    </row>
    <row r="566">
      <c r="A566" s="224"/>
      <c r="B566" s="224"/>
      <c r="C566" s="224"/>
      <c r="D566" s="224"/>
      <c r="E566" s="224"/>
    </row>
    <row r="567">
      <c r="A567" s="224"/>
      <c r="B567" s="224"/>
      <c r="C567" s="224"/>
      <c r="D567" s="224"/>
      <c r="E567" s="224"/>
    </row>
    <row r="568">
      <c r="A568" s="224"/>
      <c r="B568" s="224"/>
      <c r="C568" s="224"/>
      <c r="D568" s="224"/>
      <c r="E568" s="224"/>
    </row>
    <row r="569">
      <c r="A569" s="224"/>
      <c r="B569" s="224"/>
      <c r="C569" s="224"/>
      <c r="D569" s="224"/>
      <c r="E569" s="224"/>
    </row>
    <row r="570">
      <c r="A570" s="224"/>
      <c r="B570" s="224"/>
      <c r="C570" s="224"/>
      <c r="D570" s="224"/>
      <c r="E570" s="224"/>
    </row>
    <row r="571">
      <c r="A571" s="224"/>
      <c r="B571" s="224"/>
      <c r="C571" s="224"/>
      <c r="D571" s="224"/>
      <c r="E571" s="224"/>
    </row>
    <row r="572">
      <c r="A572" s="224"/>
      <c r="B572" s="224"/>
      <c r="C572" s="224"/>
      <c r="D572" s="224"/>
      <c r="E572" s="224"/>
    </row>
    <row r="573">
      <c r="A573" s="224"/>
      <c r="B573" s="224"/>
      <c r="C573" s="224"/>
      <c r="D573" s="224"/>
      <c r="E573" s="224"/>
    </row>
    <row r="574">
      <c r="A574" s="224"/>
      <c r="B574" s="224"/>
      <c r="C574" s="224"/>
      <c r="D574" s="224"/>
      <c r="E574" s="224"/>
    </row>
    <row r="575">
      <c r="A575" s="224"/>
      <c r="B575" s="224"/>
      <c r="C575" s="224"/>
      <c r="D575" s="224"/>
      <c r="E575" s="224"/>
    </row>
    <row r="576">
      <c r="A576" s="224"/>
      <c r="B576" s="224"/>
      <c r="C576" s="224"/>
      <c r="D576" s="224"/>
      <c r="E576" s="224"/>
    </row>
    <row r="577">
      <c r="A577" s="224"/>
      <c r="B577" s="224"/>
      <c r="C577" s="224"/>
      <c r="D577" s="224"/>
      <c r="E577" s="224"/>
    </row>
    <row r="578">
      <c r="A578" s="224"/>
      <c r="B578" s="224"/>
      <c r="C578" s="224"/>
      <c r="D578" s="224"/>
      <c r="E578" s="224"/>
    </row>
    <row r="579">
      <c r="A579" s="224"/>
      <c r="B579" s="224"/>
      <c r="C579" s="224"/>
      <c r="D579" s="224"/>
      <c r="E579" s="224"/>
    </row>
    <row r="580">
      <c r="A580" s="224"/>
      <c r="B580" s="224"/>
      <c r="C580" s="224"/>
      <c r="D580" s="224"/>
      <c r="E580" s="224"/>
    </row>
    <row r="581">
      <c r="A581" s="224"/>
      <c r="B581" s="224"/>
      <c r="C581" s="224"/>
      <c r="D581" s="224"/>
      <c r="E581" s="224"/>
    </row>
    <row r="582">
      <c r="A582" s="224"/>
      <c r="B582" s="224"/>
      <c r="C582" s="224"/>
      <c r="D582" s="224"/>
      <c r="E582" s="224"/>
    </row>
    <row r="583">
      <c r="A583" s="224"/>
      <c r="B583" s="224"/>
      <c r="C583" s="224"/>
      <c r="D583" s="224"/>
      <c r="E583" s="224"/>
    </row>
    <row r="584">
      <c r="A584" s="224"/>
      <c r="B584" s="224"/>
      <c r="C584" s="224"/>
      <c r="D584" s="224"/>
      <c r="E584" s="224"/>
    </row>
    <row r="585">
      <c r="A585" s="224"/>
      <c r="B585" s="224"/>
      <c r="C585" s="224"/>
      <c r="D585" s="224"/>
      <c r="E585" s="224"/>
    </row>
    <row r="586">
      <c r="A586" s="224"/>
      <c r="B586" s="224"/>
      <c r="C586" s="224"/>
      <c r="D586" s="224"/>
      <c r="E586" s="224"/>
    </row>
    <row r="587">
      <c r="A587" s="224"/>
      <c r="B587" s="224"/>
      <c r="C587" s="224"/>
      <c r="D587" s="224"/>
      <c r="E587" s="224"/>
    </row>
    <row r="588">
      <c r="A588" s="224"/>
      <c r="B588" s="224"/>
      <c r="C588" s="224"/>
      <c r="D588" s="224"/>
      <c r="E588" s="224"/>
    </row>
    <row r="589">
      <c r="A589" s="224"/>
      <c r="B589" s="224"/>
      <c r="C589" s="224"/>
      <c r="D589" s="224"/>
      <c r="E589" s="224"/>
    </row>
    <row r="590">
      <c r="A590" s="224"/>
      <c r="B590" s="224"/>
      <c r="C590" s="224"/>
      <c r="D590" s="224"/>
      <c r="E590" s="224"/>
    </row>
    <row r="591">
      <c r="A591" s="224"/>
      <c r="B591" s="224"/>
      <c r="C591" s="224"/>
      <c r="D591" s="224"/>
      <c r="E591" s="224"/>
    </row>
    <row r="592">
      <c r="A592" s="224"/>
      <c r="B592" s="224"/>
      <c r="C592" s="224"/>
      <c r="D592" s="224"/>
      <c r="E592" s="224"/>
    </row>
    <row r="593">
      <c r="A593" s="224"/>
      <c r="B593" s="224"/>
      <c r="C593" s="224"/>
      <c r="D593" s="224"/>
      <c r="E593" s="224"/>
    </row>
    <row r="594">
      <c r="A594" s="224"/>
      <c r="B594" s="224"/>
      <c r="C594" s="224"/>
      <c r="D594" s="224"/>
      <c r="E594" s="224"/>
    </row>
    <row r="595">
      <c r="A595" s="224"/>
      <c r="B595" s="224"/>
      <c r="C595" s="224"/>
      <c r="D595" s="224"/>
      <c r="E595" s="224"/>
    </row>
    <row r="596">
      <c r="A596" s="224"/>
      <c r="B596" s="224"/>
      <c r="C596" s="224"/>
      <c r="D596" s="224"/>
      <c r="E596" s="224"/>
    </row>
    <row r="597">
      <c r="A597" s="224"/>
      <c r="B597" s="224"/>
      <c r="C597" s="224"/>
      <c r="D597" s="224"/>
      <c r="E597" s="224"/>
    </row>
    <row r="598">
      <c r="A598" s="224"/>
      <c r="B598" s="224"/>
      <c r="C598" s="224"/>
      <c r="D598" s="224"/>
      <c r="E598" s="224"/>
    </row>
    <row r="599">
      <c r="A599" s="224"/>
      <c r="B599" s="224"/>
      <c r="C599" s="224"/>
      <c r="D599" s="224"/>
      <c r="E599" s="224"/>
    </row>
    <row r="600">
      <c r="A600" s="224"/>
      <c r="B600" s="224"/>
      <c r="C600" s="224"/>
      <c r="D600" s="224"/>
      <c r="E600" s="224"/>
    </row>
    <row r="601">
      <c r="A601" s="224"/>
      <c r="B601" s="224"/>
      <c r="C601" s="224"/>
      <c r="D601" s="224"/>
      <c r="E601" s="224"/>
    </row>
    <row r="602">
      <c r="A602" s="224"/>
      <c r="B602" s="224"/>
      <c r="C602" s="224"/>
      <c r="D602" s="224"/>
      <c r="E602" s="224"/>
    </row>
    <row r="603">
      <c r="A603" s="224"/>
      <c r="B603" s="224"/>
      <c r="C603" s="224"/>
      <c r="D603" s="224"/>
      <c r="E603" s="224"/>
    </row>
    <row r="604">
      <c r="A604" s="224"/>
      <c r="B604" s="224"/>
      <c r="C604" s="224"/>
      <c r="D604" s="224"/>
      <c r="E604" s="224"/>
    </row>
    <row r="605">
      <c r="A605" s="224"/>
      <c r="B605" s="224"/>
      <c r="C605" s="224"/>
      <c r="D605" s="224"/>
      <c r="E605" s="224"/>
    </row>
    <row r="606">
      <c r="A606" s="224"/>
      <c r="B606" s="224"/>
      <c r="C606" s="224"/>
      <c r="D606" s="224"/>
      <c r="E606" s="224"/>
    </row>
    <row r="607">
      <c r="A607" s="224"/>
      <c r="B607" s="224"/>
      <c r="C607" s="224"/>
      <c r="D607" s="224"/>
      <c r="E607" s="224"/>
    </row>
    <row r="608">
      <c r="A608" s="224"/>
      <c r="B608" s="224"/>
      <c r="C608" s="224"/>
      <c r="D608" s="224"/>
      <c r="E608" s="224"/>
    </row>
    <row r="609">
      <c r="A609" s="224"/>
      <c r="B609" s="224"/>
      <c r="C609" s="224"/>
      <c r="D609" s="224"/>
      <c r="E609" s="224"/>
    </row>
    <row r="610">
      <c r="A610" s="224"/>
      <c r="B610" s="224"/>
      <c r="C610" s="224"/>
      <c r="D610" s="224"/>
      <c r="E610" s="224"/>
    </row>
    <row r="611">
      <c r="A611" s="224"/>
      <c r="B611" s="224"/>
      <c r="C611" s="224"/>
      <c r="D611" s="224"/>
      <c r="E611" s="224"/>
    </row>
    <row r="612">
      <c r="A612" s="224"/>
      <c r="B612" s="224"/>
      <c r="C612" s="224"/>
      <c r="D612" s="224"/>
      <c r="E612" s="224"/>
    </row>
    <row r="613">
      <c r="A613" s="224"/>
      <c r="B613" s="224"/>
      <c r="C613" s="224"/>
      <c r="D613" s="224"/>
      <c r="E613" s="224"/>
    </row>
    <row r="614">
      <c r="A614" s="224"/>
      <c r="B614" s="224"/>
      <c r="C614" s="224"/>
      <c r="D614" s="224"/>
      <c r="E614" s="224"/>
    </row>
    <row r="615">
      <c r="A615" s="224"/>
      <c r="B615" s="224"/>
      <c r="C615" s="224"/>
      <c r="D615" s="224"/>
      <c r="E615" s="224"/>
    </row>
    <row r="616">
      <c r="A616" s="224"/>
      <c r="B616" s="224"/>
      <c r="C616" s="224"/>
      <c r="D616" s="224"/>
      <c r="E616" s="224"/>
    </row>
    <row r="617">
      <c r="A617" s="224"/>
      <c r="B617" s="224"/>
      <c r="C617" s="224"/>
      <c r="D617" s="224"/>
      <c r="E617" s="224"/>
    </row>
    <row r="618">
      <c r="A618" s="224"/>
      <c r="B618" s="224"/>
      <c r="C618" s="224"/>
      <c r="D618" s="224"/>
      <c r="E618" s="224"/>
    </row>
    <row r="619">
      <c r="A619" s="224"/>
      <c r="B619" s="224"/>
      <c r="C619" s="224"/>
      <c r="D619" s="224"/>
      <c r="E619" s="224"/>
    </row>
    <row r="620">
      <c r="A620" s="224"/>
      <c r="B620" s="224"/>
      <c r="C620" s="224"/>
      <c r="D620" s="224"/>
      <c r="E620" s="224"/>
    </row>
    <row r="621">
      <c r="A621" s="224"/>
      <c r="B621" s="224"/>
      <c r="C621" s="224"/>
      <c r="D621" s="224"/>
      <c r="E621" s="224"/>
    </row>
    <row r="622">
      <c r="A622" s="224"/>
      <c r="B622" s="224"/>
      <c r="C622" s="224"/>
      <c r="D622" s="224"/>
      <c r="E622" s="224"/>
    </row>
    <row r="623">
      <c r="A623" s="224"/>
      <c r="B623" s="224"/>
      <c r="C623" s="224"/>
      <c r="D623" s="224"/>
      <c r="E623" s="224"/>
    </row>
    <row r="624">
      <c r="A624" s="224"/>
      <c r="B624" s="224"/>
      <c r="C624" s="224"/>
      <c r="D624" s="224"/>
      <c r="E624" s="224"/>
    </row>
    <row r="625">
      <c r="A625" s="224"/>
      <c r="B625" s="224"/>
      <c r="C625" s="224"/>
      <c r="D625" s="224"/>
      <c r="E625" s="224"/>
    </row>
    <row r="626">
      <c r="A626" s="224"/>
      <c r="B626" s="224"/>
      <c r="C626" s="224"/>
      <c r="D626" s="224"/>
      <c r="E626" s="224"/>
    </row>
    <row r="627">
      <c r="A627" s="224"/>
      <c r="B627" s="224"/>
      <c r="C627" s="224"/>
      <c r="D627" s="224"/>
      <c r="E627" s="224"/>
    </row>
    <row r="628">
      <c r="A628" s="224"/>
      <c r="B628" s="224"/>
      <c r="C628" s="224"/>
      <c r="D628" s="224"/>
      <c r="E628" s="224"/>
    </row>
    <row r="629">
      <c r="A629" s="224"/>
      <c r="B629" s="224"/>
      <c r="C629" s="224"/>
      <c r="D629" s="224"/>
      <c r="E629" s="224"/>
    </row>
    <row r="630">
      <c r="A630" s="224"/>
      <c r="B630" s="224"/>
      <c r="C630" s="224"/>
      <c r="D630" s="224"/>
      <c r="E630" s="224"/>
    </row>
    <row r="631">
      <c r="A631" s="224"/>
      <c r="B631" s="224"/>
      <c r="C631" s="224"/>
      <c r="D631" s="224"/>
      <c r="E631" s="224"/>
    </row>
    <row r="632">
      <c r="A632" s="224"/>
      <c r="B632" s="224"/>
      <c r="C632" s="224"/>
      <c r="D632" s="224"/>
      <c r="E632" s="224"/>
    </row>
    <row r="633">
      <c r="A633" s="224"/>
      <c r="B633" s="224"/>
      <c r="C633" s="224"/>
      <c r="D633" s="224"/>
      <c r="E633" s="224"/>
    </row>
    <row r="634">
      <c r="A634" s="224"/>
      <c r="B634" s="224"/>
      <c r="C634" s="224"/>
      <c r="D634" s="224"/>
      <c r="E634" s="224"/>
    </row>
    <row r="635">
      <c r="A635" s="224"/>
      <c r="B635" s="224"/>
      <c r="C635" s="224"/>
      <c r="D635" s="224"/>
      <c r="E635" s="224"/>
    </row>
    <row r="636">
      <c r="A636" s="224"/>
      <c r="B636" s="224"/>
      <c r="C636" s="224"/>
      <c r="D636" s="224"/>
      <c r="E636" s="224"/>
    </row>
    <row r="637">
      <c r="A637" s="224"/>
      <c r="B637" s="224"/>
      <c r="C637" s="224"/>
      <c r="D637" s="224"/>
      <c r="E637" s="224"/>
    </row>
    <row r="638">
      <c r="A638" s="224"/>
      <c r="B638" s="224"/>
      <c r="C638" s="224"/>
      <c r="D638" s="224"/>
      <c r="E638" s="224"/>
    </row>
    <row r="639">
      <c r="A639" s="224"/>
      <c r="B639" s="224"/>
      <c r="C639" s="224"/>
      <c r="D639" s="224"/>
      <c r="E639" s="224"/>
    </row>
    <row r="640">
      <c r="A640" s="224"/>
      <c r="B640" s="224"/>
      <c r="C640" s="224"/>
      <c r="D640" s="224"/>
      <c r="E640" s="224"/>
    </row>
    <row r="641">
      <c r="A641" s="224"/>
      <c r="B641" s="224"/>
      <c r="C641" s="224"/>
      <c r="D641" s="224"/>
      <c r="E641" s="224"/>
    </row>
    <row r="642">
      <c r="A642" s="224"/>
      <c r="B642" s="224"/>
      <c r="C642" s="224"/>
      <c r="D642" s="224"/>
      <c r="E642" s="224"/>
    </row>
    <row r="643">
      <c r="A643" s="224"/>
      <c r="B643" s="224"/>
      <c r="C643" s="224"/>
      <c r="D643" s="224"/>
      <c r="E643" s="224"/>
    </row>
    <row r="644">
      <c r="A644" s="224"/>
      <c r="B644" s="224"/>
      <c r="C644" s="224"/>
      <c r="D644" s="224"/>
      <c r="E644" s="224"/>
    </row>
    <row r="645">
      <c r="A645" s="224"/>
      <c r="B645" s="224"/>
      <c r="C645" s="224"/>
      <c r="D645" s="224"/>
      <c r="E645" s="224"/>
    </row>
    <row r="646">
      <c r="A646" s="224"/>
      <c r="B646" s="224"/>
      <c r="C646" s="224"/>
      <c r="D646" s="224"/>
      <c r="E646" s="224"/>
    </row>
    <row r="647">
      <c r="A647" s="224"/>
      <c r="B647" s="224"/>
      <c r="C647" s="224"/>
      <c r="D647" s="224"/>
      <c r="E647" s="224"/>
    </row>
    <row r="648">
      <c r="A648" s="224"/>
      <c r="B648" s="224"/>
      <c r="C648" s="224"/>
      <c r="D648" s="224"/>
      <c r="E648" s="224"/>
    </row>
    <row r="649">
      <c r="A649" s="224"/>
      <c r="B649" s="224"/>
      <c r="C649" s="224"/>
      <c r="D649" s="224"/>
      <c r="E649" s="224"/>
    </row>
    <row r="650">
      <c r="A650" s="224"/>
      <c r="B650" s="224"/>
      <c r="C650" s="224"/>
      <c r="D650" s="224"/>
      <c r="E650" s="224"/>
    </row>
    <row r="651">
      <c r="A651" s="224"/>
      <c r="B651" s="224"/>
      <c r="C651" s="224"/>
      <c r="D651" s="224"/>
      <c r="E651" s="224"/>
    </row>
    <row r="652">
      <c r="A652" s="224"/>
      <c r="B652" s="224"/>
      <c r="C652" s="224"/>
      <c r="D652" s="224"/>
      <c r="E652" s="224"/>
    </row>
    <row r="653">
      <c r="A653" s="224"/>
      <c r="B653" s="224"/>
      <c r="C653" s="224"/>
      <c r="D653" s="224"/>
      <c r="E653" s="224"/>
    </row>
    <row r="654">
      <c r="A654" s="224"/>
      <c r="B654" s="224"/>
      <c r="C654" s="224"/>
      <c r="D654" s="224"/>
      <c r="E654" s="224"/>
    </row>
    <row r="655">
      <c r="A655" s="224"/>
      <c r="B655" s="224"/>
      <c r="C655" s="224"/>
      <c r="D655" s="224"/>
      <c r="E655" s="224"/>
    </row>
    <row r="656">
      <c r="A656" s="224"/>
      <c r="B656" s="224"/>
      <c r="C656" s="224"/>
      <c r="D656" s="224"/>
      <c r="E656" s="224"/>
    </row>
    <row r="657">
      <c r="A657" s="224"/>
      <c r="B657" s="224"/>
      <c r="C657" s="224"/>
      <c r="D657" s="224"/>
      <c r="E657" s="224"/>
    </row>
    <row r="658">
      <c r="A658" s="224"/>
      <c r="B658" s="224"/>
      <c r="C658" s="224"/>
      <c r="D658" s="224"/>
      <c r="E658" s="224"/>
    </row>
    <row r="659">
      <c r="A659" s="224"/>
      <c r="B659" s="224"/>
      <c r="C659" s="224"/>
      <c r="D659" s="224"/>
      <c r="E659" s="224"/>
    </row>
    <row r="660">
      <c r="A660" s="224"/>
      <c r="B660" s="224"/>
      <c r="C660" s="224"/>
      <c r="D660" s="224"/>
      <c r="E660" s="224"/>
    </row>
    <row r="661">
      <c r="A661" s="224"/>
      <c r="B661" s="224"/>
      <c r="C661" s="224"/>
      <c r="D661" s="224"/>
      <c r="E661" s="224"/>
    </row>
    <row r="662">
      <c r="A662" s="224"/>
      <c r="B662" s="224"/>
      <c r="C662" s="224"/>
      <c r="D662" s="224"/>
      <c r="E662" s="224"/>
    </row>
    <row r="663">
      <c r="A663" s="224"/>
      <c r="B663" s="224"/>
      <c r="C663" s="224"/>
      <c r="D663" s="224"/>
      <c r="E663" s="224"/>
    </row>
    <row r="664">
      <c r="A664" s="224"/>
      <c r="B664" s="224"/>
      <c r="C664" s="224"/>
      <c r="D664" s="224"/>
      <c r="E664" s="224"/>
    </row>
    <row r="665">
      <c r="A665" s="224"/>
      <c r="B665" s="224"/>
      <c r="C665" s="224"/>
      <c r="D665" s="224"/>
      <c r="E665" s="224"/>
    </row>
    <row r="666">
      <c r="A666" s="224"/>
      <c r="B666" s="224"/>
      <c r="C666" s="224"/>
      <c r="D666" s="224"/>
      <c r="E666" s="224"/>
    </row>
    <row r="667">
      <c r="A667" s="224"/>
      <c r="B667" s="224"/>
      <c r="C667" s="224"/>
      <c r="D667" s="224"/>
      <c r="E667" s="224"/>
    </row>
    <row r="668">
      <c r="A668" s="224"/>
      <c r="B668" s="224"/>
      <c r="C668" s="224"/>
      <c r="D668" s="224"/>
      <c r="E668" s="224"/>
    </row>
    <row r="669">
      <c r="A669" s="224"/>
      <c r="B669" s="224"/>
      <c r="C669" s="224"/>
      <c r="D669" s="224"/>
      <c r="E669" s="224"/>
    </row>
    <row r="670">
      <c r="A670" s="224"/>
      <c r="B670" s="224"/>
      <c r="C670" s="224"/>
      <c r="D670" s="224"/>
      <c r="E670" s="224"/>
    </row>
    <row r="671">
      <c r="A671" s="224"/>
      <c r="B671" s="224"/>
      <c r="C671" s="224"/>
      <c r="D671" s="224"/>
      <c r="E671" s="224"/>
    </row>
    <row r="672">
      <c r="A672" s="224"/>
      <c r="B672" s="224"/>
      <c r="C672" s="224"/>
      <c r="D672" s="224"/>
      <c r="E672" s="224"/>
    </row>
    <row r="673">
      <c r="A673" s="224"/>
      <c r="B673" s="224"/>
      <c r="C673" s="224"/>
      <c r="D673" s="224"/>
      <c r="E673" s="224"/>
    </row>
    <row r="674">
      <c r="A674" s="224"/>
      <c r="B674" s="224"/>
      <c r="C674" s="224"/>
      <c r="D674" s="224"/>
      <c r="E674" s="224"/>
    </row>
    <row r="675">
      <c r="A675" s="224"/>
      <c r="B675" s="224"/>
      <c r="C675" s="224"/>
      <c r="D675" s="224"/>
      <c r="E675" s="224"/>
    </row>
    <row r="676">
      <c r="A676" s="224"/>
      <c r="B676" s="224"/>
      <c r="C676" s="224"/>
      <c r="D676" s="224"/>
      <c r="E676" s="224"/>
    </row>
    <row r="677">
      <c r="A677" s="224"/>
      <c r="B677" s="224"/>
      <c r="C677" s="224"/>
      <c r="D677" s="224"/>
      <c r="E677" s="224"/>
    </row>
    <row r="678">
      <c r="A678" s="224"/>
      <c r="B678" s="224"/>
      <c r="C678" s="224"/>
      <c r="D678" s="224"/>
      <c r="E678" s="224"/>
    </row>
    <row r="679">
      <c r="A679" s="224"/>
      <c r="B679" s="224"/>
      <c r="C679" s="224"/>
      <c r="D679" s="224"/>
      <c r="E679" s="224"/>
    </row>
    <row r="680">
      <c r="A680" s="224"/>
      <c r="B680" s="224"/>
      <c r="C680" s="224"/>
      <c r="D680" s="224"/>
      <c r="E680" s="224"/>
    </row>
    <row r="681">
      <c r="A681" s="224"/>
      <c r="B681" s="224"/>
      <c r="C681" s="224"/>
      <c r="D681" s="224"/>
      <c r="E681" s="224"/>
    </row>
    <row r="682">
      <c r="A682" s="224"/>
      <c r="B682" s="224"/>
      <c r="C682" s="224"/>
      <c r="D682" s="224"/>
      <c r="E682" s="224"/>
    </row>
    <row r="683">
      <c r="A683" s="224"/>
      <c r="B683" s="224"/>
      <c r="C683" s="224"/>
      <c r="D683" s="224"/>
      <c r="E683" s="224"/>
    </row>
    <row r="684">
      <c r="A684" s="224"/>
      <c r="B684" s="224"/>
      <c r="C684" s="224"/>
      <c r="D684" s="224"/>
      <c r="E684" s="224"/>
    </row>
    <row r="685">
      <c r="A685" s="224"/>
      <c r="B685" s="224"/>
      <c r="C685" s="224"/>
      <c r="D685" s="224"/>
      <c r="E685" s="224"/>
    </row>
    <row r="686">
      <c r="A686" s="224"/>
      <c r="B686" s="224"/>
      <c r="C686" s="224"/>
      <c r="D686" s="224"/>
      <c r="E686" s="224"/>
    </row>
    <row r="687">
      <c r="A687" s="224"/>
      <c r="B687" s="224"/>
      <c r="C687" s="224"/>
      <c r="D687" s="224"/>
      <c r="E687" s="224"/>
    </row>
    <row r="688">
      <c r="A688" s="224"/>
      <c r="B688" s="224"/>
      <c r="C688" s="224"/>
      <c r="D688" s="224"/>
      <c r="E688" s="224"/>
    </row>
    <row r="689">
      <c r="A689" s="224"/>
      <c r="B689" s="224"/>
      <c r="C689" s="224"/>
      <c r="D689" s="224"/>
      <c r="E689" s="224"/>
    </row>
    <row r="690">
      <c r="A690" s="224"/>
      <c r="B690" s="224"/>
      <c r="C690" s="224"/>
      <c r="D690" s="224"/>
      <c r="E690" s="224"/>
    </row>
    <row r="691">
      <c r="A691" s="224"/>
      <c r="B691" s="224"/>
      <c r="C691" s="224"/>
      <c r="D691" s="224"/>
      <c r="E691" s="224"/>
    </row>
    <row r="692">
      <c r="A692" s="224"/>
      <c r="B692" s="224"/>
      <c r="C692" s="224"/>
      <c r="D692" s="224"/>
      <c r="E692" s="224"/>
    </row>
    <row r="693">
      <c r="A693" s="224"/>
      <c r="B693" s="224"/>
      <c r="C693" s="224"/>
      <c r="D693" s="224"/>
      <c r="E693" s="224"/>
    </row>
    <row r="694">
      <c r="A694" s="224"/>
      <c r="B694" s="224"/>
      <c r="C694" s="224"/>
      <c r="D694" s="224"/>
      <c r="E694" s="224"/>
    </row>
    <row r="695">
      <c r="A695" s="224"/>
      <c r="B695" s="224"/>
      <c r="C695" s="224"/>
      <c r="D695" s="224"/>
      <c r="E695" s="224"/>
    </row>
    <row r="696">
      <c r="A696" s="224"/>
      <c r="B696" s="224"/>
      <c r="C696" s="224"/>
      <c r="D696" s="224"/>
      <c r="E696" s="224"/>
    </row>
    <row r="697">
      <c r="A697" s="224"/>
      <c r="B697" s="224"/>
      <c r="C697" s="224"/>
      <c r="D697" s="224"/>
      <c r="E697" s="224"/>
    </row>
    <row r="698">
      <c r="A698" s="224"/>
      <c r="B698" s="224"/>
      <c r="C698" s="224"/>
      <c r="D698" s="224"/>
      <c r="E698" s="224"/>
    </row>
    <row r="699">
      <c r="A699" s="224"/>
      <c r="B699" s="224"/>
      <c r="C699" s="224"/>
      <c r="D699" s="224"/>
      <c r="E699" s="224"/>
    </row>
    <row r="700">
      <c r="A700" s="224"/>
      <c r="B700" s="224"/>
      <c r="C700" s="224"/>
      <c r="D700" s="224"/>
      <c r="E700" s="224"/>
    </row>
    <row r="701">
      <c r="A701" s="224"/>
      <c r="B701" s="224"/>
      <c r="C701" s="224"/>
      <c r="D701" s="224"/>
      <c r="E701" s="224"/>
    </row>
    <row r="702">
      <c r="A702" s="224"/>
      <c r="B702" s="224"/>
      <c r="C702" s="224"/>
      <c r="D702" s="224"/>
      <c r="E702" s="224"/>
    </row>
    <row r="703">
      <c r="A703" s="224"/>
      <c r="B703" s="224"/>
      <c r="C703" s="224"/>
      <c r="D703" s="224"/>
      <c r="E703" s="224"/>
    </row>
    <row r="704">
      <c r="A704" s="224"/>
      <c r="B704" s="224"/>
      <c r="C704" s="224"/>
      <c r="D704" s="224"/>
      <c r="E704" s="224"/>
    </row>
    <row r="705">
      <c r="A705" s="224"/>
      <c r="B705" s="224"/>
      <c r="C705" s="224"/>
      <c r="D705" s="224"/>
      <c r="E705" s="224"/>
    </row>
    <row r="706">
      <c r="A706" s="224"/>
      <c r="B706" s="224"/>
      <c r="C706" s="224"/>
      <c r="D706" s="224"/>
      <c r="E706" s="224"/>
    </row>
    <row r="707">
      <c r="A707" s="224"/>
      <c r="B707" s="224"/>
      <c r="C707" s="224"/>
      <c r="D707" s="224"/>
      <c r="E707" s="224"/>
    </row>
    <row r="708">
      <c r="A708" s="224"/>
      <c r="B708" s="224"/>
      <c r="C708" s="224"/>
      <c r="D708" s="224"/>
      <c r="E708" s="224"/>
    </row>
    <row r="709">
      <c r="A709" s="224"/>
      <c r="B709" s="224"/>
      <c r="C709" s="224"/>
      <c r="D709" s="224"/>
      <c r="E709" s="224"/>
    </row>
    <row r="710">
      <c r="A710" s="224"/>
      <c r="B710" s="224"/>
      <c r="C710" s="224"/>
      <c r="D710" s="224"/>
      <c r="E710" s="224"/>
    </row>
    <row r="711">
      <c r="A711" s="224"/>
      <c r="B711" s="224"/>
      <c r="C711" s="224"/>
      <c r="D711" s="224"/>
      <c r="E711" s="224"/>
    </row>
    <row r="712">
      <c r="A712" s="224"/>
      <c r="B712" s="224"/>
      <c r="C712" s="224"/>
      <c r="D712" s="224"/>
      <c r="E712" s="224"/>
    </row>
    <row r="713">
      <c r="A713" s="224"/>
      <c r="B713" s="224"/>
      <c r="C713" s="224"/>
      <c r="D713" s="224"/>
      <c r="E713" s="224"/>
    </row>
    <row r="714">
      <c r="A714" s="224"/>
      <c r="B714" s="224"/>
      <c r="C714" s="224"/>
      <c r="D714" s="224"/>
      <c r="E714" s="224"/>
    </row>
    <row r="715">
      <c r="A715" s="224"/>
      <c r="B715" s="224"/>
      <c r="C715" s="224"/>
      <c r="D715" s="224"/>
      <c r="E715" s="224"/>
    </row>
    <row r="716">
      <c r="A716" s="224"/>
      <c r="B716" s="224"/>
      <c r="C716" s="224"/>
      <c r="D716" s="224"/>
      <c r="E716" s="224"/>
    </row>
    <row r="717">
      <c r="A717" s="224"/>
      <c r="B717" s="224"/>
      <c r="C717" s="224"/>
      <c r="D717" s="224"/>
      <c r="E717" s="224"/>
    </row>
    <row r="718">
      <c r="A718" s="224"/>
      <c r="B718" s="224"/>
      <c r="C718" s="224"/>
      <c r="D718" s="224"/>
      <c r="E718" s="224"/>
    </row>
    <row r="719">
      <c r="A719" s="224"/>
      <c r="B719" s="224"/>
      <c r="C719" s="224"/>
      <c r="D719" s="224"/>
      <c r="E719" s="224"/>
    </row>
    <row r="720">
      <c r="A720" s="224"/>
      <c r="B720" s="224"/>
      <c r="C720" s="224"/>
      <c r="D720" s="224"/>
      <c r="E720" s="224"/>
    </row>
    <row r="721">
      <c r="A721" s="224"/>
      <c r="B721" s="224"/>
      <c r="C721" s="224"/>
      <c r="D721" s="224"/>
      <c r="E721" s="224"/>
    </row>
    <row r="722">
      <c r="A722" s="224"/>
      <c r="B722" s="224"/>
      <c r="C722" s="224"/>
      <c r="D722" s="224"/>
      <c r="E722" s="224"/>
    </row>
    <row r="723">
      <c r="A723" s="224"/>
      <c r="B723" s="224"/>
      <c r="C723" s="224"/>
      <c r="D723" s="224"/>
      <c r="E723" s="224"/>
    </row>
    <row r="724">
      <c r="A724" s="224"/>
      <c r="B724" s="224"/>
      <c r="C724" s="224"/>
      <c r="D724" s="224"/>
      <c r="E724" s="224"/>
    </row>
    <row r="725">
      <c r="A725" s="224"/>
      <c r="B725" s="224"/>
      <c r="C725" s="224"/>
      <c r="D725" s="224"/>
      <c r="E725" s="224"/>
    </row>
    <row r="726">
      <c r="A726" s="224"/>
      <c r="B726" s="224"/>
      <c r="C726" s="224"/>
      <c r="D726" s="224"/>
      <c r="E726" s="224"/>
    </row>
    <row r="727">
      <c r="A727" s="224"/>
      <c r="B727" s="224"/>
      <c r="C727" s="224"/>
      <c r="D727" s="224"/>
      <c r="E727" s="224"/>
    </row>
    <row r="728">
      <c r="A728" s="224"/>
      <c r="B728" s="224"/>
      <c r="C728" s="224"/>
      <c r="D728" s="224"/>
      <c r="E728" s="224"/>
    </row>
    <row r="729">
      <c r="A729" s="224"/>
      <c r="B729" s="224"/>
      <c r="C729" s="224"/>
      <c r="D729" s="224"/>
      <c r="E729" s="224"/>
    </row>
    <row r="730">
      <c r="A730" s="224"/>
      <c r="B730" s="224"/>
      <c r="C730" s="224"/>
      <c r="D730" s="224"/>
      <c r="E730" s="224"/>
    </row>
    <row r="731">
      <c r="A731" s="224"/>
      <c r="B731" s="224"/>
      <c r="C731" s="224"/>
      <c r="D731" s="224"/>
      <c r="E731" s="224"/>
    </row>
    <row r="732">
      <c r="A732" s="224"/>
      <c r="B732" s="224"/>
      <c r="C732" s="224"/>
      <c r="D732" s="224"/>
      <c r="E732" s="224"/>
    </row>
    <row r="733">
      <c r="A733" s="224"/>
      <c r="B733" s="224"/>
      <c r="C733" s="224"/>
      <c r="D733" s="224"/>
      <c r="E733" s="224"/>
    </row>
    <row r="734">
      <c r="A734" s="224"/>
      <c r="B734" s="224"/>
      <c r="C734" s="224"/>
      <c r="D734" s="224"/>
      <c r="E734" s="224"/>
    </row>
    <row r="735">
      <c r="A735" s="224"/>
      <c r="B735" s="224"/>
      <c r="C735" s="224"/>
      <c r="D735" s="224"/>
      <c r="E735" s="224"/>
    </row>
    <row r="736">
      <c r="A736" s="224"/>
      <c r="B736" s="224"/>
      <c r="C736" s="224"/>
      <c r="D736" s="224"/>
      <c r="E736" s="224"/>
    </row>
    <row r="737">
      <c r="A737" s="224"/>
      <c r="B737" s="224"/>
      <c r="C737" s="224"/>
      <c r="D737" s="224"/>
      <c r="E737" s="224"/>
    </row>
    <row r="738">
      <c r="A738" s="224"/>
      <c r="B738" s="224"/>
      <c r="C738" s="224"/>
      <c r="D738" s="224"/>
      <c r="E738" s="224"/>
    </row>
    <row r="739">
      <c r="A739" s="224"/>
      <c r="B739" s="224"/>
      <c r="C739" s="224"/>
      <c r="D739" s="224"/>
      <c r="E739" s="224"/>
    </row>
    <row r="740">
      <c r="A740" s="224"/>
      <c r="B740" s="224"/>
      <c r="C740" s="224"/>
      <c r="D740" s="224"/>
      <c r="E740" s="224"/>
    </row>
    <row r="741">
      <c r="A741" s="224"/>
      <c r="B741" s="224"/>
      <c r="C741" s="224"/>
      <c r="D741" s="224"/>
      <c r="E741" s="224"/>
    </row>
    <row r="742">
      <c r="A742" s="224"/>
      <c r="B742" s="224"/>
      <c r="C742" s="224"/>
      <c r="D742" s="224"/>
      <c r="E742" s="224"/>
    </row>
    <row r="743">
      <c r="A743" s="224"/>
      <c r="B743" s="224"/>
      <c r="C743" s="224"/>
      <c r="D743" s="224"/>
      <c r="E743" s="224"/>
    </row>
    <row r="744">
      <c r="A744" s="224"/>
      <c r="B744" s="224"/>
      <c r="C744" s="224"/>
      <c r="D744" s="224"/>
      <c r="E744" s="224"/>
    </row>
    <row r="745">
      <c r="A745" s="224"/>
      <c r="B745" s="224"/>
      <c r="C745" s="224"/>
      <c r="D745" s="224"/>
      <c r="E745" s="224"/>
    </row>
    <row r="746">
      <c r="A746" s="224"/>
      <c r="B746" s="224"/>
      <c r="C746" s="224"/>
      <c r="D746" s="224"/>
      <c r="E746" s="224"/>
    </row>
    <row r="747">
      <c r="A747" s="224"/>
      <c r="B747" s="224"/>
      <c r="C747" s="224"/>
      <c r="D747" s="224"/>
      <c r="E747" s="224"/>
    </row>
    <row r="748">
      <c r="A748" s="224"/>
      <c r="B748" s="224"/>
      <c r="C748" s="224"/>
      <c r="D748" s="224"/>
      <c r="E748" s="224"/>
    </row>
    <row r="749">
      <c r="A749" s="224"/>
      <c r="B749" s="224"/>
      <c r="C749" s="224"/>
      <c r="D749" s="224"/>
      <c r="E749" s="224"/>
    </row>
    <row r="750">
      <c r="A750" s="224"/>
      <c r="B750" s="224"/>
      <c r="C750" s="224"/>
      <c r="D750" s="224"/>
      <c r="E750" s="224"/>
    </row>
    <row r="751">
      <c r="A751" s="224"/>
      <c r="B751" s="224"/>
      <c r="C751" s="224"/>
      <c r="D751" s="224"/>
      <c r="E751" s="224"/>
    </row>
    <row r="752">
      <c r="A752" s="224"/>
      <c r="B752" s="224"/>
      <c r="C752" s="224"/>
      <c r="D752" s="224"/>
      <c r="E752" s="224"/>
    </row>
    <row r="753">
      <c r="A753" s="224"/>
      <c r="B753" s="224"/>
      <c r="C753" s="224"/>
      <c r="D753" s="224"/>
      <c r="E753" s="224"/>
    </row>
    <row r="754">
      <c r="A754" s="224"/>
      <c r="B754" s="224"/>
      <c r="C754" s="224"/>
      <c r="D754" s="224"/>
      <c r="E754" s="224"/>
    </row>
    <row r="755">
      <c r="A755" s="224"/>
      <c r="B755" s="224"/>
      <c r="C755" s="224"/>
      <c r="D755" s="224"/>
      <c r="E755" s="224"/>
    </row>
    <row r="756">
      <c r="A756" s="224"/>
      <c r="B756" s="224"/>
      <c r="C756" s="224"/>
      <c r="D756" s="224"/>
      <c r="E756" s="224"/>
    </row>
    <row r="757">
      <c r="A757" s="224"/>
      <c r="B757" s="224"/>
      <c r="C757" s="224"/>
      <c r="D757" s="224"/>
      <c r="E757" s="224"/>
    </row>
    <row r="758">
      <c r="A758" s="224"/>
      <c r="B758" s="224"/>
      <c r="C758" s="224"/>
      <c r="D758" s="224"/>
      <c r="E758" s="224"/>
    </row>
    <row r="759">
      <c r="A759" s="224"/>
      <c r="B759" s="224"/>
      <c r="C759" s="224"/>
      <c r="D759" s="224"/>
      <c r="E759" s="224"/>
    </row>
    <row r="760">
      <c r="A760" s="224"/>
      <c r="B760" s="224"/>
      <c r="C760" s="224"/>
      <c r="D760" s="224"/>
      <c r="E760" s="224"/>
    </row>
    <row r="761">
      <c r="A761" s="224"/>
      <c r="B761" s="224"/>
      <c r="C761" s="224"/>
      <c r="D761" s="224"/>
      <c r="E761" s="224"/>
    </row>
    <row r="762">
      <c r="A762" s="224"/>
      <c r="B762" s="224"/>
      <c r="C762" s="224"/>
      <c r="D762" s="224"/>
      <c r="E762" s="224"/>
    </row>
    <row r="763">
      <c r="A763" s="224"/>
      <c r="B763" s="224"/>
      <c r="C763" s="224"/>
      <c r="D763" s="224"/>
      <c r="E763" s="224"/>
    </row>
    <row r="764">
      <c r="A764" s="224"/>
      <c r="B764" s="224"/>
      <c r="C764" s="224"/>
      <c r="D764" s="224"/>
      <c r="E764" s="224"/>
    </row>
    <row r="765">
      <c r="A765" s="224"/>
      <c r="B765" s="224"/>
      <c r="C765" s="224"/>
      <c r="D765" s="224"/>
      <c r="E765" s="224"/>
    </row>
    <row r="766">
      <c r="A766" s="224"/>
      <c r="B766" s="224"/>
      <c r="C766" s="224"/>
      <c r="D766" s="224"/>
      <c r="E766" s="224"/>
    </row>
    <row r="767">
      <c r="A767" s="224"/>
      <c r="B767" s="224"/>
      <c r="C767" s="224"/>
      <c r="D767" s="224"/>
      <c r="E767" s="224"/>
    </row>
    <row r="768">
      <c r="A768" s="224"/>
      <c r="B768" s="224"/>
      <c r="C768" s="224"/>
      <c r="D768" s="224"/>
      <c r="E768" s="224"/>
    </row>
    <row r="769">
      <c r="A769" s="224"/>
      <c r="B769" s="224"/>
      <c r="C769" s="224"/>
      <c r="D769" s="224"/>
      <c r="E769" s="224"/>
    </row>
    <row r="770">
      <c r="A770" s="224"/>
      <c r="B770" s="224"/>
      <c r="C770" s="224"/>
      <c r="D770" s="224"/>
      <c r="E770" s="224"/>
    </row>
    <row r="771">
      <c r="A771" s="224"/>
      <c r="B771" s="224"/>
      <c r="C771" s="224"/>
      <c r="D771" s="224"/>
      <c r="E771" s="224"/>
    </row>
    <row r="772">
      <c r="A772" s="224"/>
      <c r="B772" s="224"/>
      <c r="C772" s="224"/>
      <c r="D772" s="224"/>
      <c r="E772" s="224"/>
    </row>
    <row r="773">
      <c r="A773" s="224"/>
      <c r="B773" s="224"/>
      <c r="C773" s="224"/>
      <c r="D773" s="224"/>
      <c r="E773" s="224"/>
    </row>
    <row r="774">
      <c r="A774" s="224"/>
      <c r="B774" s="224"/>
      <c r="C774" s="224"/>
      <c r="D774" s="224"/>
      <c r="E774" s="224"/>
    </row>
    <row r="775">
      <c r="A775" s="224"/>
      <c r="B775" s="224"/>
      <c r="C775" s="224"/>
      <c r="D775" s="224"/>
      <c r="E775" s="224"/>
    </row>
    <row r="776">
      <c r="A776" s="224"/>
      <c r="B776" s="224"/>
      <c r="C776" s="224"/>
      <c r="D776" s="224"/>
      <c r="E776" s="224"/>
    </row>
    <row r="777">
      <c r="A777" s="224"/>
      <c r="B777" s="224"/>
      <c r="C777" s="224"/>
      <c r="D777" s="224"/>
      <c r="E777" s="224"/>
    </row>
    <row r="778">
      <c r="A778" s="224"/>
      <c r="B778" s="224"/>
      <c r="C778" s="224"/>
      <c r="D778" s="224"/>
      <c r="E778" s="224"/>
    </row>
    <row r="779">
      <c r="A779" s="224"/>
      <c r="B779" s="224"/>
      <c r="C779" s="224"/>
      <c r="D779" s="224"/>
      <c r="E779" s="224"/>
    </row>
    <row r="780">
      <c r="A780" s="224"/>
      <c r="B780" s="224"/>
      <c r="C780" s="224"/>
      <c r="D780" s="224"/>
      <c r="E780" s="224"/>
    </row>
    <row r="781">
      <c r="A781" s="224"/>
      <c r="B781" s="224"/>
      <c r="C781" s="224"/>
      <c r="D781" s="224"/>
      <c r="E781" s="224"/>
    </row>
    <row r="782">
      <c r="A782" s="224"/>
      <c r="B782" s="224"/>
      <c r="C782" s="224"/>
      <c r="D782" s="224"/>
      <c r="E782" s="224"/>
    </row>
    <row r="783">
      <c r="A783" s="224"/>
      <c r="B783" s="224"/>
      <c r="C783" s="224"/>
      <c r="D783" s="224"/>
      <c r="E783" s="224"/>
    </row>
    <row r="784">
      <c r="A784" s="224"/>
      <c r="B784" s="224"/>
      <c r="C784" s="224"/>
      <c r="D784" s="224"/>
      <c r="E784" s="224"/>
    </row>
    <row r="785">
      <c r="A785" s="224"/>
      <c r="B785" s="224"/>
      <c r="C785" s="224"/>
      <c r="D785" s="224"/>
      <c r="E785" s="224"/>
    </row>
    <row r="786">
      <c r="A786" s="224"/>
      <c r="B786" s="224"/>
      <c r="C786" s="224"/>
      <c r="D786" s="224"/>
      <c r="E786" s="224"/>
    </row>
    <row r="787">
      <c r="A787" s="224"/>
      <c r="B787" s="224"/>
      <c r="C787" s="224"/>
      <c r="D787" s="224"/>
      <c r="E787" s="224"/>
    </row>
    <row r="788">
      <c r="A788" s="224"/>
      <c r="B788" s="224"/>
      <c r="C788" s="224"/>
      <c r="D788" s="224"/>
      <c r="E788" s="224"/>
    </row>
    <row r="789">
      <c r="A789" s="224"/>
      <c r="B789" s="224"/>
      <c r="C789" s="224"/>
      <c r="D789" s="224"/>
      <c r="E789" s="224"/>
    </row>
    <row r="790">
      <c r="A790" s="224"/>
      <c r="B790" s="224"/>
      <c r="C790" s="224"/>
      <c r="D790" s="224"/>
      <c r="E790" s="224"/>
    </row>
    <row r="791">
      <c r="A791" s="224"/>
      <c r="B791" s="224"/>
      <c r="C791" s="224"/>
      <c r="D791" s="224"/>
      <c r="E791" s="224"/>
    </row>
    <row r="792">
      <c r="A792" s="224"/>
      <c r="B792" s="224"/>
      <c r="C792" s="224"/>
      <c r="D792" s="224"/>
      <c r="E792" s="224"/>
    </row>
    <row r="793">
      <c r="A793" s="224"/>
      <c r="B793" s="224"/>
      <c r="C793" s="224"/>
      <c r="D793" s="224"/>
      <c r="E793" s="224"/>
    </row>
    <row r="794">
      <c r="A794" s="224"/>
      <c r="B794" s="224"/>
      <c r="C794" s="224"/>
      <c r="D794" s="224"/>
      <c r="E794" s="224"/>
    </row>
    <row r="795">
      <c r="A795" s="224"/>
      <c r="B795" s="224"/>
      <c r="C795" s="224"/>
      <c r="D795" s="224"/>
      <c r="E795" s="224"/>
    </row>
    <row r="796">
      <c r="A796" s="224"/>
      <c r="B796" s="224"/>
      <c r="C796" s="224"/>
      <c r="D796" s="224"/>
      <c r="E796" s="224"/>
    </row>
    <row r="797">
      <c r="A797" s="224"/>
      <c r="B797" s="224"/>
      <c r="C797" s="224"/>
      <c r="D797" s="224"/>
      <c r="E797" s="224"/>
    </row>
    <row r="798">
      <c r="A798" s="224"/>
      <c r="B798" s="224"/>
      <c r="C798" s="224"/>
      <c r="D798" s="224"/>
      <c r="E798" s="224"/>
    </row>
    <row r="799">
      <c r="A799" s="224"/>
      <c r="B799" s="224"/>
      <c r="C799" s="224"/>
      <c r="D799" s="224"/>
      <c r="E799" s="224"/>
    </row>
    <row r="800">
      <c r="A800" s="224"/>
      <c r="B800" s="224"/>
      <c r="C800" s="224"/>
      <c r="D800" s="224"/>
      <c r="E800" s="224"/>
    </row>
    <row r="801">
      <c r="A801" s="224"/>
      <c r="B801" s="224"/>
      <c r="C801" s="224"/>
      <c r="D801" s="224"/>
      <c r="E801" s="224"/>
    </row>
    <row r="802">
      <c r="A802" s="224"/>
      <c r="B802" s="224"/>
      <c r="C802" s="224"/>
      <c r="D802" s="224"/>
      <c r="E802" s="224"/>
    </row>
    <row r="803">
      <c r="A803" s="224"/>
      <c r="B803" s="224"/>
      <c r="C803" s="224"/>
      <c r="D803" s="224"/>
      <c r="E803" s="224"/>
    </row>
    <row r="804">
      <c r="A804" s="224"/>
      <c r="B804" s="224"/>
      <c r="C804" s="224"/>
      <c r="D804" s="224"/>
      <c r="E804" s="224"/>
    </row>
    <row r="805">
      <c r="A805" s="224"/>
      <c r="B805" s="224"/>
      <c r="C805" s="224"/>
      <c r="D805" s="224"/>
      <c r="E805" s="224"/>
    </row>
    <row r="806">
      <c r="A806" s="224"/>
      <c r="B806" s="224"/>
      <c r="C806" s="224"/>
      <c r="D806" s="224"/>
      <c r="E806" s="224"/>
    </row>
    <row r="807">
      <c r="A807" s="224"/>
      <c r="B807" s="224"/>
      <c r="C807" s="224"/>
      <c r="D807" s="224"/>
      <c r="E807" s="224"/>
    </row>
    <row r="808">
      <c r="A808" s="224"/>
      <c r="B808" s="224"/>
      <c r="C808" s="224"/>
      <c r="D808" s="224"/>
      <c r="E808" s="224"/>
    </row>
    <row r="809">
      <c r="A809" s="224"/>
      <c r="B809" s="224"/>
      <c r="C809" s="224"/>
      <c r="D809" s="224"/>
      <c r="E809" s="224"/>
    </row>
    <row r="810">
      <c r="A810" s="224"/>
      <c r="B810" s="224"/>
      <c r="C810" s="224"/>
      <c r="D810" s="224"/>
      <c r="E810" s="224"/>
    </row>
    <row r="811">
      <c r="A811" s="224"/>
      <c r="B811" s="224"/>
      <c r="C811" s="224"/>
      <c r="D811" s="224"/>
      <c r="E811" s="224"/>
    </row>
    <row r="812">
      <c r="A812" s="224"/>
      <c r="B812" s="224"/>
      <c r="C812" s="224"/>
      <c r="D812" s="224"/>
      <c r="E812" s="224"/>
    </row>
    <row r="813">
      <c r="A813" s="224"/>
      <c r="B813" s="224"/>
      <c r="C813" s="224"/>
      <c r="D813" s="224"/>
      <c r="E813" s="224"/>
    </row>
    <row r="814">
      <c r="A814" s="224"/>
      <c r="B814" s="224"/>
      <c r="C814" s="224"/>
      <c r="D814" s="224"/>
      <c r="E814" s="224"/>
    </row>
    <row r="815">
      <c r="A815" s="224"/>
      <c r="B815" s="224"/>
      <c r="C815" s="224"/>
      <c r="D815" s="224"/>
      <c r="E815" s="224"/>
    </row>
    <row r="816">
      <c r="A816" s="224"/>
      <c r="B816" s="224"/>
      <c r="C816" s="224"/>
      <c r="D816" s="224"/>
      <c r="E816" s="224"/>
    </row>
    <row r="817">
      <c r="A817" s="224"/>
      <c r="B817" s="224"/>
      <c r="C817" s="224"/>
      <c r="D817" s="224"/>
      <c r="E817" s="224"/>
    </row>
    <row r="818">
      <c r="A818" s="224"/>
      <c r="B818" s="224"/>
      <c r="C818" s="224"/>
      <c r="D818" s="224"/>
      <c r="E818" s="224"/>
    </row>
    <row r="819">
      <c r="A819" s="224"/>
      <c r="B819" s="224"/>
      <c r="C819" s="224"/>
      <c r="D819" s="224"/>
      <c r="E819" s="224"/>
    </row>
    <row r="820">
      <c r="A820" s="224"/>
      <c r="B820" s="224"/>
      <c r="C820" s="224"/>
      <c r="D820" s="224"/>
      <c r="E820" s="224"/>
    </row>
    <row r="821">
      <c r="A821" s="224"/>
      <c r="B821" s="224"/>
      <c r="C821" s="224"/>
      <c r="D821" s="224"/>
      <c r="E821" s="224"/>
    </row>
    <row r="822">
      <c r="A822" s="224"/>
      <c r="B822" s="224"/>
      <c r="C822" s="224"/>
      <c r="D822" s="224"/>
      <c r="E822" s="224"/>
    </row>
    <row r="823">
      <c r="A823" s="224"/>
      <c r="B823" s="224"/>
      <c r="C823" s="224"/>
      <c r="D823" s="224"/>
      <c r="E823" s="224"/>
    </row>
    <row r="824">
      <c r="A824" s="224"/>
      <c r="B824" s="224"/>
      <c r="C824" s="224"/>
      <c r="D824" s="224"/>
      <c r="E824" s="224"/>
    </row>
    <row r="825">
      <c r="A825" s="224"/>
      <c r="B825" s="224"/>
      <c r="C825" s="224"/>
      <c r="D825" s="224"/>
      <c r="E825" s="224"/>
    </row>
    <row r="826">
      <c r="A826" s="224"/>
      <c r="B826" s="224"/>
      <c r="C826" s="224"/>
      <c r="D826" s="224"/>
      <c r="E826" s="224"/>
    </row>
    <row r="827">
      <c r="A827" s="224"/>
      <c r="B827" s="224"/>
      <c r="C827" s="224"/>
      <c r="D827" s="224"/>
      <c r="E827" s="224"/>
    </row>
    <row r="828">
      <c r="A828" s="224"/>
      <c r="B828" s="224"/>
      <c r="C828" s="224"/>
      <c r="D828" s="224"/>
      <c r="E828" s="224"/>
    </row>
    <row r="829">
      <c r="A829" s="224"/>
      <c r="B829" s="224"/>
      <c r="C829" s="224"/>
      <c r="D829" s="224"/>
      <c r="E829" s="224"/>
    </row>
    <row r="830">
      <c r="A830" s="224"/>
      <c r="B830" s="224"/>
      <c r="C830" s="224"/>
      <c r="D830" s="224"/>
      <c r="E830" s="224"/>
    </row>
    <row r="831">
      <c r="A831" s="224"/>
      <c r="B831" s="224"/>
      <c r="C831" s="224"/>
      <c r="D831" s="224"/>
      <c r="E831" s="224"/>
    </row>
    <row r="832">
      <c r="A832" s="224"/>
      <c r="B832" s="224"/>
      <c r="C832" s="224"/>
      <c r="D832" s="224"/>
      <c r="E832" s="224"/>
    </row>
    <row r="833">
      <c r="A833" s="224"/>
      <c r="B833" s="224"/>
      <c r="C833" s="224"/>
      <c r="D833" s="224"/>
      <c r="E833" s="224"/>
    </row>
    <row r="834">
      <c r="A834" s="224"/>
      <c r="B834" s="224"/>
      <c r="C834" s="224"/>
      <c r="D834" s="224"/>
      <c r="E834" s="224"/>
    </row>
    <row r="835">
      <c r="A835" s="224"/>
      <c r="B835" s="224"/>
      <c r="C835" s="224"/>
      <c r="D835" s="224"/>
      <c r="E835" s="224"/>
    </row>
    <row r="836">
      <c r="A836" s="224"/>
      <c r="B836" s="224"/>
      <c r="C836" s="224"/>
      <c r="D836" s="224"/>
      <c r="E836" s="224"/>
    </row>
    <row r="837">
      <c r="A837" s="224"/>
      <c r="B837" s="224"/>
      <c r="C837" s="224"/>
      <c r="D837" s="224"/>
      <c r="E837" s="224"/>
    </row>
    <row r="838">
      <c r="A838" s="224"/>
      <c r="B838" s="224"/>
      <c r="C838" s="224"/>
      <c r="D838" s="224"/>
      <c r="E838" s="224"/>
    </row>
    <row r="839">
      <c r="A839" s="224"/>
      <c r="B839" s="224"/>
      <c r="C839" s="224"/>
      <c r="D839" s="224"/>
      <c r="E839" s="224"/>
    </row>
    <row r="840">
      <c r="A840" s="224"/>
      <c r="B840" s="224"/>
      <c r="C840" s="224"/>
      <c r="D840" s="224"/>
      <c r="E840" s="224"/>
    </row>
    <row r="841">
      <c r="A841" s="224"/>
      <c r="B841" s="224"/>
      <c r="C841" s="224"/>
      <c r="D841" s="224"/>
      <c r="E841" s="224"/>
    </row>
    <row r="842">
      <c r="A842" s="224"/>
      <c r="B842" s="224"/>
      <c r="C842" s="224"/>
      <c r="D842" s="224"/>
      <c r="E842" s="224"/>
    </row>
    <row r="843">
      <c r="A843" s="224"/>
      <c r="B843" s="224"/>
      <c r="C843" s="224"/>
      <c r="D843" s="224"/>
      <c r="E843" s="224"/>
    </row>
    <row r="844">
      <c r="A844" s="224"/>
      <c r="B844" s="224"/>
      <c r="C844" s="224"/>
      <c r="D844" s="224"/>
      <c r="E844" s="224"/>
    </row>
    <row r="845">
      <c r="A845" s="224"/>
      <c r="B845" s="224"/>
      <c r="C845" s="224"/>
      <c r="D845" s="224"/>
      <c r="E845" s="224"/>
    </row>
    <row r="846">
      <c r="A846" s="224"/>
      <c r="B846" s="224"/>
      <c r="C846" s="224"/>
      <c r="D846" s="224"/>
      <c r="E846" s="224"/>
    </row>
    <row r="847">
      <c r="A847" s="224"/>
      <c r="B847" s="224"/>
      <c r="C847" s="224"/>
      <c r="D847" s="224"/>
      <c r="E847" s="224"/>
    </row>
    <row r="848">
      <c r="A848" s="224"/>
      <c r="B848" s="224"/>
      <c r="C848" s="224"/>
      <c r="D848" s="224"/>
      <c r="E848" s="224"/>
    </row>
    <row r="849">
      <c r="A849" s="224"/>
      <c r="B849" s="224"/>
      <c r="C849" s="224"/>
      <c r="D849" s="224"/>
      <c r="E849" s="224"/>
    </row>
    <row r="850">
      <c r="A850" s="224"/>
      <c r="B850" s="224"/>
      <c r="C850" s="224"/>
      <c r="D850" s="224"/>
      <c r="E850" s="224"/>
    </row>
    <row r="851">
      <c r="A851" s="224"/>
      <c r="B851" s="224"/>
      <c r="C851" s="224"/>
      <c r="D851" s="224"/>
      <c r="E851" s="224"/>
    </row>
    <row r="852">
      <c r="A852" s="224"/>
      <c r="B852" s="224"/>
      <c r="C852" s="224"/>
      <c r="D852" s="224"/>
      <c r="E852" s="224"/>
    </row>
    <row r="853">
      <c r="A853" s="224"/>
      <c r="B853" s="224"/>
      <c r="C853" s="224"/>
      <c r="D853" s="224"/>
      <c r="E853" s="224"/>
    </row>
    <row r="854">
      <c r="A854" s="224"/>
      <c r="B854" s="224"/>
      <c r="C854" s="224"/>
      <c r="D854" s="224"/>
      <c r="E854" s="224"/>
    </row>
    <row r="855">
      <c r="A855" s="224"/>
      <c r="B855" s="224"/>
      <c r="C855" s="224"/>
      <c r="D855" s="224"/>
      <c r="E855" s="224"/>
    </row>
    <row r="856">
      <c r="A856" s="224"/>
      <c r="B856" s="224"/>
      <c r="C856" s="224"/>
      <c r="D856" s="224"/>
      <c r="E856" s="224"/>
    </row>
    <row r="857">
      <c r="A857" s="224"/>
      <c r="B857" s="224"/>
      <c r="C857" s="224"/>
      <c r="D857" s="224"/>
      <c r="E857" s="224"/>
    </row>
    <row r="858">
      <c r="A858" s="224"/>
      <c r="B858" s="224"/>
      <c r="C858" s="224"/>
      <c r="D858" s="224"/>
      <c r="E858" s="224"/>
    </row>
    <row r="859">
      <c r="A859" s="224"/>
      <c r="B859" s="224"/>
      <c r="C859" s="224"/>
      <c r="D859" s="224"/>
      <c r="E859" s="224"/>
    </row>
    <row r="860">
      <c r="A860" s="224"/>
      <c r="B860" s="224"/>
      <c r="C860" s="224"/>
      <c r="D860" s="224"/>
      <c r="E860" s="224"/>
    </row>
    <row r="861">
      <c r="A861" s="224"/>
      <c r="B861" s="224"/>
      <c r="C861" s="224"/>
      <c r="D861" s="224"/>
      <c r="E861" s="224"/>
    </row>
    <row r="862">
      <c r="A862" s="224"/>
      <c r="B862" s="224"/>
      <c r="C862" s="224"/>
      <c r="D862" s="224"/>
      <c r="E862" s="224"/>
    </row>
    <row r="863">
      <c r="A863" s="224"/>
      <c r="B863" s="224"/>
      <c r="C863" s="224"/>
      <c r="D863" s="224"/>
      <c r="E863" s="224"/>
    </row>
    <row r="864">
      <c r="A864" s="224"/>
      <c r="B864" s="224"/>
      <c r="C864" s="224"/>
      <c r="D864" s="224"/>
      <c r="E864" s="224"/>
    </row>
    <row r="865">
      <c r="A865" s="224"/>
      <c r="B865" s="224"/>
      <c r="C865" s="224"/>
      <c r="D865" s="224"/>
      <c r="E865" s="224"/>
    </row>
    <row r="866">
      <c r="A866" s="224"/>
      <c r="B866" s="224"/>
      <c r="C866" s="224"/>
      <c r="D866" s="224"/>
      <c r="E866" s="224"/>
    </row>
    <row r="867">
      <c r="A867" s="224"/>
      <c r="B867" s="224"/>
      <c r="C867" s="224"/>
      <c r="D867" s="224"/>
      <c r="E867" s="224"/>
    </row>
    <row r="868">
      <c r="A868" s="224"/>
      <c r="B868" s="224"/>
      <c r="C868" s="224"/>
      <c r="D868" s="224"/>
      <c r="E868" s="224"/>
    </row>
    <row r="869">
      <c r="A869" s="224"/>
      <c r="B869" s="224"/>
      <c r="C869" s="224"/>
      <c r="D869" s="224"/>
      <c r="E869" s="224"/>
    </row>
    <row r="870">
      <c r="A870" s="224"/>
      <c r="B870" s="224"/>
      <c r="C870" s="224"/>
      <c r="D870" s="224"/>
      <c r="E870" s="224"/>
    </row>
    <row r="871">
      <c r="A871" s="224"/>
      <c r="B871" s="224"/>
      <c r="C871" s="224"/>
      <c r="D871" s="224"/>
      <c r="E871" s="224"/>
    </row>
    <row r="872">
      <c r="A872" s="224"/>
      <c r="B872" s="224"/>
      <c r="C872" s="224"/>
      <c r="D872" s="224"/>
      <c r="E872" s="224"/>
    </row>
    <row r="873">
      <c r="A873" s="224"/>
      <c r="B873" s="224"/>
      <c r="C873" s="224"/>
      <c r="D873" s="224"/>
      <c r="E873" s="224"/>
    </row>
    <row r="874">
      <c r="A874" s="224"/>
      <c r="B874" s="224"/>
      <c r="C874" s="224"/>
      <c r="D874" s="224"/>
      <c r="E874" s="224"/>
    </row>
    <row r="875">
      <c r="A875" s="224"/>
      <c r="B875" s="224"/>
      <c r="C875" s="224"/>
      <c r="D875" s="224"/>
      <c r="E875" s="224"/>
    </row>
    <row r="876">
      <c r="A876" s="224"/>
      <c r="B876" s="224"/>
      <c r="C876" s="224"/>
      <c r="D876" s="224"/>
      <c r="E876" s="224"/>
    </row>
    <row r="877">
      <c r="A877" s="224"/>
      <c r="B877" s="224"/>
      <c r="C877" s="224"/>
      <c r="D877" s="224"/>
      <c r="E877" s="224"/>
    </row>
    <row r="878">
      <c r="A878" s="224"/>
      <c r="B878" s="224"/>
      <c r="C878" s="224"/>
      <c r="D878" s="224"/>
      <c r="E878" s="224"/>
    </row>
    <row r="879">
      <c r="A879" s="224"/>
      <c r="B879" s="224"/>
      <c r="C879" s="224"/>
      <c r="D879" s="224"/>
      <c r="E879" s="224"/>
    </row>
    <row r="880">
      <c r="A880" s="224"/>
      <c r="B880" s="224"/>
      <c r="C880" s="224"/>
      <c r="D880" s="224"/>
      <c r="E880" s="224"/>
    </row>
    <row r="881">
      <c r="A881" s="224"/>
      <c r="B881" s="224"/>
      <c r="C881" s="224"/>
      <c r="D881" s="224"/>
      <c r="E881" s="224"/>
    </row>
    <row r="882">
      <c r="A882" s="224"/>
      <c r="B882" s="224"/>
      <c r="C882" s="224"/>
      <c r="D882" s="224"/>
      <c r="E882" s="224"/>
    </row>
    <row r="883">
      <c r="A883" s="224"/>
      <c r="B883" s="224"/>
      <c r="C883" s="224"/>
      <c r="D883" s="224"/>
      <c r="E883" s="224"/>
    </row>
    <row r="884">
      <c r="A884" s="224"/>
      <c r="B884" s="224"/>
      <c r="C884" s="224"/>
      <c r="D884" s="224"/>
      <c r="E884" s="224"/>
    </row>
    <row r="885">
      <c r="A885" s="224"/>
      <c r="B885" s="224"/>
      <c r="C885" s="224"/>
      <c r="D885" s="224"/>
      <c r="E885" s="224"/>
    </row>
    <row r="886">
      <c r="A886" s="224"/>
      <c r="B886" s="224"/>
      <c r="C886" s="224"/>
      <c r="D886" s="224"/>
      <c r="E886" s="224"/>
    </row>
    <row r="887">
      <c r="A887" s="224"/>
      <c r="B887" s="224"/>
      <c r="C887" s="224"/>
      <c r="D887" s="224"/>
      <c r="E887" s="224"/>
    </row>
    <row r="888">
      <c r="A888" s="224"/>
      <c r="B888" s="224"/>
      <c r="C888" s="224"/>
      <c r="D888" s="224"/>
      <c r="E888" s="224"/>
    </row>
    <row r="889">
      <c r="A889" s="224"/>
      <c r="B889" s="224"/>
      <c r="C889" s="224"/>
      <c r="D889" s="224"/>
      <c r="E889" s="224"/>
    </row>
    <row r="890">
      <c r="A890" s="224"/>
      <c r="B890" s="224"/>
      <c r="C890" s="224"/>
      <c r="D890" s="224"/>
      <c r="E890" s="224"/>
    </row>
    <row r="891">
      <c r="A891" s="224"/>
      <c r="B891" s="224"/>
      <c r="C891" s="224"/>
      <c r="D891" s="224"/>
      <c r="E891" s="224"/>
    </row>
    <row r="892">
      <c r="A892" s="224"/>
      <c r="B892" s="224"/>
      <c r="C892" s="224"/>
      <c r="D892" s="224"/>
      <c r="E892" s="224"/>
    </row>
    <row r="893">
      <c r="A893" s="224"/>
      <c r="B893" s="224"/>
      <c r="C893" s="224"/>
      <c r="D893" s="224"/>
      <c r="E893" s="224"/>
    </row>
    <row r="894">
      <c r="A894" s="224"/>
      <c r="B894" s="224"/>
      <c r="C894" s="224"/>
      <c r="D894" s="224"/>
      <c r="E894" s="224"/>
    </row>
    <row r="895">
      <c r="A895" s="224"/>
      <c r="B895" s="224"/>
      <c r="C895" s="224"/>
      <c r="D895" s="224"/>
      <c r="E895" s="224"/>
    </row>
    <row r="896">
      <c r="A896" s="224"/>
      <c r="B896" s="224"/>
      <c r="C896" s="224"/>
      <c r="D896" s="224"/>
      <c r="E896" s="224"/>
    </row>
    <row r="897">
      <c r="A897" s="224"/>
      <c r="B897" s="224"/>
      <c r="C897" s="224"/>
      <c r="D897" s="224"/>
      <c r="E897" s="224"/>
    </row>
    <row r="898">
      <c r="A898" s="224"/>
      <c r="B898" s="224"/>
      <c r="C898" s="224"/>
      <c r="D898" s="224"/>
      <c r="E898" s="224"/>
    </row>
    <row r="899">
      <c r="A899" s="224"/>
      <c r="B899" s="224"/>
      <c r="C899" s="224"/>
      <c r="D899" s="224"/>
      <c r="E899" s="224"/>
    </row>
    <row r="900">
      <c r="A900" s="224"/>
      <c r="B900" s="224"/>
      <c r="C900" s="224"/>
      <c r="D900" s="224"/>
      <c r="E900" s="224"/>
    </row>
    <row r="901">
      <c r="A901" s="224"/>
      <c r="B901" s="224"/>
      <c r="C901" s="224"/>
      <c r="D901" s="224"/>
      <c r="E901" s="224"/>
    </row>
    <row r="902">
      <c r="A902" s="224"/>
      <c r="B902" s="224"/>
      <c r="C902" s="224"/>
      <c r="D902" s="224"/>
      <c r="E902" s="224"/>
    </row>
    <row r="903">
      <c r="A903" s="224"/>
      <c r="B903" s="224"/>
      <c r="C903" s="224"/>
      <c r="D903" s="224"/>
      <c r="E903" s="224"/>
    </row>
    <row r="904">
      <c r="A904" s="224"/>
      <c r="B904" s="224"/>
      <c r="C904" s="224"/>
      <c r="D904" s="224"/>
      <c r="E904" s="224"/>
    </row>
    <row r="905">
      <c r="A905" s="224"/>
      <c r="B905" s="224"/>
      <c r="C905" s="224"/>
      <c r="D905" s="224"/>
      <c r="E905" s="224"/>
    </row>
    <row r="906">
      <c r="A906" s="224"/>
      <c r="B906" s="224"/>
      <c r="C906" s="224"/>
      <c r="D906" s="224"/>
      <c r="E906" s="224"/>
    </row>
    <row r="907">
      <c r="A907" s="224"/>
      <c r="B907" s="224"/>
      <c r="C907" s="224"/>
      <c r="D907" s="224"/>
      <c r="E907" s="224"/>
    </row>
    <row r="908">
      <c r="A908" s="224"/>
      <c r="B908" s="224"/>
      <c r="C908" s="224"/>
      <c r="D908" s="224"/>
      <c r="E908" s="224"/>
    </row>
    <row r="909">
      <c r="A909" s="224"/>
      <c r="B909" s="224"/>
      <c r="C909" s="224"/>
      <c r="D909" s="224"/>
      <c r="E909" s="224"/>
    </row>
    <row r="910">
      <c r="A910" s="224"/>
      <c r="B910" s="224"/>
      <c r="C910" s="224"/>
      <c r="D910" s="224"/>
      <c r="E910" s="224"/>
    </row>
    <row r="911">
      <c r="A911" s="224"/>
      <c r="B911" s="224"/>
      <c r="C911" s="224"/>
      <c r="D911" s="224"/>
      <c r="E911" s="224"/>
    </row>
    <row r="912">
      <c r="A912" s="224"/>
      <c r="B912" s="224"/>
      <c r="C912" s="224"/>
      <c r="D912" s="224"/>
      <c r="E912" s="224"/>
    </row>
    <row r="913">
      <c r="A913" s="224"/>
      <c r="B913" s="224"/>
      <c r="C913" s="224"/>
      <c r="D913" s="224"/>
      <c r="E913" s="224"/>
    </row>
    <row r="914">
      <c r="A914" s="224"/>
      <c r="B914" s="224"/>
      <c r="C914" s="224"/>
      <c r="D914" s="224"/>
      <c r="E914" s="224"/>
    </row>
    <row r="915">
      <c r="A915" s="224"/>
      <c r="B915" s="224"/>
      <c r="C915" s="224"/>
      <c r="D915" s="224"/>
      <c r="E915" s="224"/>
    </row>
    <row r="916">
      <c r="A916" s="224"/>
      <c r="B916" s="224"/>
      <c r="C916" s="224"/>
      <c r="D916" s="224"/>
      <c r="E916" s="224"/>
    </row>
    <row r="917">
      <c r="A917" s="224"/>
      <c r="B917" s="224"/>
      <c r="C917" s="224"/>
      <c r="D917" s="224"/>
      <c r="E917" s="224"/>
    </row>
    <row r="918">
      <c r="A918" s="224"/>
      <c r="B918" s="224"/>
      <c r="C918" s="224"/>
      <c r="D918" s="224"/>
      <c r="E918" s="224"/>
    </row>
    <row r="919">
      <c r="A919" s="224"/>
      <c r="B919" s="224"/>
      <c r="C919" s="224"/>
      <c r="D919" s="224"/>
      <c r="E919" s="224"/>
    </row>
    <row r="920">
      <c r="A920" s="224"/>
      <c r="B920" s="224"/>
      <c r="C920" s="224"/>
      <c r="D920" s="224"/>
      <c r="E920" s="224"/>
    </row>
    <row r="921">
      <c r="A921" s="224"/>
      <c r="B921" s="224"/>
      <c r="C921" s="224"/>
      <c r="D921" s="224"/>
      <c r="E921" s="224"/>
    </row>
    <row r="922">
      <c r="A922" s="224"/>
      <c r="B922" s="224"/>
      <c r="C922" s="224"/>
      <c r="D922" s="224"/>
      <c r="E922" s="224"/>
    </row>
    <row r="923">
      <c r="A923" s="224"/>
      <c r="B923" s="224"/>
      <c r="C923" s="224"/>
      <c r="D923" s="224"/>
      <c r="E923" s="224"/>
    </row>
    <row r="924">
      <c r="A924" s="224"/>
      <c r="B924" s="224"/>
      <c r="C924" s="224"/>
      <c r="D924" s="224"/>
      <c r="E924" s="224"/>
    </row>
    <row r="925">
      <c r="A925" s="224"/>
      <c r="B925" s="224"/>
      <c r="C925" s="224"/>
      <c r="D925" s="224"/>
      <c r="E925" s="224"/>
    </row>
    <row r="926">
      <c r="A926" s="224"/>
      <c r="B926" s="224"/>
      <c r="C926" s="224"/>
      <c r="D926" s="224"/>
      <c r="E926" s="224"/>
    </row>
    <row r="927">
      <c r="A927" s="224"/>
      <c r="B927" s="224"/>
      <c r="C927" s="224"/>
      <c r="D927" s="224"/>
      <c r="E927" s="224"/>
    </row>
    <row r="928">
      <c r="A928" s="224"/>
      <c r="B928" s="224"/>
      <c r="C928" s="224"/>
      <c r="D928" s="224"/>
      <c r="E928" s="224"/>
    </row>
    <row r="929">
      <c r="A929" s="224"/>
      <c r="B929" s="224"/>
      <c r="C929" s="224"/>
      <c r="D929" s="224"/>
      <c r="E929" s="224"/>
    </row>
    <row r="930">
      <c r="A930" s="224"/>
      <c r="B930" s="224"/>
      <c r="C930" s="224"/>
      <c r="D930" s="224"/>
      <c r="E930" s="224"/>
    </row>
    <row r="931">
      <c r="A931" s="224"/>
      <c r="B931" s="224"/>
      <c r="C931" s="224"/>
      <c r="D931" s="224"/>
      <c r="E931" s="224"/>
    </row>
    <row r="932">
      <c r="A932" s="224"/>
      <c r="B932" s="224"/>
      <c r="C932" s="224"/>
      <c r="D932" s="224"/>
      <c r="E932" s="224"/>
    </row>
    <row r="933">
      <c r="A933" s="224"/>
      <c r="B933" s="224"/>
      <c r="C933" s="224"/>
      <c r="D933" s="224"/>
      <c r="E933" s="224"/>
    </row>
    <row r="934">
      <c r="A934" s="224"/>
      <c r="B934" s="224"/>
      <c r="C934" s="224"/>
      <c r="D934" s="224"/>
      <c r="E934" s="224"/>
    </row>
    <row r="935">
      <c r="A935" s="224"/>
      <c r="B935" s="224"/>
      <c r="C935" s="224"/>
      <c r="D935" s="224"/>
      <c r="E935" s="224"/>
    </row>
    <row r="936">
      <c r="A936" s="224"/>
      <c r="B936" s="224"/>
      <c r="C936" s="224"/>
      <c r="D936" s="224"/>
      <c r="E936" s="224"/>
    </row>
    <row r="937">
      <c r="A937" s="224"/>
      <c r="B937" s="224"/>
      <c r="C937" s="224"/>
      <c r="D937" s="224"/>
      <c r="E937" s="224"/>
    </row>
    <row r="938">
      <c r="A938" s="224"/>
      <c r="B938" s="224"/>
      <c r="C938" s="224"/>
      <c r="D938" s="224"/>
      <c r="E938" s="224"/>
    </row>
    <row r="939">
      <c r="A939" s="224"/>
      <c r="B939" s="224"/>
      <c r="C939" s="224"/>
      <c r="D939" s="224"/>
      <c r="E939" s="224"/>
    </row>
    <row r="940">
      <c r="A940" s="224"/>
      <c r="B940" s="224"/>
      <c r="C940" s="224"/>
      <c r="D940" s="224"/>
      <c r="E940" s="224"/>
    </row>
    <row r="941">
      <c r="A941" s="224"/>
      <c r="B941" s="224"/>
      <c r="C941" s="224"/>
      <c r="D941" s="224"/>
      <c r="E941" s="224"/>
    </row>
    <row r="942">
      <c r="A942" s="224"/>
      <c r="B942" s="224"/>
      <c r="C942" s="224"/>
      <c r="D942" s="224"/>
      <c r="E942" s="224"/>
    </row>
    <row r="943">
      <c r="A943" s="224"/>
      <c r="B943" s="224"/>
      <c r="C943" s="224"/>
      <c r="D943" s="224"/>
      <c r="E943" s="224"/>
    </row>
    <row r="944">
      <c r="A944" s="224"/>
      <c r="B944" s="224"/>
      <c r="C944" s="224"/>
      <c r="D944" s="224"/>
      <c r="E944" s="224"/>
    </row>
    <row r="945">
      <c r="A945" s="224"/>
      <c r="B945" s="224"/>
      <c r="C945" s="224"/>
      <c r="D945" s="224"/>
      <c r="E945" s="224"/>
    </row>
    <row r="946">
      <c r="A946" s="224"/>
      <c r="B946" s="224"/>
      <c r="C946" s="224"/>
      <c r="D946" s="224"/>
      <c r="E946" s="224"/>
    </row>
    <row r="947">
      <c r="A947" s="224"/>
      <c r="B947" s="224"/>
      <c r="C947" s="224"/>
      <c r="D947" s="224"/>
      <c r="E947" s="224"/>
    </row>
    <row r="948">
      <c r="A948" s="224"/>
      <c r="B948" s="224"/>
      <c r="C948" s="224"/>
      <c r="D948" s="224"/>
      <c r="E948" s="224"/>
    </row>
    <row r="949">
      <c r="A949" s="224"/>
      <c r="B949" s="224"/>
      <c r="C949" s="224"/>
      <c r="D949" s="224"/>
      <c r="E949" s="224"/>
    </row>
    <row r="950">
      <c r="A950" s="224"/>
      <c r="B950" s="224"/>
      <c r="C950" s="224"/>
      <c r="D950" s="224"/>
      <c r="E950" s="224"/>
    </row>
    <row r="951">
      <c r="A951" s="224"/>
      <c r="B951" s="224"/>
      <c r="C951" s="224"/>
      <c r="D951" s="224"/>
      <c r="E951" s="224"/>
    </row>
    <row r="952">
      <c r="A952" s="224"/>
      <c r="B952" s="224"/>
      <c r="C952" s="224"/>
      <c r="D952" s="224"/>
      <c r="E952" s="224"/>
    </row>
    <row r="953">
      <c r="A953" s="224"/>
      <c r="B953" s="224"/>
      <c r="C953" s="224"/>
      <c r="D953" s="224"/>
      <c r="E953" s="224"/>
    </row>
    <row r="954">
      <c r="A954" s="224"/>
      <c r="B954" s="224"/>
      <c r="C954" s="224"/>
      <c r="D954" s="224"/>
      <c r="E954" s="224"/>
    </row>
    <row r="955">
      <c r="A955" s="224"/>
      <c r="B955" s="224"/>
      <c r="C955" s="224"/>
      <c r="D955" s="224"/>
      <c r="E955" s="224"/>
    </row>
    <row r="956">
      <c r="A956" s="224"/>
      <c r="B956" s="224"/>
      <c r="C956" s="224"/>
      <c r="D956" s="224"/>
      <c r="E956" s="224"/>
    </row>
    <row r="957">
      <c r="A957" s="224"/>
      <c r="B957" s="224"/>
      <c r="C957" s="224"/>
      <c r="D957" s="224"/>
      <c r="E957" s="224"/>
    </row>
    <row r="958">
      <c r="A958" s="224"/>
      <c r="B958" s="224"/>
      <c r="C958" s="224"/>
      <c r="D958" s="224"/>
      <c r="E958" s="224"/>
    </row>
    <row r="959">
      <c r="A959" s="224"/>
      <c r="B959" s="224"/>
      <c r="C959" s="224"/>
      <c r="D959" s="224"/>
      <c r="E959" s="224"/>
    </row>
    <row r="960">
      <c r="A960" s="224"/>
      <c r="B960" s="224"/>
      <c r="C960" s="224"/>
      <c r="D960" s="224"/>
      <c r="E960" s="224"/>
    </row>
    <row r="961">
      <c r="A961" s="224"/>
      <c r="B961" s="224"/>
      <c r="C961" s="224"/>
      <c r="D961" s="224"/>
      <c r="E961" s="224"/>
    </row>
    <row r="962">
      <c r="A962" s="224"/>
      <c r="B962" s="224"/>
      <c r="C962" s="224"/>
      <c r="D962" s="224"/>
      <c r="E962" s="224"/>
    </row>
    <row r="963">
      <c r="A963" s="224"/>
      <c r="B963" s="224"/>
      <c r="C963" s="224"/>
      <c r="D963" s="224"/>
      <c r="E963" s="224"/>
    </row>
    <row r="964">
      <c r="A964" s="224"/>
      <c r="B964" s="224"/>
      <c r="C964" s="224"/>
      <c r="D964" s="224"/>
      <c r="E964" s="224"/>
    </row>
    <row r="965">
      <c r="A965" s="224"/>
      <c r="B965" s="224"/>
      <c r="C965" s="224"/>
      <c r="D965" s="224"/>
      <c r="E965" s="224"/>
    </row>
    <row r="966">
      <c r="A966" s="224"/>
      <c r="B966" s="224"/>
      <c r="C966" s="224"/>
      <c r="D966" s="224"/>
      <c r="E966" s="224"/>
    </row>
    <row r="967">
      <c r="A967" s="224"/>
      <c r="B967" s="224"/>
      <c r="C967" s="224"/>
      <c r="D967" s="224"/>
      <c r="E967" s="224"/>
    </row>
    <row r="968">
      <c r="A968" s="224"/>
      <c r="B968" s="224"/>
      <c r="C968" s="224"/>
      <c r="D968" s="224"/>
      <c r="E968" s="224"/>
    </row>
    <row r="969">
      <c r="A969" s="224"/>
      <c r="B969" s="224"/>
      <c r="C969" s="224"/>
      <c r="D969" s="224"/>
      <c r="E969" s="224"/>
    </row>
    <row r="970">
      <c r="A970" s="224"/>
      <c r="B970" s="224"/>
      <c r="C970" s="224"/>
      <c r="D970" s="224"/>
      <c r="E970" s="224"/>
    </row>
    <row r="971">
      <c r="A971" s="224"/>
      <c r="B971" s="224"/>
      <c r="C971" s="224"/>
      <c r="D971" s="224"/>
      <c r="E971" s="224"/>
    </row>
    <row r="972">
      <c r="A972" s="224"/>
      <c r="B972" s="224"/>
      <c r="C972" s="224"/>
      <c r="D972" s="224"/>
      <c r="E972" s="224"/>
    </row>
    <row r="973">
      <c r="A973" s="224"/>
      <c r="B973" s="224"/>
      <c r="C973" s="224"/>
      <c r="D973" s="224"/>
      <c r="E973" s="224"/>
    </row>
    <row r="974">
      <c r="A974" s="224"/>
      <c r="B974" s="224"/>
      <c r="C974" s="224"/>
      <c r="D974" s="224"/>
      <c r="E974" s="224"/>
    </row>
    <row r="975">
      <c r="A975" s="224"/>
      <c r="B975" s="224"/>
      <c r="C975" s="224"/>
      <c r="D975" s="224"/>
      <c r="E975" s="224"/>
    </row>
    <row r="976">
      <c r="A976" s="224"/>
      <c r="B976" s="224"/>
      <c r="C976" s="224"/>
      <c r="D976" s="224"/>
      <c r="E976" s="224"/>
    </row>
    <row r="977">
      <c r="A977" s="224"/>
      <c r="B977" s="224"/>
      <c r="C977" s="224"/>
      <c r="D977" s="224"/>
      <c r="E977" s="224"/>
    </row>
    <row r="978">
      <c r="A978" s="224"/>
      <c r="B978" s="224"/>
      <c r="C978" s="224"/>
      <c r="D978" s="224"/>
      <c r="E978" s="224"/>
    </row>
    <row r="979">
      <c r="A979" s="224"/>
      <c r="B979" s="224"/>
      <c r="C979" s="224"/>
      <c r="D979" s="224"/>
      <c r="E979" s="224"/>
    </row>
    <row r="980">
      <c r="A980" s="224"/>
      <c r="B980" s="224"/>
      <c r="C980" s="224"/>
      <c r="D980" s="224"/>
      <c r="E980" s="224"/>
    </row>
    <row r="981">
      <c r="A981" s="224"/>
      <c r="B981" s="224"/>
      <c r="C981" s="224"/>
      <c r="D981" s="224"/>
      <c r="E981" s="224"/>
    </row>
    <row r="982">
      <c r="A982" s="224"/>
      <c r="B982" s="224"/>
      <c r="C982" s="224"/>
      <c r="D982" s="224"/>
      <c r="E982" s="224"/>
    </row>
    <row r="983">
      <c r="A983" s="224"/>
      <c r="B983" s="224"/>
      <c r="C983" s="224"/>
      <c r="D983" s="224"/>
      <c r="E983" s="224"/>
    </row>
    <row r="984">
      <c r="A984" s="224"/>
      <c r="B984" s="224"/>
      <c r="C984" s="224"/>
      <c r="D984" s="224"/>
      <c r="E984" s="224"/>
    </row>
    <row r="985">
      <c r="A985" s="224"/>
      <c r="B985" s="224"/>
      <c r="C985" s="224"/>
      <c r="D985" s="224"/>
      <c r="E985" s="224"/>
    </row>
    <row r="986">
      <c r="A986" s="224"/>
      <c r="B986" s="224"/>
      <c r="C986" s="224"/>
      <c r="D986" s="224"/>
      <c r="E986" s="224"/>
    </row>
    <row r="987">
      <c r="A987" s="224"/>
      <c r="B987" s="224"/>
      <c r="C987" s="224"/>
      <c r="D987" s="224"/>
      <c r="E987" s="224"/>
    </row>
    <row r="988">
      <c r="A988" s="224"/>
      <c r="B988" s="224"/>
      <c r="C988" s="224"/>
      <c r="D988" s="224"/>
      <c r="E988" s="224"/>
    </row>
    <row r="989">
      <c r="A989" s="224"/>
      <c r="B989" s="224"/>
      <c r="C989" s="224"/>
      <c r="D989" s="224"/>
      <c r="E989" s="224"/>
    </row>
    <row r="990">
      <c r="A990" s="224"/>
      <c r="B990" s="224"/>
      <c r="C990" s="224"/>
      <c r="D990" s="224"/>
      <c r="E990" s="224"/>
    </row>
    <row r="991">
      <c r="A991" s="224"/>
      <c r="B991" s="224"/>
      <c r="C991" s="224"/>
      <c r="D991" s="224"/>
      <c r="E991" s="224"/>
    </row>
    <row r="992">
      <c r="A992" s="224"/>
      <c r="B992" s="224"/>
      <c r="C992" s="224"/>
      <c r="D992" s="224"/>
      <c r="E992" s="224"/>
    </row>
    <row r="993">
      <c r="A993" s="224"/>
      <c r="B993" s="224"/>
      <c r="C993" s="224"/>
      <c r="D993" s="224"/>
      <c r="E993" s="224"/>
    </row>
    <row r="994">
      <c r="A994" s="224"/>
      <c r="B994" s="224"/>
      <c r="C994" s="224"/>
      <c r="D994" s="224"/>
      <c r="E994" s="224"/>
    </row>
    <row r="995">
      <c r="A995" s="224"/>
      <c r="B995" s="224"/>
      <c r="C995" s="224"/>
      <c r="D995" s="224"/>
      <c r="E995" s="224"/>
    </row>
    <row r="996">
      <c r="A996" s="224"/>
      <c r="B996" s="224"/>
      <c r="C996" s="224"/>
      <c r="D996" s="224"/>
      <c r="E996" s="224"/>
    </row>
    <row r="997">
      <c r="A997" s="224"/>
      <c r="B997" s="224"/>
      <c r="C997" s="224"/>
      <c r="D997" s="224"/>
      <c r="E997" s="224"/>
    </row>
    <row r="998">
      <c r="A998" s="224"/>
      <c r="B998" s="224"/>
      <c r="C998" s="224"/>
      <c r="D998" s="224"/>
      <c r="E998" s="224"/>
    </row>
    <row r="999">
      <c r="A999" s="224"/>
      <c r="B999" s="224"/>
      <c r="C999" s="224"/>
      <c r="D999" s="224"/>
      <c r="E999" s="224"/>
    </row>
    <row r="1000">
      <c r="A1000" s="224"/>
      <c r="B1000" s="224"/>
      <c r="C1000" s="224"/>
      <c r="D1000" s="224"/>
      <c r="E1000" s="224"/>
    </row>
    <row r="1001">
      <c r="A1001" s="224"/>
      <c r="B1001" s="224"/>
      <c r="C1001" s="224"/>
      <c r="D1001" s="224"/>
      <c r="E1001" s="224"/>
    </row>
    <row r="1002">
      <c r="A1002" s="224"/>
      <c r="B1002" s="224"/>
      <c r="C1002" s="224"/>
      <c r="D1002" s="224"/>
      <c r="E1002" s="224"/>
    </row>
    <row r="1003">
      <c r="A1003" s="224"/>
      <c r="B1003" s="224"/>
      <c r="C1003" s="224"/>
      <c r="D1003" s="224"/>
      <c r="E1003" s="224"/>
    </row>
    <row r="1004">
      <c r="A1004" s="224"/>
      <c r="B1004" s="224"/>
      <c r="C1004" s="224"/>
      <c r="D1004" s="224"/>
      <c r="E1004" s="224"/>
    </row>
    <row r="1005">
      <c r="A1005" s="224"/>
      <c r="B1005" s="224"/>
      <c r="C1005" s="224"/>
      <c r="D1005" s="224"/>
      <c r="E1005" s="224"/>
    </row>
  </sheetData>
  <mergeCells count="2">
    <mergeCell ref="D22:D25"/>
    <mergeCell ref="D26:D29"/>
  </mergeCells>
  <hyperlinks>
    <hyperlink r:id="rId1" ref="F2"/>
    <hyperlink r:id="rId2" ref="E16"/>
    <hyperlink r:id="rId3" ref="H16"/>
    <hyperlink r:id="rId4" ref="K16"/>
    <hyperlink r:id="rId5" ref="L16"/>
    <hyperlink r:id="rId6" ref="M16"/>
    <hyperlink r:id="rId7" ref="N16"/>
    <hyperlink r:id="rId8" ref="O16"/>
    <hyperlink r:id="rId9" ref="P16"/>
    <hyperlink r:id="rId10" ref="Q16"/>
    <hyperlink r:id="rId11" ref="R16"/>
    <hyperlink r:id="rId12" location="submission-guidelines" ref="S16"/>
    <hyperlink r:id="rId13" ref="U16"/>
    <hyperlink r:id="rId14" ref="V16"/>
    <hyperlink r:id="rId15" ref="W16"/>
    <hyperlink r:id="rId16" ref="X16"/>
    <hyperlink r:id="rId17" location="20910" ref="Y16"/>
    <hyperlink r:id="rId18" ref="Z16"/>
    <hyperlink r:id="rId19" ref="AA16"/>
    <hyperlink r:id="rId20" ref="AC16"/>
    <hyperlink r:id="rId21" ref="AD16"/>
    <hyperlink r:id="rId22" ref="AE16"/>
    <hyperlink r:id="rId23" ref="AF16"/>
    <hyperlink r:id="rId24" location="peerrev" ref="AG16"/>
    <hyperlink r:id="rId25" ref="AH16"/>
    <hyperlink r:id="rId26" ref="AI16"/>
    <hyperlink r:id="rId27" ref="AJ16"/>
    <hyperlink r:id="rId28" ref="AK16"/>
    <hyperlink r:id="rId29" ref="AL16"/>
    <hyperlink r:id="rId30" ref="AM16"/>
    <hyperlink r:id="rId31" ref="AN16"/>
    <hyperlink r:id="rId32" ref="AO16"/>
    <hyperlink r:id="rId33" ref="AP16"/>
    <hyperlink r:id="rId34" location="peerrev" ref="AQ16"/>
    <hyperlink r:id="rId35" ref="AR16"/>
    <hyperlink r:id="rId36" location="peerreview" ref="AS16"/>
    <hyperlink r:id="rId37" location="Peer_review" ref="AT16"/>
    <hyperlink r:id="rId38" location="reviewprocess" ref="AU16"/>
    <hyperlink r:id="rId39" location="review-procedure" ref="AV16"/>
    <hyperlink r:id="rId40" ref="AW16"/>
    <hyperlink r:id="rId41" location="3.1" ref="AX16"/>
    <hyperlink r:id="rId42" ref="AY16"/>
    <hyperlink r:id="rId43" ref="AZ16"/>
    <hyperlink r:id="rId44" location="submission-guidelines" ref="BA16"/>
    <hyperlink r:id="rId45" ref="BB16"/>
    <hyperlink r:id="rId46" ref="BC16"/>
    <hyperlink r:id="rId47" ref="BD16"/>
    <hyperlink r:id="rId48" ref="BE16"/>
    <hyperlink r:id="rId49" ref="BF16"/>
    <hyperlink r:id="rId50" ref="BG16"/>
    <hyperlink r:id="rId51" ref="BH16"/>
    <hyperlink r:id="rId52" ref="BI16"/>
    <hyperlink r:id="rId53" ref="BJ16"/>
    <hyperlink r:id="rId54" ref="BK16"/>
    <hyperlink r:id="rId55" ref="BL16"/>
    <hyperlink r:id="rId56" ref="BM16"/>
    <hyperlink r:id="rId57" ref="BN16"/>
    <hyperlink r:id="rId58" ref="BO16"/>
    <hyperlink r:id="rId59" ref="BP16"/>
    <hyperlink r:id="rId60" ref="BQ16"/>
    <hyperlink r:id="rId61" ref="BS16"/>
    <hyperlink r:id="rId62" ref="BT16"/>
    <hyperlink r:id="rId63" ref="BU16"/>
    <hyperlink r:id="rId64" ref="BV16"/>
    <hyperlink r:id="rId65" ref="BW16"/>
    <hyperlink r:id="rId66" ref="BX16"/>
    <hyperlink r:id="rId67" ref="BY16"/>
    <hyperlink r:id="rId68" ref="BZ16"/>
    <hyperlink r:id="rId69" location="Peer%20review" ref="CA16"/>
    <hyperlink r:id="rId70" ref="CB16"/>
    <hyperlink r:id="rId71" ref="CC16"/>
    <hyperlink r:id="rId72" ref="CE16"/>
    <hyperlink r:id="rId73" ref="CF16"/>
    <hyperlink r:id="rId74" ref="CH16"/>
    <hyperlink r:id="rId75" ref="CI16"/>
    <hyperlink r:id="rId76" location="review-procedure" ref="CJ16"/>
    <hyperlink r:id="rId77" ref="CK16"/>
    <hyperlink r:id="rId78" ref="CL16"/>
    <hyperlink r:id="rId79" ref="CM16"/>
    <hyperlink r:id="rId80" ref="CN16"/>
    <hyperlink r:id="rId81" location="PeerReviewPolicy" ref="CO16"/>
    <hyperlink r:id="rId82" location="Peer_review" ref="CP16"/>
    <hyperlink r:id="rId83" location="Peer_review" ref="CQ16"/>
    <hyperlink r:id="rId84" ref="CR16"/>
    <hyperlink r:id="rId85" ref="CS16"/>
    <hyperlink r:id="rId86" ref="CT16"/>
    <hyperlink r:id="rId87" ref="CU16"/>
    <hyperlink r:id="rId88" ref="CV16"/>
    <hyperlink r:id="rId89" location="submission-guidelines" ref="CW16"/>
    <hyperlink r:id="rId90" ref="CX16"/>
    <hyperlink r:id="rId91" location="4%20Editorial%20review" ref="CY16"/>
    <hyperlink r:id="rId92" ref="CZ16"/>
    <hyperlink r:id="rId93" location="review-procedure" ref="DA16"/>
    <hyperlink r:id="rId94" ref="DB16"/>
    <hyperlink r:id="rId95" ref="DC16"/>
    <hyperlink r:id="rId96" ref="DD16"/>
    <hyperlink r:id="rId97" ref="DE16"/>
    <hyperlink r:id="rId98" ref="DF16"/>
    <hyperlink r:id="rId99" ref="DG16"/>
    <hyperlink r:id="rId100" ref="DH16"/>
    <hyperlink r:id="rId101" ref="DI16"/>
    <hyperlink r:id="rId102" ref="DJ16"/>
    <hyperlink r:id="rId103" ref="DK16"/>
    <hyperlink r:id="rId104" ref="DL16"/>
    <hyperlink r:id="rId105" ref="DM16"/>
    <hyperlink r:id="rId106" ref="DN16"/>
    <hyperlink r:id="rId107" ref="DO16"/>
    <hyperlink r:id="rId108" ref="DP16"/>
    <hyperlink r:id="rId109" ref="DQ16"/>
    <hyperlink r:id="rId110" ref="DR16"/>
    <hyperlink r:id="rId111" ref="DS16"/>
    <hyperlink r:id="rId112" ref="DT16"/>
    <hyperlink r:id="rId113" ref="DU16"/>
    <hyperlink r:id="rId114" ref="DV16"/>
    <hyperlink r:id="rId115" ref="DW16"/>
    <hyperlink r:id="rId116" ref="DX16"/>
    <hyperlink r:id="rId117" ref="DY16"/>
    <hyperlink r:id="rId118" location="PeerReviewPolicy" ref="DZ16"/>
    <hyperlink r:id="rId119" ref="EA16"/>
    <hyperlink r:id="rId120" location="overview" ref="ED16"/>
    <hyperlink r:id="rId121" ref="EE16"/>
    <hyperlink r:id="rId122" ref="EF16"/>
    <hyperlink r:id="rId123" ref="EG16"/>
    <hyperlink r:id="rId124" location="anonymity" ref="EH16"/>
    <hyperlink r:id="rId125" location="anonymity" ref="EI16"/>
    <hyperlink r:id="rId126" ref="EJ16"/>
    <hyperlink r:id="rId127" ref="EK16"/>
    <hyperlink r:id="rId128" ref="EL16"/>
    <hyperlink r:id="rId129" ref="EM16"/>
    <hyperlink r:id="rId130" location="EditorialPolicies" ref="EN16"/>
    <hyperlink r:id="rId131" ref="EO16"/>
    <hyperlink r:id="rId132" ref="EP16"/>
    <hyperlink r:id="rId133" ref="EQ16"/>
    <hyperlink r:id="rId134" ref="ER16"/>
    <hyperlink r:id="rId135" ref="EU16"/>
    <hyperlink r:id="rId136" ref="EV16"/>
    <hyperlink r:id="rId137" ref="EW16"/>
    <hyperlink r:id="rId138" ref="EX16"/>
    <hyperlink r:id="rId139" ref="EZ16"/>
    <hyperlink r:id="rId140" ref="FA16"/>
    <hyperlink r:id="rId141" ref="FB16"/>
    <hyperlink r:id="rId142" ref="FC16"/>
    <hyperlink r:id="rId143" ref="FF16"/>
    <hyperlink r:id="rId144" ref="FG16"/>
    <hyperlink r:id="rId145" location="Editorial_Policies" ref="FH16"/>
    <hyperlink r:id="rId146" ref="FK16"/>
    <hyperlink r:id="rId147" ref="FL16"/>
    <hyperlink r:id="rId148" ref="FM16"/>
    <hyperlink r:id="rId149" location="Manuscript" ref="FN16"/>
    <hyperlink r:id="rId150" ref="FP16"/>
    <hyperlink r:id="rId151" ref="FS16"/>
    <hyperlink r:id="rId152" ref="FT16"/>
    <hyperlink r:id="rId153" ref="E17"/>
    <hyperlink r:id="rId154" ref="J17"/>
    <hyperlink r:id="rId155" ref="K17"/>
    <hyperlink r:id="rId156" ref="CF17"/>
    <hyperlink r:id="rId157" ref="EI17"/>
    <hyperlink r:id="rId158" ref="EJ17"/>
    <hyperlink r:id="rId159" ref="E18"/>
    <hyperlink r:id="rId160" ref="S18"/>
    <hyperlink r:id="rId161" ref="U18"/>
    <hyperlink r:id="rId162" ref="W18"/>
    <hyperlink r:id="rId163" location="recognizing" ref="X18"/>
    <hyperlink r:id="rId164" location="recognizing" ref="Y18"/>
    <hyperlink r:id="rId165" location="recognizing" ref="AC18"/>
    <hyperlink r:id="rId166" ref="AD18"/>
    <hyperlink r:id="rId167" ref="AE18"/>
    <hyperlink r:id="rId168" ref="AG18"/>
    <hyperlink r:id="rId169" location="becoming-reviewer" ref="AK18"/>
    <hyperlink r:id="rId170" location="becoming-reviewer" ref="AM18"/>
    <hyperlink r:id="rId171" ref="AQ18"/>
    <hyperlink r:id="rId172" location="recognizing" ref="AR18"/>
    <hyperlink r:id="rId173" ref="AS18"/>
    <hyperlink r:id="rId174" location="RRP" ref="AY18"/>
    <hyperlink r:id="rId175" ref="AZ18"/>
    <hyperlink r:id="rId176" ref="BA18"/>
    <hyperlink r:id="rId177" ref="BB18"/>
    <hyperlink r:id="rId178" location="recognizing" ref="BC18"/>
    <hyperlink r:id="rId179" ref="BF18"/>
    <hyperlink r:id="rId180" location="RRP" ref="BS18"/>
    <hyperlink r:id="rId181" location="RRP" ref="BV18"/>
    <hyperlink r:id="rId182" ref="BW18"/>
    <hyperlink r:id="rId183" location="recognizing" ref="BX18"/>
    <hyperlink r:id="rId184" location="RRP" ref="BY18"/>
    <hyperlink r:id="rId185" ref="BZ18"/>
    <hyperlink r:id="rId186" ref="CB18"/>
    <hyperlink r:id="rId187" location="recognizing" ref="CE18"/>
    <hyperlink r:id="rId188" ref="CF18"/>
    <hyperlink r:id="rId189" location="recognizing" ref="CG18"/>
    <hyperlink r:id="rId190" ref="CI18"/>
    <hyperlink r:id="rId191" location="review-procedure" ref="CJ18"/>
    <hyperlink r:id="rId192" ref="CO18"/>
    <hyperlink r:id="rId193" location="recognizing" ref="CR18"/>
    <hyperlink r:id="rId194" location="RRP" ref="CT18"/>
    <hyperlink r:id="rId195" location="4%20Editorial%20review" ref="CY18"/>
    <hyperlink r:id="rId196" location="peer-review-help" ref="DA18"/>
    <hyperlink r:id="rId197" ref="DC18"/>
    <hyperlink r:id="rId198" ref="DD18"/>
    <hyperlink r:id="rId199" ref="DE18"/>
    <hyperlink r:id="rId200" ref="DF18"/>
    <hyperlink r:id="rId201" ref="DG18"/>
    <hyperlink r:id="rId202" ref="DH18"/>
    <hyperlink r:id="rId203" ref="DI18"/>
    <hyperlink r:id="rId204" ref="DJ18"/>
    <hyperlink r:id="rId205" ref="DK18"/>
    <hyperlink r:id="rId206" ref="DL18"/>
    <hyperlink r:id="rId207" ref="DM18"/>
    <hyperlink r:id="rId208" ref="DN18"/>
    <hyperlink r:id="rId209" ref="DO18"/>
    <hyperlink r:id="rId210" ref="DP18"/>
    <hyperlink r:id="rId211" location="RRP" ref="DX18"/>
    <hyperlink r:id="rId212" ref="EA18"/>
    <hyperlink r:id="rId213" ref="ED18"/>
    <hyperlink r:id="rId214" ref="EM18"/>
    <hyperlink r:id="rId215" ref="EN18"/>
    <hyperlink r:id="rId216" location="RRP" ref="EQ18"/>
    <hyperlink r:id="rId217" location="RRP" ref="ER18"/>
    <hyperlink r:id="rId218" location="recognizing" ref="FA18"/>
    <hyperlink r:id="rId219" ref="FC18"/>
    <hyperlink r:id="rId220" ref="FI18"/>
    <hyperlink r:id="rId221" ref="FN18"/>
    <hyperlink r:id="rId222" location="RRP" ref="FS18"/>
    <hyperlink r:id="rId223" location="recognizing" ref="FT18"/>
    <hyperlink r:id="rId224" ref="AE20"/>
    <hyperlink r:id="rId225" ref="AR20"/>
    <hyperlink r:id="rId226" ref="BQ20"/>
    <hyperlink r:id="rId227" ref="E21"/>
    <hyperlink r:id="rId228" ref="G21"/>
    <hyperlink r:id="rId229" ref="I21"/>
    <hyperlink r:id="rId230" ref="K21"/>
    <hyperlink r:id="rId231" ref="W21"/>
    <hyperlink r:id="rId232" ref="X21"/>
    <hyperlink r:id="rId233" ref="Y21"/>
    <hyperlink r:id="rId234" ref="AA21"/>
    <hyperlink r:id="rId235" ref="AC21"/>
    <hyperlink r:id="rId236" ref="AE21"/>
    <hyperlink r:id="rId237" ref="AF21"/>
    <hyperlink r:id="rId238" ref="AG21"/>
    <hyperlink r:id="rId239" ref="AH21"/>
    <hyperlink r:id="rId240" ref="AI21"/>
    <hyperlink r:id="rId241" ref="AJ21"/>
    <hyperlink r:id="rId242" location="transfers" ref="AK21"/>
    <hyperlink r:id="rId243" ref="AL21"/>
    <hyperlink r:id="rId244" location="transfers" ref="AM21"/>
    <hyperlink r:id="rId245" ref="AN21"/>
    <hyperlink r:id="rId246" ref="AQ21"/>
    <hyperlink r:id="rId247" ref="AR21"/>
    <hyperlink r:id="rId248" location="sharing" ref="AU21"/>
    <hyperlink r:id="rId249" location="transfers" ref="AV21"/>
    <hyperlink r:id="rId250" ref="AW21"/>
    <hyperlink r:id="rId251" ref="AX21"/>
    <hyperlink r:id="rId252" ref="AY21"/>
    <hyperlink r:id="rId253" ref="AZ21"/>
    <hyperlink r:id="rId254" ref="BC21"/>
    <hyperlink r:id="rId255" ref="BD21"/>
    <hyperlink r:id="rId256" location="manuscript_transfer" ref="BE21"/>
    <hyperlink r:id="rId257" ref="BS21"/>
    <hyperlink r:id="rId258" ref="BT21"/>
    <hyperlink r:id="rId259" ref="BU21"/>
    <hyperlink r:id="rId260" ref="BV21"/>
    <hyperlink r:id="rId261" ref="BX21"/>
    <hyperlink r:id="rId262" ref="BY21"/>
    <hyperlink r:id="rId263" ref="CB21"/>
    <hyperlink r:id="rId264" ref="CE21"/>
    <hyperlink r:id="rId265" ref="CH21"/>
    <hyperlink r:id="rId266" location="transfers" ref="CJ21"/>
    <hyperlink r:id="rId267" ref="CK21"/>
    <hyperlink r:id="rId268" ref="CL21"/>
    <hyperlink r:id="rId269" ref="CR21"/>
    <hyperlink r:id="rId270" ref="CT21"/>
    <hyperlink r:id="rId271" ref="CX21"/>
    <hyperlink r:id="rId272" ref="CZ21"/>
    <hyperlink r:id="rId273" ref="DB21"/>
    <hyperlink r:id="rId274" ref="DC21"/>
    <hyperlink r:id="rId275" ref="DD21"/>
    <hyperlink r:id="rId276" ref="DE21"/>
    <hyperlink r:id="rId277" ref="DF21"/>
    <hyperlink r:id="rId278" ref="DG21"/>
    <hyperlink r:id="rId279" ref="DH21"/>
    <hyperlink r:id="rId280" ref="DI21"/>
    <hyperlink r:id="rId281" ref="DJ21"/>
    <hyperlink r:id="rId282" ref="DK21"/>
    <hyperlink r:id="rId283" ref="DL21"/>
    <hyperlink r:id="rId284" ref="DM21"/>
    <hyperlink r:id="rId285" ref="DN21"/>
    <hyperlink r:id="rId286" ref="DO21"/>
    <hyperlink r:id="rId287" ref="DP21"/>
    <hyperlink r:id="rId288" ref="DX21"/>
    <hyperlink r:id="rId289" ref="DY21"/>
    <hyperlink r:id="rId290" ref="EE21"/>
    <hyperlink r:id="rId291" location="guide" ref="EG21"/>
    <hyperlink r:id="rId292" location="sub" ref="EH21"/>
    <hyperlink r:id="rId293" ref="EJ21"/>
    <hyperlink r:id="rId294" ref="EK21"/>
    <hyperlink r:id="rId295" ref="EL21"/>
    <hyperlink r:id="rId296" ref="EQ21"/>
    <hyperlink r:id="rId297" ref="ER21"/>
    <hyperlink r:id="rId298" ref="EU21"/>
    <hyperlink r:id="rId299" ref="EW21"/>
    <hyperlink r:id="rId300" ref="EX21"/>
    <hyperlink r:id="rId301" ref="FB21"/>
    <hyperlink r:id="rId302" ref="FJ21"/>
    <hyperlink r:id="rId303" ref="FK21"/>
    <hyperlink r:id="rId304" ref="FL21"/>
    <hyperlink r:id="rId305" ref="FM21"/>
    <hyperlink r:id="rId306" ref="FS21"/>
    <hyperlink r:id="rId307" ref="FT21"/>
    <hyperlink r:id="rId308" ref="AE30"/>
    <hyperlink r:id="rId309" ref="AF30"/>
    <hyperlink r:id="rId310" ref="E32"/>
    <hyperlink r:id="rId311" location="amrR7" ref="J32"/>
    <hyperlink r:id="rId312" ref="O32"/>
    <hyperlink r:id="rId313" ref="P32"/>
    <hyperlink r:id="rId314" ref="Q32"/>
    <hyperlink r:id="rId315" ref="S32"/>
    <hyperlink r:id="rId316" ref="U32"/>
    <hyperlink r:id="rId317" ref="W32"/>
    <hyperlink r:id="rId318" ref="Z32"/>
    <hyperlink r:id="rId319" ref="AC32"/>
    <hyperlink r:id="rId320" ref="AD32"/>
    <hyperlink r:id="rId321" ref="AE32"/>
    <hyperlink r:id="rId322" ref="AF32"/>
    <hyperlink r:id="rId323" ref="AH32"/>
    <hyperlink r:id="rId324" ref="AI32"/>
    <hyperlink r:id="rId325" ref="AJ32"/>
    <hyperlink r:id="rId326" location="ethical-responsibilities" ref="AM32"/>
    <hyperlink r:id="rId327" ref="AP32"/>
    <hyperlink r:id="rId328" ref="AQ32"/>
    <hyperlink r:id="rId329" ref="AS32"/>
    <hyperlink r:id="rId330" ref="AZ32"/>
    <hyperlink r:id="rId331" ref="BB32"/>
    <hyperlink r:id="rId332" ref="BC32"/>
    <hyperlink r:id="rId333" ref="BD32"/>
    <hyperlink r:id="rId334" ref="BE32"/>
    <hyperlink r:id="rId335" ref="BF32"/>
    <hyperlink r:id="rId336" ref="BJ32"/>
    <hyperlink r:id="rId337" ref="BK32"/>
    <hyperlink r:id="rId338" ref="BP32"/>
    <hyperlink r:id="rId339" ref="BS32"/>
    <hyperlink r:id="rId340" ref="BV32"/>
    <hyperlink r:id="rId341" ref="BX32"/>
    <hyperlink r:id="rId342" ref="BY32"/>
    <hyperlink r:id="rId343" ref="CB32"/>
    <hyperlink r:id="rId344" ref="CD32"/>
    <hyperlink r:id="rId345" ref="CE32"/>
    <hyperlink r:id="rId346" ref="CI32"/>
    <hyperlink r:id="rId347" location="review-procedure" ref="CJ32"/>
    <hyperlink r:id="rId348" ref="CO32"/>
    <hyperlink r:id="rId349" ref="CT32"/>
    <hyperlink r:id="rId350" ref="CZ32"/>
    <hyperlink r:id="rId351" location="ethical-responsibilities" ref="DA32"/>
    <hyperlink r:id="rId352" ref="DB32"/>
    <hyperlink r:id="rId353" ref="DC32"/>
    <hyperlink r:id="rId354" ref="DD32"/>
    <hyperlink r:id="rId355" ref="DE32"/>
    <hyperlink r:id="rId356" ref="DF32"/>
    <hyperlink r:id="rId357" ref="DG32"/>
    <hyperlink r:id="rId358" ref="DH32"/>
    <hyperlink r:id="rId359" ref="DI32"/>
    <hyperlink r:id="rId360" ref="DJ32"/>
    <hyperlink r:id="rId361" ref="DK32"/>
    <hyperlink r:id="rId362" ref="DL32"/>
    <hyperlink r:id="rId363" ref="DM32"/>
    <hyperlink r:id="rId364" ref="DN32"/>
    <hyperlink r:id="rId365" ref="DO32"/>
    <hyperlink r:id="rId366" ref="DP32"/>
    <hyperlink r:id="rId367" ref="DQ32"/>
    <hyperlink r:id="rId368" ref="DR32"/>
    <hyperlink r:id="rId369" ref="DS32"/>
    <hyperlink r:id="rId370" ref="DT32"/>
    <hyperlink r:id="rId371" ref="DU32"/>
    <hyperlink r:id="rId372" ref="DV32"/>
    <hyperlink r:id="rId373" ref="DX32"/>
    <hyperlink r:id="rId374" ref="DY32"/>
    <hyperlink r:id="rId375" ref="EA32"/>
    <hyperlink r:id="rId376" location="overview" ref="ED32"/>
    <hyperlink r:id="rId377" ref="EE32"/>
    <hyperlink r:id="rId378" location="anonymity" ref="EG32"/>
    <hyperlink r:id="rId379" location="anonymity" ref="EH32"/>
    <hyperlink r:id="rId380" location="anonymity" ref="EI32"/>
    <hyperlink r:id="rId381" ref="EJ32"/>
    <hyperlink r:id="rId382" ref="EL32"/>
    <hyperlink r:id="rId383" ref="EM32"/>
    <hyperlink r:id="rId384" ref="EN32"/>
    <hyperlink r:id="rId385" ref="EQ32"/>
    <hyperlink r:id="rId386" ref="ER32"/>
    <hyperlink r:id="rId387" ref="ET32"/>
    <hyperlink r:id="rId388" ref="EU32"/>
    <hyperlink r:id="rId389" ref="EV32"/>
    <hyperlink r:id="rId390" location="confidentiality" ref="EW32"/>
    <hyperlink r:id="rId391" ref="EY32"/>
    <hyperlink r:id="rId392" location="Editorial_Policies" ref="FH32"/>
    <hyperlink r:id="rId393" ref="FI32"/>
    <hyperlink r:id="rId394" ref="FS32"/>
    <hyperlink r:id="rId395" ref="FT32"/>
    <hyperlink r:id="rId396" ref="H36"/>
    <hyperlink r:id="rId397" ref="I36"/>
    <hyperlink r:id="rId398" ref="J36"/>
    <hyperlink r:id="rId399" ref="K36"/>
    <hyperlink r:id="rId400" ref="M36"/>
    <hyperlink r:id="rId401" ref="N36"/>
    <hyperlink r:id="rId402" ref="O36"/>
    <hyperlink r:id="rId403" ref="P36"/>
    <hyperlink r:id="rId404" ref="S36"/>
    <hyperlink r:id="rId405" ref="T36"/>
    <hyperlink r:id="rId406" ref="U36"/>
    <hyperlink r:id="rId407" ref="V36"/>
    <hyperlink r:id="rId408" ref="W36"/>
    <hyperlink r:id="rId409" ref="X36"/>
    <hyperlink r:id="rId410" ref="Y36"/>
    <hyperlink r:id="rId411" ref="Z36"/>
    <hyperlink r:id="rId412" ref="AB36"/>
    <hyperlink r:id="rId413" ref="AD36"/>
    <hyperlink r:id="rId414" ref="AE36"/>
    <hyperlink r:id="rId415" ref="AF36"/>
    <hyperlink r:id="rId416" ref="AG36"/>
    <hyperlink r:id="rId417" ref="AH36"/>
    <hyperlink r:id="rId418" ref="AI36"/>
    <hyperlink r:id="rId419" ref="AJ36"/>
    <hyperlink r:id="rId420" location="prior-publication" ref="AK36"/>
    <hyperlink r:id="rId421" ref="AL36"/>
    <hyperlink r:id="rId422" location="prior-publication" ref="AM36"/>
    <hyperlink r:id="rId423" ref="AN36"/>
    <hyperlink r:id="rId424" ref="AO36"/>
    <hyperlink r:id="rId425" ref="AP36"/>
    <hyperlink r:id="rId426" ref="AQ36"/>
    <hyperlink r:id="rId427" ref="AR36"/>
    <hyperlink r:id="rId428" location="originality" ref="AS36"/>
    <hyperlink r:id="rId429" location="priorpublication" ref="AU36"/>
    <hyperlink r:id="rId430" location="prior-publication" ref="AV36"/>
    <hyperlink r:id="rId431" ref="AW36"/>
    <hyperlink r:id="rId432" ref="AX36"/>
    <hyperlink r:id="rId433" ref="AZ36"/>
    <hyperlink r:id="rId434" ref="BA36"/>
    <hyperlink r:id="rId435" ref="BB36"/>
    <hyperlink r:id="rId436" ref="BC36"/>
    <hyperlink r:id="rId437" ref="BD36"/>
    <hyperlink r:id="rId438" ref="BE36"/>
    <hyperlink r:id="rId439" ref="BF36"/>
    <hyperlink r:id="rId440" ref="BG36"/>
    <hyperlink r:id="rId441" ref="BH36"/>
    <hyperlink r:id="rId442" ref="BI36"/>
    <hyperlink r:id="rId443" ref="BJ36"/>
    <hyperlink r:id="rId444" ref="BK36"/>
    <hyperlink r:id="rId445" ref="BL36"/>
    <hyperlink r:id="rId446" ref="BM36"/>
    <hyperlink r:id="rId447" ref="BN36"/>
    <hyperlink r:id="rId448" ref="BO36"/>
    <hyperlink r:id="rId449" ref="BP36"/>
    <hyperlink r:id="rId450" ref="BQ36"/>
    <hyperlink r:id="rId451" ref="BS36"/>
    <hyperlink r:id="rId452" location="SecPreviousorPlannedPresentationorReleaseofInformation" ref="BT36"/>
    <hyperlink r:id="rId453" ref="BU36"/>
    <hyperlink r:id="rId454" ref="BV36"/>
    <hyperlink r:id="rId455" ref="BX36"/>
    <hyperlink r:id="rId456" ref="BY36"/>
    <hyperlink r:id="rId457" ref="BZ36"/>
    <hyperlink r:id="rId458" ref="CA36"/>
    <hyperlink r:id="rId459" ref="CB36"/>
    <hyperlink r:id="rId460" ref="CD36"/>
    <hyperlink r:id="rId461" ref="CG36"/>
    <hyperlink r:id="rId462" location="arXiv" ref="CH36"/>
    <hyperlink r:id="rId463" ref="CI36"/>
    <hyperlink r:id="rId464" location="prior-publication" ref="CJ36"/>
    <hyperlink r:id="rId465" ref="CL36"/>
    <hyperlink r:id="rId466" ref="CM36"/>
    <hyperlink r:id="rId467" ref="CO36"/>
    <hyperlink r:id="rId468" ref="CR36"/>
    <hyperlink r:id="rId469" ref="CW36"/>
    <hyperlink r:id="rId470" ref="CX36"/>
    <hyperlink r:id="rId471" ref="CZ36"/>
    <hyperlink r:id="rId472" location="prior-publication" ref="DA36"/>
    <hyperlink r:id="rId473" ref="DB36"/>
    <hyperlink r:id="rId474" ref="DC36"/>
    <hyperlink r:id="rId475" ref="DD36"/>
    <hyperlink r:id="rId476" ref="DE36"/>
    <hyperlink r:id="rId477" ref="DF36"/>
    <hyperlink r:id="rId478" ref="DG36"/>
    <hyperlink r:id="rId479" ref="DH36"/>
    <hyperlink r:id="rId480" ref="DI36"/>
    <hyperlink r:id="rId481" ref="DJ36"/>
    <hyperlink r:id="rId482" ref="DK36"/>
    <hyperlink r:id="rId483" ref="DL36"/>
    <hyperlink r:id="rId484" ref="DM36"/>
    <hyperlink r:id="rId485" ref="DN36"/>
    <hyperlink r:id="rId486" ref="DO36"/>
    <hyperlink r:id="rId487" ref="DP36"/>
    <hyperlink r:id="rId488" ref="DW36"/>
    <hyperlink r:id="rId489" ref="DX36"/>
    <hyperlink r:id="rId490" ref="DY36"/>
    <hyperlink r:id="rId491" ref="EA36"/>
    <hyperlink r:id="rId492" location="Prior%20Publication" ref="EB36"/>
    <hyperlink r:id="rId493" ref="EK36"/>
    <hyperlink r:id="rId494" ref="EL36"/>
    <hyperlink r:id="rId495" ref="EO36"/>
    <hyperlink r:id="rId496" location="authorposting" ref="ES36"/>
    <hyperlink r:id="rId497" ref="ET36"/>
    <hyperlink r:id="rId498" ref="EU36"/>
    <hyperlink r:id="rId499" ref="EV36"/>
    <hyperlink r:id="rId500" location="confidentiality" ref="EW36"/>
    <hyperlink r:id="rId501" ref="EZ36"/>
    <hyperlink r:id="rId502" ref="FC36"/>
    <hyperlink r:id="rId503" ref="FF36"/>
    <hyperlink r:id="rId504" location="preprintservers" ref="FG36"/>
    <hyperlink r:id="rId505" location="Editorial_Policies" ref="FH36"/>
    <hyperlink r:id="rId506" ref="FI36"/>
    <hyperlink r:id="rId507" ref="FJ36"/>
    <hyperlink r:id="rId508" ref="FL36"/>
    <hyperlink r:id="rId509" ref="FO36"/>
    <hyperlink r:id="rId510" ref="FP36"/>
    <hyperlink r:id="rId511" ref="FQ36"/>
    <hyperlink r:id="rId512" ref="FS36"/>
    <hyperlink r:id="rId513" ref="FT36"/>
    <hyperlink r:id="rId514" ref="AF38"/>
    <hyperlink r:id="rId515" ref="AH38"/>
    <hyperlink r:id="rId516" ref="AI38"/>
    <hyperlink r:id="rId517" ref="AJ38"/>
    <hyperlink r:id="rId518" ref="EB38"/>
    <hyperlink r:id="rId519" location="prepub" ref="AF41"/>
    <hyperlink r:id="rId520" ref="AS41"/>
    <hyperlink r:id="rId521" location="prepub" ref="DY41"/>
  </hyperlinks>
  <drawing r:id="rId5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9.0" topLeftCell="C10" activePane="bottomRight" state="frozen"/>
      <selection activeCell="C1" sqref="C1" pane="topRight"/>
      <selection activeCell="A10" sqref="A10" pane="bottomLeft"/>
      <selection activeCell="C10" sqref="C10" pane="bottomRight"/>
    </sheetView>
  </sheetViews>
  <sheetFormatPr customHeight="1" defaultColWidth="14.43" defaultRowHeight="15.75"/>
  <cols>
    <col customWidth="1" min="3" max="3" width="21.86"/>
    <col hidden="1" min="6" max="13" width="14.43"/>
    <col customWidth="1" min="14" max="14" width="3.0"/>
    <col customWidth="1" min="18" max="18" width="3.0"/>
    <col customWidth="1" min="22" max="22" width="3.0"/>
    <col customWidth="1" min="26" max="26" width="3.0"/>
    <col customWidth="1" min="30" max="30" width="3.0"/>
    <col customWidth="1" min="34" max="34" width="3.0"/>
    <col customWidth="1" min="38" max="38" width="3.0"/>
    <col customWidth="1" min="42" max="42" width="3.0"/>
  </cols>
  <sheetData>
    <row r="1">
      <c r="A1" s="532" t="s">
        <v>1519</v>
      </c>
      <c r="B1" s="532" t="s">
        <v>1522</v>
      </c>
      <c r="C1" s="533"/>
      <c r="D1" s="534"/>
      <c r="E1" s="533" t="s">
        <v>1524</v>
      </c>
      <c r="F1" s="534"/>
      <c r="G1" s="533"/>
      <c r="H1" s="534"/>
      <c r="I1" s="534"/>
      <c r="J1" s="534"/>
      <c r="K1" s="534"/>
      <c r="L1" s="534"/>
      <c r="M1" s="534"/>
      <c r="N1" s="535"/>
      <c r="O1" s="536"/>
      <c r="P1" s="533"/>
      <c r="Q1" s="537" t="s">
        <v>519</v>
      </c>
      <c r="R1" s="535"/>
      <c r="S1" s="538"/>
      <c r="T1" s="539"/>
      <c r="U1" s="537" t="s">
        <v>455</v>
      </c>
      <c r="V1" s="535"/>
      <c r="W1" s="538"/>
      <c r="X1" s="540"/>
      <c r="Y1" s="537" t="s">
        <v>1280</v>
      </c>
      <c r="Z1" s="535"/>
      <c r="AA1" s="538"/>
      <c r="AB1" s="540"/>
      <c r="AC1" s="537" t="s">
        <v>812</v>
      </c>
      <c r="AD1" s="535"/>
      <c r="AE1" s="538"/>
      <c r="AF1" s="540"/>
      <c r="AG1" s="537" t="s">
        <v>770</v>
      </c>
      <c r="AH1" s="535"/>
      <c r="AI1" s="538"/>
      <c r="AJ1" s="534"/>
      <c r="AK1" s="537" t="s">
        <v>933</v>
      </c>
      <c r="AL1" s="535"/>
      <c r="AM1" s="534"/>
      <c r="AN1" s="534"/>
      <c r="AO1" s="537" t="s">
        <v>789</v>
      </c>
      <c r="AP1" s="535"/>
      <c r="AQ1" s="534"/>
      <c r="AR1" s="534"/>
      <c r="AS1" s="541" t="s">
        <v>286</v>
      </c>
      <c r="AT1" s="534"/>
    </row>
    <row r="2">
      <c r="A2" s="542" t="s">
        <v>396</v>
      </c>
      <c r="B2" s="542" t="s">
        <v>1525</v>
      </c>
      <c r="C2" s="533"/>
      <c r="D2" s="534"/>
      <c r="E2" s="534">
        <f t="shared" ref="E2:E6" si="1">COUNTIF(E$10:E$200, $B2)</f>
        <v>2</v>
      </c>
      <c r="F2" s="534"/>
      <c r="G2" s="533"/>
      <c r="H2" s="534"/>
      <c r="I2" s="534"/>
      <c r="J2" s="534"/>
      <c r="K2" s="534"/>
      <c r="L2" s="534"/>
      <c r="M2" s="534"/>
      <c r="N2" s="535"/>
      <c r="O2" s="536"/>
      <c r="P2" s="534"/>
      <c r="Q2" s="534">
        <f t="shared" ref="Q2:Q6" si="2">COUNTIF(Q$10:Q$200, $B2)</f>
        <v>0</v>
      </c>
      <c r="R2" s="535"/>
      <c r="S2" s="538"/>
      <c r="T2" s="534"/>
      <c r="U2" s="534">
        <f t="shared" ref="U2:U6" si="3">COUNTIF(U$10:U$200, $B2)</f>
        <v>0</v>
      </c>
      <c r="V2" s="535"/>
      <c r="W2" s="538"/>
      <c r="X2" s="534"/>
      <c r="Y2" s="534">
        <f t="shared" ref="Y2:Y6" si="4">COUNTIF(Y$10:Y$200, $B2)</f>
        <v>0</v>
      </c>
      <c r="Z2" s="535"/>
      <c r="AA2" s="538"/>
      <c r="AB2" s="534"/>
      <c r="AC2" s="534">
        <f t="shared" ref="AC2:AC6" si="5">COUNTIF(AC$10:AC$200, $B2)</f>
        <v>2</v>
      </c>
      <c r="AD2" s="535"/>
      <c r="AE2" s="538"/>
      <c r="AF2" s="534"/>
      <c r="AG2" s="534">
        <f t="shared" ref="AG2:AG6" si="6">COUNTIF(AG$10:AG$200, $B2)</f>
        <v>0</v>
      </c>
      <c r="AH2" s="535"/>
      <c r="AI2" s="538"/>
      <c r="AJ2" s="534"/>
      <c r="AK2" s="534">
        <f t="shared" ref="AK2:AK6" si="7">COUNTIF(AK$10:AK$200, $B2)</f>
        <v>0</v>
      </c>
      <c r="AL2" s="535"/>
      <c r="AM2" s="534"/>
      <c r="AN2" s="534"/>
      <c r="AO2" s="534">
        <f t="shared" ref="AO2:AO6" si="8">COUNTIF(AO$10:AO$200, $B2)</f>
        <v>0</v>
      </c>
      <c r="AP2" s="535"/>
      <c r="AQ2" s="534"/>
      <c r="AR2" s="534"/>
      <c r="AS2" s="534">
        <f t="shared" ref="AS2:AS6" si="9">COUNTIF(AS$10:AS$200, $B2)</f>
        <v>0</v>
      </c>
      <c r="AT2" s="534"/>
    </row>
    <row r="3">
      <c r="A3" s="542" t="s">
        <v>291</v>
      </c>
      <c r="B3" s="542" t="s">
        <v>1531</v>
      </c>
      <c r="C3" s="533"/>
      <c r="D3" s="534"/>
      <c r="E3" s="534">
        <f t="shared" si="1"/>
        <v>51</v>
      </c>
      <c r="F3" s="534"/>
      <c r="G3" s="533"/>
      <c r="H3" s="534"/>
      <c r="I3" s="534"/>
      <c r="J3" s="534"/>
      <c r="K3" s="534"/>
      <c r="L3" s="534"/>
      <c r="M3" s="534"/>
      <c r="N3" s="535"/>
      <c r="O3" s="536"/>
      <c r="P3" s="534"/>
      <c r="Q3" s="534">
        <f t="shared" si="2"/>
        <v>0</v>
      </c>
      <c r="R3" s="535"/>
      <c r="S3" s="538"/>
      <c r="T3" s="534"/>
      <c r="U3" s="534">
        <f t="shared" si="3"/>
        <v>9</v>
      </c>
      <c r="V3" s="535"/>
      <c r="W3" s="538"/>
      <c r="X3" s="534"/>
      <c r="Y3" s="534">
        <f t="shared" si="4"/>
        <v>6</v>
      </c>
      <c r="Z3" s="535"/>
      <c r="AA3" s="538"/>
      <c r="AB3" s="534"/>
      <c r="AC3" s="534">
        <f t="shared" si="5"/>
        <v>12</v>
      </c>
      <c r="AD3" s="535"/>
      <c r="AE3" s="538"/>
      <c r="AF3" s="534"/>
      <c r="AG3" s="534">
        <f t="shared" si="6"/>
        <v>0</v>
      </c>
      <c r="AH3" s="535"/>
      <c r="AI3" s="538"/>
      <c r="AJ3" s="534"/>
      <c r="AK3" s="534">
        <f t="shared" si="7"/>
        <v>7</v>
      </c>
      <c r="AL3" s="535"/>
      <c r="AM3" s="534"/>
      <c r="AN3" s="534"/>
      <c r="AO3" s="534">
        <f t="shared" si="8"/>
        <v>13</v>
      </c>
      <c r="AP3" s="535"/>
      <c r="AQ3" s="534"/>
      <c r="AR3" s="534"/>
      <c r="AS3" s="534">
        <f t="shared" si="9"/>
        <v>1</v>
      </c>
      <c r="AT3" s="534"/>
    </row>
    <row r="4">
      <c r="A4" s="542" t="s">
        <v>393</v>
      </c>
      <c r="B4" s="542" t="s">
        <v>1532</v>
      </c>
      <c r="C4" s="533"/>
      <c r="D4" s="534"/>
      <c r="E4" s="534">
        <f t="shared" si="1"/>
        <v>46</v>
      </c>
      <c r="F4" s="534"/>
      <c r="G4" s="533"/>
      <c r="H4" s="534"/>
      <c r="I4" s="534"/>
      <c r="J4" s="534"/>
      <c r="K4" s="534"/>
      <c r="L4" s="534"/>
      <c r="M4" s="534"/>
      <c r="N4" s="535"/>
      <c r="O4" s="536"/>
      <c r="P4" s="534"/>
      <c r="Q4" s="534">
        <f t="shared" si="2"/>
        <v>11</v>
      </c>
      <c r="R4" s="535"/>
      <c r="S4" s="538"/>
      <c r="T4" s="534"/>
      <c r="U4" s="534">
        <f t="shared" si="3"/>
        <v>0</v>
      </c>
      <c r="V4" s="535"/>
      <c r="W4" s="538"/>
      <c r="X4" s="534"/>
      <c r="Y4" s="534">
        <f t="shared" si="4"/>
        <v>3</v>
      </c>
      <c r="Z4" s="535"/>
      <c r="AA4" s="538"/>
      <c r="AB4" s="534"/>
      <c r="AC4" s="534">
        <f t="shared" si="5"/>
        <v>0</v>
      </c>
      <c r="AD4" s="535"/>
      <c r="AE4" s="538"/>
      <c r="AF4" s="534"/>
      <c r="AG4" s="534">
        <f t="shared" si="6"/>
        <v>15</v>
      </c>
      <c r="AH4" s="535"/>
      <c r="AI4" s="538"/>
      <c r="AJ4" s="534"/>
      <c r="AK4" s="534">
        <f t="shared" si="7"/>
        <v>0</v>
      </c>
      <c r="AL4" s="535"/>
      <c r="AM4" s="534"/>
      <c r="AN4" s="534"/>
      <c r="AO4" s="534">
        <f t="shared" si="8"/>
        <v>0</v>
      </c>
      <c r="AP4" s="535"/>
      <c r="AQ4" s="534"/>
      <c r="AR4" s="534"/>
      <c r="AS4" s="534">
        <f t="shared" si="9"/>
        <v>17</v>
      </c>
      <c r="AT4" s="534"/>
    </row>
    <row r="5">
      <c r="A5" s="542" t="s">
        <v>315</v>
      </c>
      <c r="B5" s="542" t="s">
        <v>1533</v>
      </c>
      <c r="C5" s="533"/>
      <c r="D5" s="534"/>
      <c r="E5" s="534">
        <f t="shared" si="1"/>
        <v>54</v>
      </c>
      <c r="F5" s="534"/>
      <c r="G5" s="533"/>
      <c r="H5" s="534"/>
      <c r="I5" s="534"/>
      <c r="J5" s="534"/>
      <c r="K5" s="534"/>
      <c r="L5" s="534"/>
      <c r="M5" s="534"/>
      <c r="N5" s="535"/>
      <c r="O5" s="536"/>
      <c r="P5" s="534"/>
      <c r="Q5" s="534">
        <f t="shared" si="2"/>
        <v>9</v>
      </c>
      <c r="R5" s="535"/>
      <c r="S5" s="538"/>
      <c r="T5" s="534"/>
      <c r="U5" s="534">
        <f t="shared" si="3"/>
        <v>8</v>
      </c>
      <c r="V5" s="535"/>
      <c r="W5" s="538"/>
      <c r="X5" s="534"/>
      <c r="Y5" s="534">
        <f t="shared" si="4"/>
        <v>8</v>
      </c>
      <c r="Z5" s="535"/>
      <c r="AA5" s="538"/>
      <c r="AB5" s="534"/>
      <c r="AC5" s="534">
        <f t="shared" si="5"/>
        <v>3</v>
      </c>
      <c r="AD5" s="535"/>
      <c r="AE5" s="538"/>
      <c r="AF5" s="534"/>
      <c r="AG5" s="534">
        <f t="shared" si="6"/>
        <v>3</v>
      </c>
      <c r="AH5" s="535"/>
      <c r="AI5" s="538"/>
      <c r="AJ5" s="534"/>
      <c r="AK5" s="534">
        <f t="shared" si="7"/>
        <v>6</v>
      </c>
      <c r="AL5" s="535"/>
      <c r="AM5" s="534"/>
      <c r="AN5" s="534"/>
      <c r="AO5" s="534">
        <f t="shared" si="8"/>
        <v>5</v>
      </c>
      <c r="AP5" s="535"/>
      <c r="AQ5" s="534"/>
      <c r="AR5" s="534"/>
      <c r="AS5" s="534">
        <f t="shared" si="9"/>
        <v>0</v>
      </c>
      <c r="AT5" s="534"/>
    </row>
    <row r="6">
      <c r="A6" s="542" t="s">
        <v>961</v>
      </c>
      <c r="B6" s="542" t="s">
        <v>1535</v>
      </c>
      <c r="C6" s="533"/>
      <c r="D6" s="534"/>
      <c r="E6" s="534">
        <f t="shared" si="1"/>
        <v>18</v>
      </c>
      <c r="F6" s="534"/>
      <c r="G6" s="533"/>
      <c r="H6" s="534"/>
      <c r="I6" s="534"/>
      <c r="J6" s="534"/>
      <c r="K6" s="534"/>
      <c r="L6" s="534"/>
      <c r="M6" s="534"/>
      <c r="N6" s="535"/>
      <c r="O6" s="536"/>
      <c r="P6" s="534"/>
      <c r="Q6" s="534">
        <f t="shared" si="2"/>
        <v>0</v>
      </c>
      <c r="R6" s="535"/>
      <c r="S6" s="538"/>
      <c r="T6" s="534"/>
      <c r="U6" s="534">
        <f t="shared" si="3"/>
        <v>3</v>
      </c>
      <c r="V6" s="535"/>
      <c r="W6" s="538"/>
      <c r="X6" s="534"/>
      <c r="Y6" s="534">
        <f t="shared" si="4"/>
        <v>3</v>
      </c>
      <c r="Z6" s="535"/>
      <c r="AA6" s="538"/>
      <c r="AB6" s="534"/>
      <c r="AC6" s="534">
        <f t="shared" si="5"/>
        <v>3</v>
      </c>
      <c r="AD6" s="535"/>
      <c r="AE6" s="538"/>
      <c r="AF6" s="534"/>
      <c r="AG6" s="534">
        <f t="shared" si="6"/>
        <v>2</v>
      </c>
      <c r="AH6" s="535"/>
      <c r="AI6" s="538"/>
      <c r="AJ6" s="534"/>
      <c r="AK6" s="534">
        <f t="shared" si="7"/>
        <v>7</v>
      </c>
      <c r="AL6" s="535"/>
      <c r="AM6" s="534"/>
      <c r="AN6" s="534"/>
      <c r="AO6" s="534">
        <f t="shared" si="8"/>
        <v>2</v>
      </c>
      <c r="AP6" s="535"/>
      <c r="AQ6" s="534"/>
      <c r="AR6" s="534"/>
      <c r="AS6" s="534">
        <f t="shared" si="9"/>
        <v>2</v>
      </c>
      <c r="AT6" s="534"/>
    </row>
    <row r="7">
      <c r="A7" s="542" t="s">
        <v>1537</v>
      </c>
      <c r="B7" s="542"/>
      <c r="C7" s="533"/>
      <c r="D7" s="534"/>
      <c r="E7" s="534">
        <f>COUNTA(E$10:E$200)</f>
        <v>171</v>
      </c>
      <c r="F7" s="534"/>
      <c r="G7" s="533"/>
      <c r="H7" s="534"/>
      <c r="I7" s="534"/>
      <c r="J7" s="534"/>
      <c r="K7" s="534"/>
      <c r="L7" s="534"/>
      <c r="M7" s="534"/>
      <c r="N7" s="535"/>
      <c r="O7" s="536"/>
      <c r="P7" s="534"/>
      <c r="Q7" s="534">
        <f>COUNTA(Q$10:Q$200)</f>
        <v>20</v>
      </c>
      <c r="R7" s="535"/>
      <c r="S7" s="538"/>
      <c r="T7" s="534"/>
      <c r="U7" s="534">
        <f>COUNTA(U$10:U$200)</f>
        <v>20</v>
      </c>
      <c r="V7" s="535"/>
      <c r="W7" s="538"/>
      <c r="X7" s="534"/>
      <c r="Y7" s="534">
        <f>COUNTA(Y$10:Y$200)</f>
        <v>20</v>
      </c>
      <c r="Z7" s="535"/>
      <c r="AA7" s="538"/>
      <c r="AB7" s="534"/>
      <c r="AC7" s="534">
        <f>COUNTA(AC$10:AC$200)</f>
        <v>20</v>
      </c>
      <c r="AD7" s="535"/>
      <c r="AE7" s="538"/>
      <c r="AF7" s="534"/>
      <c r="AG7" s="534">
        <f>COUNTA(AG$10:AG$200)</f>
        <v>20</v>
      </c>
      <c r="AH7" s="535"/>
      <c r="AI7" s="538"/>
      <c r="AJ7" s="534"/>
      <c r="AK7" s="534">
        <f>COUNTA(AK$10:AK$200)</f>
        <v>20</v>
      </c>
      <c r="AL7" s="535"/>
      <c r="AM7" s="534"/>
      <c r="AN7" s="534"/>
      <c r="AO7" s="534">
        <f>COUNTA(AO$10:AO$200)</f>
        <v>20</v>
      </c>
      <c r="AP7" s="535"/>
      <c r="AQ7" s="534"/>
      <c r="AR7" s="534"/>
      <c r="AS7" s="534">
        <f>COUNTA(AS$10:AS$200)</f>
        <v>20</v>
      </c>
      <c r="AT7" s="534"/>
    </row>
    <row r="8">
      <c r="A8" s="542"/>
      <c r="B8" s="542"/>
      <c r="C8" s="533"/>
      <c r="D8" s="533" t="s">
        <v>1540</v>
      </c>
      <c r="E8" s="534">
        <f>sum(E2:E6)</f>
        <v>171</v>
      </c>
      <c r="F8" s="534"/>
      <c r="G8" s="533"/>
      <c r="H8" s="534"/>
      <c r="I8" s="534"/>
      <c r="J8" s="534"/>
      <c r="K8" s="534"/>
      <c r="L8" s="534"/>
      <c r="M8" s="534"/>
      <c r="N8" s="535"/>
      <c r="O8" s="536"/>
      <c r="P8" s="533" t="s">
        <v>1540</v>
      </c>
      <c r="Q8" s="534">
        <f>sum(Q2:Q6)</f>
        <v>20</v>
      </c>
      <c r="R8" s="535"/>
      <c r="S8" s="538"/>
      <c r="T8" s="533" t="s">
        <v>1540</v>
      </c>
      <c r="U8" s="534">
        <f>sum(U2:U6)</f>
        <v>20</v>
      </c>
      <c r="V8" s="535"/>
      <c r="W8" s="538"/>
      <c r="X8" s="533" t="s">
        <v>1540</v>
      </c>
      <c r="Y8" s="534">
        <f>sum(Y2:Y6)</f>
        <v>20</v>
      </c>
      <c r="Z8" s="535"/>
      <c r="AA8" s="538"/>
      <c r="AB8" s="533" t="s">
        <v>1540</v>
      </c>
      <c r="AC8" s="534">
        <f>sum(AC2:AC6)</f>
        <v>20</v>
      </c>
      <c r="AD8" s="535"/>
      <c r="AE8" s="538"/>
      <c r="AF8" s="533" t="s">
        <v>1540</v>
      </c>
      <c r="AG8" s="534">
        <f>sum(AG2:AG6)</f>
        <v>20</v>
      </c>
      <c r="AH8" s="535"/>
      <c r="AI8" s="538"/>
      <c r="AJ8" s="533" t="s">
        <v>1540</v>
      </c>
      <c r="AK8" s="534">
        <f>sum(AK2:AK6)</f>
        <v>20</v>
      </c>
      <c r="AL8" s="535"/>
      <c r="AM8" s="534"/>
      <c r="AN8" s="533" t="s">
        <v>1540</v>
      </c>
      <c r="AO8" s="534">
        <f>sum(AO2:AO6)</f>
        <v>20</v>
      </c>
      <c r="AP8" s="535"/>
      <c r="AQ8" s="534"/>
      <c r="AR8" s="533" t="s">
        <v>1540</v>
      </c>
      <c r="AS8" s="534">
        <f>sum(AS2:AS6)</f>
        <v>20</v>
      </c>
      <c r="AT8" s="534"/>
    </row>
    <row r="9">
      <c r="A9" s="546"/>
      <c r="B9" s="546"/>
      <c r="C9" s="548" t="str">
        <f>Filtered!I1</f>
        <v>title</v>
      </c>
      <c r="D9" s="548" t="str">
        <f>Filtered!J1</f>
        <v>Top journals in</v>
      </c>
      <c r="E9" s="548" t="str">
        <f>Filtered!L1</f>
        <v>pr-type</v>
      </c>
      <c r="F9" s="537" t="s">
        <v>519</v>
      </c>
      <c r="G9" s="537" t="s">
        <v>455</v>
      </c>
      <c r="H9" s="537" t="s">
        <v>1280</v>
      </c>
      <c r="I9" s="537" t="s">
        <v>812</v>
      </c>
      <c r="J9" s="537" t="s">
        <v>770</v>
      </c>
      <c r="K9" s="537" t="s">
        <v>933</v>
      </c>
      <c r="L9" s="537" t="s">
        <v>789</v>
      </c>
      <c r="M9" s="541" t="s">
        <v>286</v>
      </c>
      <c r="N9" s="549"/>
      <c r="O9" s="537" t="s">
        <v>519</v>
      </c>
      <c r="P9" s="548"/>
      <c r="Q9" s="548"/>
      <c r="R9" s="549"/>
      <c r="S9" s="537" t="s">
        <v>455</v>
      </c>
      <c r="T9" s="548"/>
      <c r="U9" s="548"/>
      <c r="V9" s="549"/>
      <c r="W9" s="537" t="s">
        <v>1280</v>
      </c>
      <c r="X9" s="548"/>
      <c r="Y9" s="537"/>
      <c r="Z9" s="549"/>
      <c r="AA9" s="537" t="s">
        <v>812</v>
      </c>
      <c r="AB9" s="548"/>
      <c r="AC9" s="548"/>
      <c r="AD9" s="549"/>
      <c r="AE9" s="537" t="s">
        <v>770</v>
      </c>
      <c r="AF9" s="537"/>
      <c r="AG9" s="537"/>
      <c r="AH9" s="550"/>
      <c r="AI9" s="537" t="s">
        <v>933</v>
      </c>
      <c r="AJ9" s="537"/>
      <c r="AK9" s="537"/>
      <c r="AL9" s="550"/>
      <c r="AM9" s="537" t="s">
        <v>789</v>
      </c>
      <c r="AN9" s="537"/>
      <c r="AO9" s="537"/>
      <c r="AP9" s="550"/>
      <c r="AQ9" s="541" t="s">
        <v>286</v>
      </c>
      <c r="AR9" s="537"/>
      <c r="AS9" s="537"/>
      <c r="AT9" s="537"/>
    </row>
    <row r="10">
      <c r="A10" s="552"/>
      <c r="B10" s="552"/>
      <c r="C10" t="str">
        <f>Filtered!I2</f>
        <v>Academic Medicine</v>
      </c>
      <c r="D10" t="str">
        <f>Filtered!J2</f>
        <v>Social Sciences</v>
      </c>
      <c r="E10" t="str">
        <f>Filtered!L2</f>
        <v>Single blind</v>
      </c>
      <c r="F10" t="b">
        <f t="shared" ref="F10:F180" si="10">if(iserror(search("bus",$D10)),FALSE,TRUE)</f>
        <v>0</v>
      </c>
      <c r="G10" t="b">
        <f t="shared" ref="G10:G180" si="11">if(iserror(search("chem",$D10)),FALSE,TRUE)</f>
        <v>0</v>
      </c>
      <c r="H10" t="b">
        <f t="shared" ref="H10:H180" si="12">if(iserror(search("computer",$D10)),FALSE,TRUE)</f>
        <v>0</v>
      </c>
      <c r="I10" t="b">
        <f t="shared" ref="I10:I180" si="13">if(iserror(search("health",$D10)),FALSE,TRUE)</f>
        <v>0</v>
      </c>
      <c r="J10" t="b">
        <f t="shared" ref="J10:J180" si="14">if(iserror(search("humanities",$D10)),FALSE,TRUE)</f>
        <v>0</v>
      </c>
      <c r="K10" t="b">
        <f t="shared" ref="K10:K180" si="15">if(iserror(search("life",$D10)),FALSE,TRUE)</f>
        <v>0</v>
      </c>
      <c r="L10" t="b">
        <f t="shared" ref="L10:L180" si="16">if(iserror(search("physics",$D10)),FALSE,TRUE)</f>
        <v>0</v>
      </c>
      <c r="M10" t="b">
        <f t="shared" ref="M10:M180" si="17">if(iserror(search("social",$D10)),FALSE,TRUE)</f>
        <v>1</v>
      </c>
      <c r="N10" s="535"/>
      <c r="O10" s="558" t="str">
        <f>IFERROR(__xludf.DUMMYFUNCTION("filter($C:$E,F:F)"),"Academy of Management Journal")</f>
        <v>Academy of Management Journal</v>
      </c>
      <c r="P10" t="str">
        <f>IFERROR(__xludf.DUMMYFUNCTION("""COMPUTED_VALUE"""),"Business, Economics &amp; Management")</f>
        <v>Business, Economics &amp; Management</v>
      </c>
      <c r="Q10" s="34" t="str">
        <f>IFERROR(__xludf.DUMMYFUNCTION("""COMPUTED_VALUE"""),"Double blind")</f>
        <v>Double blind</v>
      </c>
      <c r="R10" s="535"/>
      <c r="S10" s="558" t="str">
        <f>IFERROR(__xludf.DUMMYFUNCTION("filter($C:$E,G:G)"),"ACS Applied Materials &amp; Interfaces")</f>
        <v>ACS Applied Materials &amp; Interfaces</v>
      </c>
      <c r="T10" t="str">
        <f>IFERROR(__xludf.DUMMYFUNCTION("""COMPUTED_VALUE"""),"Chemical &amp; Materials Sciences, Engineering &amp; Computer Science")</f>
        <v>Chemical &amp; Materials Sciences, Engineering &amp; Computer Science</v>
      </c>
      <c r="U10" t="str">
        <f>IFERROR(__xludf.DUMMYFUNCTION("""COMPUTED_VALUE"""),"Single Blind")</f>
        <v>Single Blind</v>
      </c>
      <c r="V10" s="535"/>
      <c r="W10" s="558" t="str">
        <f>IFERROR(__xludf.DUMMYFUNCTION("filter($C:$E,H:H)"),"ACS Applied Materials &amp; Interfaces")</f>
        <v>ACS Applied Materials &amp; Interfaces</v>
      </c>
      <c r="X10" t="str">
        <f>IFERROR(__xludf.DUMMYFUNCTION("""COMPUTED_VALUE"""),"Chemical &amp; Materials Sciences, Engineering &amp; Computer Science")</f>
        <v>Chemical &amp; Materials Sciences, Engineering &amp; Computer Science</v>
      </c>
      <c r="Y10" t="str">
        <f>IFERROR(__xludf.DUMMYFUNCTION("""COMPUTED_VALUE"""),"Single Blind")</f>
        <v>Single Blind</v>
      </c>
      <c r="Z10" s="535"/>
      <c r="AA10" s="559" t="str">
        <f>IFERROR(__xludf.DUMMYFUNCTION("filter($C:$E,I:I)"),"Blood")</f>
        <v>Blood</v>
      </c>
      <c r="AB10" t="str">
        <f>IFERROR(__xludf.DUMMYFUNCTION("""COMPUTED_VALUE"""),"Health &amp; Medical Sciences")</f>
        <v>Health &amp; Medical Sciences</v>
      </c>
      <c r="AC10" t="str">
        <f>IFERROR(__xludf.DUMMYFUNCTION("""COMPUTED_VALUE"""),"Single blind")</f>
        <v>Single blind</v>
      </c>
      <c r="AD10" s="535"/>
      <c r="AE10" s="559" t="str">
        <f>IFERROR(__xludf.DUMMYFUNCTION("filter($C:$E,J:J)"),"Applied Linguistics")</f>
        <v>Applied Linguistics</v>
      </c>
      <c r="AF10" t="str">
        <f>IFERROR(__xludf.DUMMYFUNCTION("""COMPUTED_VALUE"""),"Humanities, Literature &amp; Arts")</f>
        <v>Humanities, Literature &amp; Arts</v>
      </c>
      <c r="AG10" t="str">
        <f>IFERROR(__xludf.DUMMYFUNCTION("""COMPUTED_VALUE"""),"Double blind")</f>
        <v>Double blind</v>
      </c>
      <c r="AH10" s="535"/>
      <c r="AI10" s="558" t="str">
        <f>IFERROR(__xludf.DUMMYFUNCTION("filter($C:$E,K:K)"),"Cell")</f>
        <v>Cell</v>
      </c>
      <c r="AJ10" t="str">
        <f>IFERROR(__xludf.DUMMYFUNCTION("""COMPUTED_VALUE"""),"Health &amp; Medical Sciences, Life Sciences &amp; Earth Sciences")</f>
        <v>Health &amp; Medical Sciences, Life Sciences &amp; Earth Sciences</v>
      </c>
      <c r="AK10" t="str">
        <f>IFERROR(__xludf.DUMMYFUNCTION("""COMPUTED_VALUE"""),"Single blind")</f>
        <v>Single blind</v>
      </c>
      <c r="AL10" s="535"/>
      <c r="AM10" t="str">
        <f>IFERROR(__xludf.DUMMYFUNCTION("filter($C:$E,L:L)"),"Astronomy &amp; Astrophysics")</f>
        <v>Astronomy &amp; Astrophysics</v>
      </c>
      <c r="AN10" t="str">
        <f>IFERROR(__xludf.DUMMYFUNCTION("""COMPUTED_VALUE"""),"Physics &amp; Mathematics")</f>
        <v>Physics &amp; Mathematics</v>
      </c>
      <c r="AO10" t="str">
        <f>IFERROR(__xludf.DUMMYFUNCTION("""COMPUTED_VALUE"""),"Unsure")</f>
        <v>Unsure</v>
      </c>
      <c r="AP10" s="535"/>
      <c r="AQ10" t="str">
        <f>IFERROR(__xludf.DUMMYFUNCTION("filter($C:$E,M:M)"),"Academic Medicine")</f>
        <v>Academic Medicine</v>
      </c>
      <c r="AR10" t="str">
        <f>IFERROR(__xludf.DUMMYFUNCTION("""COMPUTED_VALUE"""),"Social Sciences")</f>
        <v>Social Sciences</v>
      </c>
      <c r="AS10" t="str">
        <f>IFERROR(__xludf.DUMMYFUNCTION("""COMPUTED_VALUE"""),"Single blind")</f>
        <v>Single blind</v>
      </c>
    </row>
    <row r="11">
      <c r="A11" s="552"/>
      <c r="B11" s="552"/>
      <c r="C11" t="str">
        <f>Filtered!I3</f>
        <v>ACS Applied Materials &amp; Interfaces</v>
      </c>
      <c r="D11" t="str">
        <f>Filtered!J3</f>
        <v>Chemical &amp; Materials Sciences, Engineering &amp; Computer Science</v>
      </c>
      <c r="E11" t="str">
        <f>Filtered!L3</f>
        <v>Single Blind</v>
      </c>
      <c r="F11" t="b">
        <f t="shared" si="10"/>
        <v>0</v>
      </c>
      <c r="G11" t="b">
        <f t="shared" si="11"/>
        <v>1</v>
      </c>
      <c r="H11" t="b">
        <f t="shared" si="12"/>
        <v>1</v>
      </c>
      <c r="I11" t="b">
        <f t="shared" si="13"/>
        <v>0</v>
      </c>
      <c r="J11" t="b">
        <f t="shared" si="14"/>
        <v>0</v>
      </c>
      <c r="K11" t="b">
        <f t="shared" si="15"/>
        <v>0</v>
      </c>
      <c r="L11" t="b">
        <f t="shared" si="16"/>
        <v>0</v>
      </c>
      <c r="M11" t="b">
        <f t="shared" si="17"/>
        <v>0</v>
      </c>
      <c r="N11" s="535"/>
      <c r="O11" s="558" t="str">
        <f>IFERROR(__xludf.DUMMYFUNCTION("""COMPUTED_VALUE"""),"American Economic Review")</f>
        <v>American Economic Review</v>
      </c>
      <c r="P11" t="str">
        <f>IFERROR(__xludf.DUMMYFUNCTION("""COMPUTED_VALUE"""),"Business, Economics &amp; Management")</f>
        <v>Business, Economics &amp; Management</v>
      </c>
      <c r="Q11" t="str">
        <f>IFERROR(__xludf.DUMMYFUNCTION("""COMPUTED_VALUE"""),"Double blind")</f>
        <v>Double blind</v>
      </c>
      <c r="R11" s="535"/>
      <c r="S11" s="558" t="str">
        <f>IFERROR(__xludf.DUMMYFUNCTION("""COMPUTED_VALUE"""),"Accounts of Chemical Research")</f>
        <v>Accounts of Chemical Research</v>
      </c>
      <c r="T11" t="str">
        <f>IFERROR(__xludf.DUMMYFUNCTION("""COMPUTED_VALUE"""),"Chemical &amp; Materials Sciences")</f>
        <v>Chemical &amp; Materials Sciences</v>
      </c>
      <c r="U11" t="str">
        <f>IFERROR(__xludf.DUMMYFUNCTION("""COMPUTED_VALUE"""),"Single Blind")</f>
        <v>Single Blind</v>
      </c>
      <c r="V11" s="535"/>
      <c r="W11" s="558" t="str">
        <f>IFERROR(__xludf.DUMMYFUNCTION("""COMPUTED_VALUE"""),"ACS Nano")</f>
        <v>ACS Nano</v>
      </c>
      <c r="X11" t="str">
        <f>IFERROR(__xludf.DUMMYFUNCTION("""COMPUTED_VALUE"""),"Chemical &amp; Materials Sciences, Engineering &amp; Computer Science")</f>
        <v>Chemical &amp; Materials Sciences, Engineering &amp; Computer Science</v>
      </c>
      <c r="Y11" s="34" t="str">
        <f>IFERROR(__xludf.DUMMYFUNCTION("""COMPUTED_VALUE"""),"Single blind")</f>
        <v>Single blind</v>
      </c>
      <c r="Z11" s="535"/>
      <c r="AA11" s="558" t="str">
        <f>IFERROR(__xludf.DUMMYFUNCTION("""COMPUTED_VALUE"""),"BMJ")</f>
        <v>BMJ</v>
      </c>
      <c r="AB11" t="str">
        <f>IFERROR(__xludf.DUMMYFUNCTION("""COMPUTED_VALUE"""),"Health &amp; Medical Sciences")</f>
        <v>Health &amp; Medical Sciences</v>
      </c>
      <c r="AC11" t="str">
        <f>IFERROR(__xludf.DUMMYFUNCTION("""COMPUTED_VALUE"""),"Not blinded")</f>
        <v>Not blinded</v>
      </c>
      <c r="AD11" s="535"/>
      <c r="AE11" s="558" t="str">
        <f>IFERROR(__xludf.DUMMYFUNCTION("""COMPUTED_VALUE"""),"Digital Journalism")</f>
        <v>Digital Journalism</v>
      </c>
      <c r="AF11" t="str">
        <f>IFERROR(__xludf.DUMMYFUNCTION("""COMPUTED_VALUE"""),"Humanities, Literature &amp; Arts")</f>
        <v>Humanities, Literature &amp; Arts</v>
      </c>
      <c r="AG11" t="str">
        <f>IFERROR(__xludf.DUMMYFUNCTION("""COMPUTED_VALUE"""),"Double blind")</f>
        <v>Double blind</v>
      </c>
      <c r="AH11" s="535"/>
      <c r="AI11" s="558" t="str">
        <f>IFERROR(__xludf.DUMMYFUNCTION("""COMPUTED_VALUE"""),"Cell Metabolism")</f>
        <v>Cell Metabolism</v>
      </c>
      <c r="AJ11" t="str">
        <f>IFERROR(__xludf.DUMMYFUNCTION("""COMPUTED_VALUE"""),"Life Sciences &amp; Earth Sciences")</f>
        <v>Life Sciences &amp; Earth Sciences</v>
      </c>
      <c r="AK11" t="str">
        <f>IFERROR(__xludf.DUMMYFUNCTION("""COMPUTED_VALUE"""),"Single blind")</f>
        <v>Single blind</v>
      </c>
      <c r="AL11" s="535"/>
      <c r="AM11" t="str">
        <f>IFERROR(__xludf.DUMMYFUNCTION("""COMPUTED_VALUE"""),"Geophysical Research Letters")</f>
        <v>Geophysical Research Letters</v>
      </c>
      <c r="AN11" t="str">
        <f>IFERROR(__xludf.DUMMYFUNCTION("""COMPUTED_VALUE"""),"Physics &amp; Mathematics")</f>
        <v>Physics &amp; Mathematics</v>
      </c>
      <c r="AO11" t="str">
        <f>IFERROR(__xludf.DUMMYFUNCTION("""COMPUTED_VALUE"""),"Unsure")</f>
        <v>Unsure</v>
      </c>
      <c r="AP11" s="535"/>
      <c r="AQ11" t="str">
        <f>IFERROR(__xludf.DUMMYFUNCTION("""COMPUTED_VALUE"""),"American Journal of Political Science")</f>
        <v>American Journal of Political Science</v>
      </c>
      <c r="AR11" t="str">
        <f>IFERROR(__xludf.DUMMYFUNCTION("""COMPUTED_VALUE"""),"Social Sciences")</f>
        <v>Social Sciences</v>
      </c>
      <c r="AS11" t="str">
        <f>IFERROR(__xludf.DUMMYFUNCTION("""COMPUTED_VALUE"""),"Double blind")</f>
        <v>Double blind</v>
      </c>
    </row>
    <row r="12">
      <c r="A12" s="552"/>
      <c r="B12" s="552"/>
      <c r="C12" t="str">
        <f>Filtered!I4</f>
        <v>Accounts of Chemical Research</v>
      </c>
      <c r="D12" t="str">
        <f>Filtered!J4</f>
        <v>Chemical &amp; Materials Sciences</v>
      </c>
      <c r="E12" t="str">
        <f>Filtered!L4</f>
        <v>Single Blind</v>
      </c>
      <c r="F12" t="b">
        <f t="shared" si="10"/>
        <v>0</v>
      </c>
      <c r="G12" t="b">
        <f t="shared" si="11"/>
        <v>1</v>
      </c>
      <c r="H12" t="b">
        <f t="shared" si="12"/>
        <v>0</v>
      </c>
      <c r="I12" t="b">
        <f t="shared" si="13"/>
        <v>0</v>
      </c>
      <c r="J12" t="b">
        <f t="shared" si="14"/>
        <v>0</v>
      </c>
      <c r="K12" t="b">
        <f t="shared" si="15"/>
        <v>0</v>
      </c>
      <c r="L12" t="b">
        <f t="shared" si="16"/>
        <v>0</v>
      </c>
      <c r="M12" t="b">
        <f t="shared" si="17"/>
        <v>0</v>
      </c>
      <c r="N12" s="535"/>
      <c r="O12" s="558" t="str">
        <f>IFERROR(__xludf.DUMMYFUNCTION("""COMPUTED_VALUE"""),"Econometrica")</f>
        <v>Econometrica</v>
      </c>
      <c r="P12" t="str">
        <f>IFERROR(__xludf.DUMMYFUNCTION("""COMPUTED_VALUE"""),"Business, Economics &amp; Management")</f>
        <v>Business, Economics &amp; Management</v>
      </c>
      <c r="Q12" t="str">
        <f>IFERROR(__xludf.DUMMYFUNCTION("""COMPUTED_VALUE"""),"Unsure")</f>
        <v>Unsure</v>
      </c>
      <c r="R12" s="535"/>
      <c r="S12" s="558" t="str">
        <f>IFERROR(__xludf.DUMMYFUNCTION("""COMPUTED_VALUE"""),"ACS Nano")</f>
        <v>ACS Nano</v>
      </c>
      <c r="T12" t="str">
        <f>IFERROR(__xludf.DUMMYFUNCTION("""COMPUTED_VALUE"""),"Chemical &amp; Materials Sciences, Engineering &amp; Computer Science")</f>
        <v>Chemical &amp; Materials Sciences, Engineering &amp; Computer Science</v>
      </c>
      <c r="U12" s="34" t="str">
        <f>IFERROR(__xludf.DUMMYFUNCTION("""COMPUTED_VALUE"""),"Single blind")</f>
        <v>Single blind</v>
      </c>
      <c r="V12" s="535"/>
      <c r="W12" s="558" t="str">
        <f>IFERROR(__xludf.DUMMYFUNCTION("""COMPUTED_VALUE"""),"Advanced Energy Materials")</f>
        <v>Advanced Energy Materials</v>
      </c>
      <c r="X12" t="str">
        <f>IFERROR(__xludf.DUMMYFUNCTION("""COMPUTED_VALUE"""),"Chemical &amp; Materials Sciences, Engineering &amp; Computer Science")</f>
        <v>Chemical &amp; Materials Sciences, Engineering &amp; Computer Science</v>
      </c>
      <c r="Y12" t="str">
        <f>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Z12" s="535"/>
      <c r="AA12" s="558" t="str">
        <f>IFERROR(__xludf.DUMMYFUNCTION("""COMPUTED_VALUE"""),"Cell")</f>
        <v>Cell</v>
      </c>
      <c r="AB12" t="str">
        <f>IFERROR(__xludf.DUMMYFUNCTION("""COMPUTED_VALUE"""),"Health &amp; Medical Sciences, Life Sciences &amp; Earth Sciences")</f>
        <v>Health &amp; Medical Sciences, Life Sciences &amp; Earth Sciences</v>
      </c>
      <c r="AC12" t="str">
        <f>IFERROR(__xludf.DUMMYFUNCTION("""COMPUTED_VALUE"""),"Single blind")</f>
        <v>Single blind</v>
      </c>
      <c r="AD12" s="535"/>
      <c r="AE12" s="558" t="str">
        <f>IFERROR(__xludf.DUMMYFUNCTION("""COMPUTED_VALUE"""),"Gender &amp; Society")</f>
        <v>Gender &amp; Society</v>
      </c>
      <c r="AF12" t="str">
        <f>IFERROR(__xludf.DUMMYFUNCTION("""COMPUTED_VALUE"""),"Humanities, Literature &amp; Arts")</f>
        <v>Humanities, Literature &amp; Arts</v>
      </c>
      <c r="AG12" t="str">
        <f>IFERROR(__xludf.DUMMYFUNCTION("""COMPUTED_VALUE"""),"Double blind")</f>
        <v>Double blind</v>
      </c>
      <c r="AH12" s="535"/>
      <c r="AI12" s="558" t="str">
        <f>IFERROR(__xludf.DUMMYFUNCTION("""COMPUTED_VALUE"""),"Cell Stem Cell")</f>
        <v>Cell Stem Cell</v>
      </c>
      <c r="AJ12" t="str">
        <f>IFERROR(__xludf.DUMMYFUNCTION("""COMPUTED_VALUE"""),"Life Sciences &amp; Earth Sciences")</f>
        <v>Life Sciences &amp; Earth Sciences</v>
      </c>
      <c r="AK12" t="str">
        <f>IFERROR(__xludf.DUMMYFUNCTION("""COMPUTED_VALUE"""),"Single blind")</f>
        <v>Single blind</v>
      </c>
      <c r="AL12" s="535"/>
      <c r="AM12" t="str">
        <f>IFERROR(__xludf.DUMMYFUNCTION("""COMPUTED_VALUE"""),"IEEE Transactions on Automatic Control")</f>
        <v>IEEE Transactions on Automatic Control</v>
      </c>
      <c r="AN12" t="str">
        <f>IFERROR(__xludf.DUMMYFUNCTION("""COMPUTED_VALUE"""),"Physics &amp; Mathematics")</f>
        <v>Physics &amp; Mathematics</v>
      </c>
      <c r="AO12" t="str">
        <f>IFERROR(__xludf.DUMMYFUNCTION("""COMPUTED_VALUE"""),"Unsure")</f>
        <v>Unsure</v>
      </c>
      <c r="AP12" s="535"/>
      <c r="AQ12" t="str">
        <f>IFERROR(__xludf.DUMMYFUNCTION("""COMPUTED_VALUE"""),"American Journal of Public Health")</f>
        <v>American Journal of Public Health</v>
      </c>
      <c r="AR12" t="str">
        <f>IFERROR(__xludf.DUMMYFUNCTION("""COMPUTED_VALUE"""),"Social Sciences")</f>
        <v>Social Sciences</v>
      </c>
      <c r="AS12" t="str">
        <f>IFERROR(__xludf.DUMMYFUNCTION("""COMPUTED_VALUE"""),"Double blind")</f>
        <v>Double blind</v>
      </c>
    </row>
    <row r="13">
      <c r="A13" s="552"/>
      <c r="B13" s="552"/>
      <c r="C13" t="str">
        <f>Filtered!I5</f>
        <v>ACS Catalysis</v>
      </c>
      <c r="D13" t="str">
        <f>Filtered!J5</f>
        <v/>
      </c>
      <c r="E13" t="str">
        <f>Filtered!L5</f>
        <v>Single blind</v>
      </c>
      <c r="F13" t="b">
        <f t="shared" si="10"/>
        <v>0</v>
      </c>
      <c r="G13" t="b">
        <f t="shared" si="11"/>
        <v>0</v>
      </c>
      <c r="H13" t="b">
        <f t="shared" si="12"/>
        <v>0</v>
      </c>
      <c r="I13" t="b">
        <f t="shared" si="13"/>
        <v>0</v>
      </c>
      <c r="J13" t="b">
        <f t="shared" si="14"/>
        <v>0</v>
      </c>
      <c r="K13" t="b">
        <f t="shared" si="15"/>
        <v>0</v>
      </c>
      <c r="L13" t="b">
        <f t="shared" si="16"/>
        <v>0</v>
      </c>
      <c r="M13" t="b">
        <f t="shared" si="17"/>
        <v>0</v>
      </c>
      <c r="N13" s="535"/>
      <c r="O13" s="558" t="str">
        <f>IFERROR(__xludf.DUMMYFUNCTION("""COMPUTED_VALUE"""),"International Journal of Production Economics")</f>
        <v>International Journal of Production Economics</v>
      </c>
      <c r="P13" t="str">
        <f>IFERROR(__xludf.DUMMYFUNCTION("""COMPUTED_VALUE"""),"Business, Economics &amp; Management")</f>
        <v>Business, Economics &amp; Management</v>
      </c>
      <c r="Q13" t="str">
        <f>IFERROR(__xludf.DUMMYFUNCTION("""COMPUTED_VALUE"""),"Double blind")</f>
        <v>Double blind</v>
      </c>
      <c r="R13" s="535"/>
      <c r="S13" s="558" t="str">
        <f>IFERROR(__xludf.DUMMYFUNCTION("""COMPUTED_VALUE"""),"Advanced Energy Materials")</f>
        <v>Advanced Energy Materials</v>
      </c>
      <c r="T13" t="str">
        <f>IFERROR(__xludf.DUMMYFUNCTION("""COMPUTED_VALUE"""),"Chemical &amp; Materials Sciences, Engineering &amp; Computer Science")</f>
        <v>Chemical &amp; Materials Sciences, Engineering &amp; Computer Science</v>
      </c>
      <c r="U13" t="str">
        <f>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V13" s="535"/>
      <c r="W13" s="558" t="str">
        <f>IFERROR(__xludf.DUMMYFUNCTION("""COMPUTED_VALUE"""),"Advanced Functional Materials")</f>
        <v>Advanced Functional Materials</v>
      </c>
      <c r="X13" t="str">
        <f>IFERROR(__xludf.DUMMYFUNCTION("""COMPUTED_VALUE"""),"Chemical &amp; Materials Sciences, Engineering &amp; Computer Science")</f>
        <v>Chemical &amp; Materials Sciences, Engineering &amp; Computer Science</v>
      </c>
      <c r="Y13" t="str">
        <f>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Z13" s="535"/>
      <c r="AA13" s="558" t="str">
        <f>IFERROR(__xludf.DUMMYFUNCTION("""COMPUTED_VALUE"""),"Circulation")</f>
        <v>Circulation</v>
      </c>
      <c r="AB13" t="str">
        <f>IFERROR(__xludf.DUMMYFUNCTION("""COMPUTED_VALUE"""),"Health &amp; Medical Sciences")</f>
        <v>Health &amp; Medical Sciences</v>
      </c>
      <c r="AC13" t="str">
        <f>IFERROR(__xludf.DUMMYFUNCTION("""COMPUTED_VALUE"""),"Single blind")</f>
        <v>Single blind</v>
      </c>
      <c r="AD13" s="535"/>
      <c r="AE13" s="558" t="str">
        <f>IFERROR(__xludf.DUMMYFUNCTION("""COMPUTED_VALUE"""),"International Journal of Communication")</f>
        <v>International Journal of Communication</v>
      </c>
      <c r="AF13" t="str">
        <f>IFERROR(__xludf.DUMMYFUNCTION("""COMPUTED_VALUE"""),"Humanities, Literature &amp; Arts")</f>
        <v>Humanities, Literature &amp; Arts</v>
      </c>
      <c r="AG13" t="str">
        <f>IFERROR(__xludf.DUMMYFUNCTION("""COMPUTED_VALUE"""),"Unsure")</f>
        <v>Unsure</v>
      </c>
      <c r="AH13" s="535"/>
      <c r="AI13" s="558" t="str">
        <f>IFERROR(__xludf.DUMMYFUNCTION("""COMPUTED_VALUE"""),"Environmental Science &amp; Technology")</f>
        <v>Environmental Science &amp; Technology</v>
      </c>
      <c r="AJ13" t="str">
        <f>IFERROR(__xludf.DUMMYFUNCTION("""COMPUTED_VALUE"""),"Life Sciences &amp; Earth Sciences")</f>
        <v>Life Sciences &amp; Earth Sciences</v>
      </c>
      <c r="AK13" t="str">
        <f>IFERROR(__xludf.DUMMYFUNCTION("""COMPUTED_VALUE"""),"Unsure")</f>
        <v>Unsure</v>
      </c>
      <c r="AL13" s="535"/>
      <c r="AM13" t="str">
        <f>IFERROR(__xludf.DUMMYFUNCTION("""COMPUTED_VALUE"""),"IEEE Transactions on Signal Processing")</f>
        <v>IEEE Transactions on Signal Processing</v>
      </c>
      <c r="AN13" t="str">
        <f>IFERROR(__xludf.DUMMYFUNCTION("""COMPUTED_VALUE"""),"Physics &amp; Mathematics")</f>
        <v>Physics &amp; Mathematics</v>
      </c>
      <c r="AO13" t="str">
        <f>IFERROR(__xludf.DUMMYFUNCTION("""COMPUTED_VALUE"""),"Single blind")</f>
        <v>Single blind</v>
      </c>
      <c r="AP13" s="535"/>
      <c r="AQ13" t="str">
        <f>IFERROR(__xludf.DUMMYFUNCTION("""COMPUTED_VALUE"""),"American Political Science Review")</f>
        <v>American Political Science Review</v>
      </c>
      <c r="AR13" t="str">
        <f>IFERROR(__xludf.DUMMYFUNCTION("""COMPUTED_VALUE"""),"Social Sciences")</f>
        <v>Social Sciences</v>
      </c>
      <c r="AS13" t="str">
        <f>IFERROR(__xludf.DUMMYFUNCTION("""COMPUTED_VALUE"""),"Double blind")</f>
        <v>Double blind</v>
      </c>
    </row>
    <row r="14">
      <c r="A14" s="552"/>
      <c r="B14" s="552"/>
      <c r="C14" t="str">
        <f>Filtered!I6</f>
        <v>Academy of Management Journal</v>
      </c>
      <c r="D14" t="str">
        <f>Filtered!J6</f>
        <v>Business, Economics &amp; Management</v>
      </c>
      <c r="E14" s="34" t="str">
        <f>Filtered!L6</f>
        <v>Double blind</v>
      </c>
      <c r="F14" t="b">
        <f t="shared" si="10"/>
        <v>1</v>
      </c>
      <c r="G14" t="b">
        <f t="shared" si="11"/>
        <v>0</v>
      </c>
      <c r="H14" t="b">
        <f t="shared" si="12"/>
        <v>0</v>
      </c>
      <c r="I14" t="b">
        <f t="shared" si="13"/>
        <v>0</v>
      </c>
      <c r="J14" t="b">
        <f t="shared" si="14"/>
        <v>0</v>
      </c>
      <c r="K14" t="b">
        <f t="shared" si="15"/>
        <v>0</v>
      </c>
      <c r="L14" t="b">
        <f t="shared" si="16"/>
        <v>0</v>
      </c>
      <c r="M14" t="b">
        <f t="shared" si="17"/>
        <v>0</v>
      </c>
      <c r="N14" s="535"/>
      <c r="O14" s="558" t="str">
        <f>IFERROR(__xludf.DUMMYFUNCTION("""COMPUTED_VALUE"""),"Journal of Banking &amp; Finance")</f>
        <v>Journal of Banking &amp; Finance</v>
      </c>
      <c r="P14" t="str">
        <f>IFERROR(__xludf.DUMMYFUNCTION("""COMPUTED_VALUE"""),"Business, Economics &amp; Management")</f>
        <v>Business, Economics &amp; Management</v>
      </c>
      <c r="Q14" t="str">
        <f>IFERROR(__xludf.DUMMYFUNCTION("""COMPUTED_VALUE"""),"Double blind")</f>
        <v>Double blind</v>
      </c>
      <c r="R14" s="535"/>
      <c r="S14" s="558" t="str">
        <f>IFERROR(__xludf.DUMMYFUNCTION("""COMPUTED_VALUE"""),"Advanced Functional Materials")</f>
        <v>Advanced Functional Materials</v>
      </c>
      <c r="T14" t="str">
        <f>IFERROR(__xludf.DUMMYFUNCTION("""COMPUTED_VALUE"""),"Chemical &amp; Materials Sciences, Engineering &amp; Computer Science")</f>
        <v>Chemical &amp; Materials Sciences, Engineering &amp; Computer Science</v>
      </c>
      <c r="U14" t="str">
        <f>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V14" s="535"/>
      <c r="W14" s="558" t="str">
        <f>IFERROR(__xludf.DUMMYFUNCTION("""COMPUTED_VALUE"""),"Advanced Materials")</f>
        <v>Advanced Materials</v>
      </c>
      <c r="X14" t="str">
        <f>IFERROR(__xludf.DUMMYFUNCTION("""COMPUTED_VALUE"""),"Chemical &amp; Materials Sciences, Engineering &amp; Computer Science")</f>
        <v>Chemical &amp; Materials Sciences, Engineering &amp; Computer Science</v>
      </c>
      <c r="Y14" t="str">
        <f>IFERROR(__xludf.DUMMYFUNCTION("""COMPUTED_VALUE"""),"Unsure")</f>
        <v>Unsure</v>
      </c>
      <c r="Z14" s="535"/>
      <c r="AA14" s="558" t="str">
        <f>IFERROR(__xludf.DUMMYFUNCTION("""COMPUTED_VALUE"""),"European Heart Journal")</f>
        <v>European Heart Journal</v>
      </c>
      <c r="AB14" t="str">
        <f>IFERROR(__xludf.DUMMYFUNCTION("""COMPUTED_VALUE"""),"Health &amp; Medical Sciences")</f>
        <v>Health &amp; Medical Sciences</v>
      </c>
      <c r="AC14" t="str">
        <f>IFERROR(__xludf.DUMMYFUNCTION("""COMPUTED_VALUE"""),"Unsure")</f>
        <v>Unsure</v>
      </c>
      <c r="AD14" s="535"/>
      <c r="AE14" s="558" t="str">
        <f>IFERROR(__xludf.DUMMYFUNCTION("""COMPUTED_VALUE"""),"Journal of Communication")</f>
        <v>Journal of Communication</v>
      </c>
      <c r="AF14" t="str">
        <f>IFERROR(__xludf.DUMMYFUNCTION("""COMPUTED_VALUE"""),"Humanities, Literature &amp; Arts")</f>
        <v>Humanities, Literature &amp; Arts</v>
      </c>
      <c r="AG14" t="str">
        <f>IFERROR(__xludf.DUMMYFUNCTION("""COMPUTED_VALUE"""),"Unsure")</f>
        <v>Unsure</v>
      </c>
      <c r="AH14" s="535"/>
      <c r="AI14" s="558" t="str">
        <f>IFERROR(__xludf.DUMMYFUNCTION("""COMPUTED_VALUE"""),"Molecular Cell")</f>
        <v>Molecular Cell</v>
      </c>
      <c r="AJ14" t="str">
        <f>IFERROR(__xludf.DUMMYFUNCTION("""COMPUTED_VALUE"""),"Life Sciences &amp; Earth Sciences")</f>
        <v>Life Sciences &amp; Earth Sciences</v>
      </c>
      <c r="AK14" t="str">
        <f>IFERROR(__xludf.DUMMYFUNCTION("""COMPUTED_VALUE"""),"Unsure")</f>
        <v>Unsure</v>
      </c>
      <c r="AL14" s="535"/>
      <c r="AM14" t="str">
        <f>IFERROR(__xludf.DUMMYFUNCTION("""COMPUTED_VALUE"""),"Journal of Cosmology and Astroparticle Physics")</f>
        <v>Journal of Cosmology and Astroparticle Physics</v>
      </c>
      <c r="AN14" t="str">
        <f>IFERROR(__xludf.DUMMYFUNCTION("""COMPUTED_VALUE"""),"Physics &amp; Mathematics")</f>
        <v>Physics &amp; Mathematics</v>
      </c>
      <c r="AO14" t="str">
        <f>IFERROR(__xludf.DUMMYFUNCTION("""COMPUTED_VALUE"""),"Single blind")</f>
        <v>Single blind</v>
      </c>
      <c r="AP14" s="535"/>
      <c r="AQ14" t="str">
        <f>IFERROR(__xludf.DUMMYFUNCTION("""COMPUTED_VALUE"""),"American Sociological Review")</f>
        <v>American Sociological Review</v>
      </c>
      <c r="AR14" t="str">
        <f>IFERROR(__xludf.DUMMYFUNCTION("""COMPUTED_VALUE"""),"Social Sciences")</f>
        <v>Social Sciences</v>
      </c>
      <c r="AS14" t="str">
        <f>IFERROR(__xludf.DUMMYFUNCTION("""COMPUTED_VALUE"""),"Double blind")</f>
        <v>Double blind</v>
      </c>
    </row>
    <row r="15">
      <c r="A15" s="552"/>
      <c r="B15" s="552"/>
      <c r="C15" t="str">
        <f>Filtered!I7</f>
        <v>ACS Nano</v>
      </c>
      <c r="D15" t="str">
        <f>Filtered!J7</f>
        <v>Chemical &amp; Materials Sciences, Engineering &amp; Computer Science</v>
      </c>
      <c r="E15" s="34" t="str">
        <f>Filtered!L7</f>
        <v>Single blind</v>
      </c>
      <c r="F15" t="b">
        <f t="shared" si="10"/>
        <v>0</v>
      </c>
      <c r="G15" t="b">
        <f t="shared" si="11"/>
        <v>1</v>
      </c>
      <c r="H15" t="b">
        <f t="shared" si="12"/>
        <v>1</v>
      </c>
      <c r="I15" t="b">
        <f t="shared" si="13"/>
        <v>0</v>
      </c>
      <c r="J15" t="b">
        <f t="shared" si="14"/>
        <v>0</v>
      </c>
      <c r="K15" t="b">
        <f t="shared" si="15"/>
        <v>0</v>
      </c>
      <c r="L15" t="b">
        <f t="shared" si="16"/>
        <v>0</v>
      </c>
      <c r="M15" t="b">
        <f t="shared" si="17"/>
        <v>0</v>
      </c>
      <c r="N15" s="535"/>
      <c r="O15" s="558" t="str">
        <f>IFERROR(__xludf.DUMMYFUNCTION("""COMPUTED_VALUE"""),"Journal of Business Ethics")</f>
        <v>Journal of Business Ethics</v>
      </c>
      <c r="P15" t="str">
        <f>IFERROR(__xludf.DUMMYFUNCTION("""COMPUTED_VALUE"""),"Business, Economics &amp; Management,
Social Sciences")</f>
        <v>Business, Economics &amp; Management,
Social Sciences</v>
      </c>
      <c r="Q15" t="str">
        <f>IFERROR(__xludf.DUMMYFUNCTION("""COMPUTED_VALUE"""),"Double blind")</f>
        <v>Double blind</v>
      </c>
      <c r="R15" s="535"/>
      <c r="S15" s="558" t="str">
        <f>IFERROR(__xludf.DUMMYFUNCTION("""COMPUTED_VALUE"""),"Advanced Materials")</f>
        <v>Advanced Materials</v>
      </c>
      <c r="T15" t="str">
        <f>IFERROR(__xludf.DUMMYFUNCTION("""COMPUTED_VALUE"""),"Chemical &amp; Materials Sciences, Engineering &amp; Computer Science")</f>
        <v>Chemical &amp; Materials Sciences, Engineering &amp; Computer Science</v>
      </c>
      <c r="U15" t="str">
        <f>IFERROR(__xludf.DUMMYFUNCTION("""COMPUTED_VALUE"""),"Unsure")</f>
        <v>Unsure</v>
      </c>
      <c r="V15" s="535"/>
      <c r="W15" s="558" t="str">
        <f>IFERROR(__xludf.DUMMYFUNCTION("""COMPUTED_VALUE"""),"Chemistry of Materials")</f>
        <v>Chemistry of Materials</v>
      </c>
      <c r="X15" t="str">
        <f>IFERROR(__xludf.DUMMYFUNCTION("""COMPUTED_VALUE"""),"Chemical &amp; Materials Sciences,
Engineering &amp; Computer Science")</f>
        <v>Chemical &amp; Materials Sciences,
Engineering &amp; Computer Science</v>
      </c>
      <c r="Y15" t="str">
        <f>IFERROR(__xludf.DUMMYFUNCTION("""COMPUTED_VALUE"""),"Unsure")</f>
        <v>Unsure</v>
      </c>
      <c r="Z15" s="535"/>
      <c r="AA15" s="558" t="str">
        <f>IFERROR(__xludf.DUMMYFUNCTION("""COMPUTED_VALUE"""),"Gastroenterology")</f>
        <v>Gastroenterology</v>
      </c>
      <c r="AB15" t="str">
        <f>IFERROR(__xludf.DUMMYFUNCTION("""COMPUTED_VALUE"""),"Health &amp; Medical Sciences")</f>
        <v>Health &amp; Medical Sciences</v>
      </c>
      <c r="AC15" t="str">
        <f>IFERROR(__xludf.DUMMYFUNCTION("""COMPUTED_VALUE"""),"Single blind")</f>
        <v>Single blind</v>
      </c>
      <c r="AD15" s="535"/>
      <c r="AE15" s="558" t="str">
        <f>IFERROR(__xludf.DUMMYFUNCTION("""COMPUTED_VALUE"""),"Journal of Pragmatics")</f>
        <v>Journal of Pragmatics</v>
      </c>
      <c r="AF15" t="str">
        <f>IFERROR(__xludf.DUMMYFUNCTION("""COMPUTED_VALUE"""),"Humanities, Literature &amp; Arts")</f>
        <v>Humanities, Literature &amp; Arts</v>
      </c>
      <c r="AG15" t="str">
        <f>IFERROR(__xludf.DUMMYFUNCTION("""COMPUTED_VALUE"""),"Double blind")</f>
        <v>Double blind</v>
      </c>
      <c r="AH15" s="535"/>
      <c r="AI15" s="558" t="str">
        <f>IFERROR(__xludf.DUMMYFUNCTION("""COMPUTED_VALUE"""),"Nature")</f>
        <v>Nature</v>
      </c>
      <c r="AJ15" t="str">
        <f>IFERROR(__xludf.DUMMYFUNCTION("""COMPUTED_VALUE"""),"Life Sciences &amp; Earth Sciences")</f>
        <v>Life Sciences &amp; Earth Sciences</v>
      </c>
      <c r="AK15"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5" s="535"/>
      <c r="AM15" t="str">
        <f>IFERROR(__xludf.DUMMYFUNCTION("""COMPUTED_VALUE"""),"Journal of Geophysical Research")</f>
        <v>Journal of Geophysical Research</v>
      </c>
      <c r="AN15" t="str">
        <f>IFERROR(__xludf.DUMMYFUNCTION("""COMPUTED_VALUE"""),"Physics &amp; Mathematics")</f>
        <v>Physics &amp; Mathematics</v>
      </c>
      <c r="AO15" t="str">
        <f>IFERROR(__xludf.DUMMYFUNCTION("""COMPUTED_VALUE"""),"Unsure")</f>
        <v>Unsure</v>
      </c>
      <c r="AP15" s="535"/>
      <c r="AQ15" t="str">
        <f>IFERROR(__xludf.DUMMYFUNCTION("""COMPUTED_VALUE"""),"Annals of Tourism Research")</f>
        <v>Annals of Tourism Research</v>
      </c>
      <c r="AR15" t="str">
        <f>IFERROR(__xludf.DUMMYFUNCTION("""COMPUTED_VALUE"""),"Social Sciences")</f>
        <v>Social Sciences</v>
      </c>
      <c r="AS15" t="str">
        <f>IFERROR(__xludf.DUMMYFUNCTION("""COMPUTED_VALUE"""),"Double blind")</f>
        <v>Double blind</v>
      </c>
    </row>
    <row r="16">
      <c r="A16" s="552"/>
      <c r="B16" s="552"/>
      <c r="C16" t="str">
        <f>Filtered!I8</f>
        <v>Advanced Energy Materials</v>
      </c>
      <c r="D16" t="str">
        <f>Filtered!J8</f>
        <v>Chemical &amp; Materials Sciences, Engineering &amp; Computer Science</v>
      </c>
      <c r="E16" t="str">
        <f>Filtered!L8</f>
        <v>Unsure: at least single blind "2.10 To ensure the confidentiality of the names and other details of referees; adjudication and
appeal referees may be informed of the names of prior referees, if appropriate."</v>
      </c>
      <c r="F16" t="b">
        <f t="shared" si="10"/>
        <v>0</v>
      </c>
      <c r="G16" t="b">
        <f t="shared" si="11"/>
        <v>1</v>
      </c>
      <c r="H16" t="b">
        <f t="shared" si="12"/>
        <v>1</v>
      </c>
      <c r="I16" t="b">
        <f t="shared" si="13"/>
        <v>0</v>
      </c>
      <c r="J16" t="b">
        <f t="shared" si="14"/>
        <v>0</v>
      </c>
      <c r="K16" t="b">
        <f t="shared" si="15"/>
        <v>0</v>
      </c>
      <c r="L16" t="b">
        <f t="shared" si="16"/>
        <v>0</v>
      </c>
      <c r="M16" t="b">
        <f t="shared" si="17"/>
        <v>0</v>
      </c>
      <c r="N16" s="535"/>
      <c r="O16" s="558" t="str">
        <f>IFERROR(__xludf.DUMMYFUNCTION("""COMPUTED_VALUE"""),"Journal of Business Research")</f>
        <v>Journal of Business Research</v>
      </c>
      <c r="P16" t="str">
        <f>IFERROR(__xludf.DUMMYFUNCTION("""COMPUTED_VALUE"""),"Business, Economics &amp; Management")</f>
        <v>Business, Economics &amp; Management</v>
      </c>
      <c r="Q16" t="str">
        <f>IFERROR(__xludf.DUMMYFUNCTION("""COMPUTED_VALUE"""),"Double blind")</f>
        <v>Double blind</v>
      </c>
      <c r="R16" s="535"/>
      <c r="S16" s="558" t="str">
        <f>IFERROR(__xludf.DUMMYFUNCTION("""COMPUTED_VALUE"""),"Angewandte Chemie International Edition")</f>
        <v>Angewandte Chemie International Edition</v>
      </c>
      <c r="T16" t="str">
        <f>IFERROR(__xludf.DUMMYFUNCTION("""COMPUTED_VALUE"""),"Chemical &amp; Materials Sciences")</f>
        <v>Chemical &amp; Materials Sciences</v>
      </c>
      <c r="U16" t="str">
        <f>IFERROR(__xludf.DUMMYFUNCTION("""COMPUTED_VALUE"""),"Single blind")</f>
        <v>Single blind</v>
      </c>
      <c r="V16" s="535"/>
      <c r="W16" s="558" t="str">
        <f>IFERROR(__xludf.DUMMYFUNCTION("""COMPUTED_VALUE"""),"Energy and Environmental Science")</f>
        <v>Energy and Environmental Science</v>
      </c>
      <c r="X16" t="str">
        <f>IFERROR(__xludf.DUMMYFUNCTION("""COMPUTED_VALUE"""),"Chemical &amp; Materials Sciences, Engineering &amp; Computer Science")</f>
        <v>Chemical &amp; Materials Sciences, Engineering &amp; Computer Science</v>
      </c>
      <c r="Y16" t="str">
        <f>IFERROR(__xludf.DUMMYFUNCTION("""COMPUTED_VALUE"""),"Single blind")</f>
        <v>Single blind</v>
      </c>
      <c r="Z16" s="535"/>
      <c r="AA16" s="558" t="str">
        <f>IFERROR(__xludf.DUMMYFUNCTION("""COMPUTED_VALUE"""),"Immunity")</f>
        <v>Immunity</v>
      </c>
      <c r="AB16" t="str">
        <f>IFERROR(__xludf.DUMMYFUNCTION("""COMPUTED_VALUE"""),"Health &amp; Medical Sciences")</f>
        <v>Health &amp; Medical Sciences</v>
      </c>
      <c r="AC16" t="str">
        <f>IFERROR(__xludf.DUMMYFUNCTION("""COMPUTED_VALUE"""),"Single blind")</f>
        <v>Single blind</v>
      </c>
      <c r="AD16" s="535"/>
      <c r="AE16" s="558" t="str">
        <f>IFERROR(__xludf.DUMMYFUNCTION("""COMPUTED_VALUE"""),"Journalism")</f>
        <v>Journalism</v>
      </c>
      <c r="AF16" t="str">
        <f>IFERROR(__xludf.DUMMYFUNCTION("""COMPUTED_VALUE"""),"Humanities, Literature &amp; Arts")</f>
        <v>Humanities, Literature &amp; Arts</v>
      </c>
      <c r="AG16" t="str">
        <f>IFERROR(__xludf.DUMMYFUNCTION("""COMPUTED_VALUE"""),"Double blind")</f>
        <v>Double blind</v>
      </c>
      <c r="AH16" s="535"/>
      <c r="AI16" s="558" t="str">
        <f>IFERROR(__xludf.DUMMYFUNCTION("""COMPUTED_VALUE"""),"Nature Biotechnology")</f>
        <v>Nature Biotechnology</v>
      </c>
      <c r="AJ16" t="str">
        <f>IFERROR(__xludf.DUMMYFUNCTION("""COMPUTED_VALUE"""),"Life Sciences &amp; Earth Sciences")</f>
        <v>Life Sciences &amp; Earth Sciences</v>
      </c>
      <c r="AK16"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6" s="535"/>
      <c r="AM16" t="str">
        <f>IFERROR(__xludf.DUMMYFUNCTION("""COMPUTED_VALUE"""),"Journal of High Energy Physics")</f>
        <v>Journal of High Energy Physics</v>
      </c>
      <c r="AN16" t="str">
        <f>IFERROR(__xludf.DUMMYFUNCTION("""COMPUTED_VALUE"""),"Physics &amp; Mathematics")</f>
        <v>Physics &amp; Mathematics</v>
      </c>
      <c r="AO16" t="str">
        <f>IFERROR(__xludf.DUMMYFUNCTION("""COMPUTED_VALUE"""),"Single-blind")</f>
        <v>Single-blind</v>
      </c>
      <c r="AP16" s="535"/>
      <c r="AQ16" t="str">
        <f>IFERROR(__xludf.DUMMYFUNCTION("""COMPUTED_VALUE"""),"Global Environmental Change")</f>
        <v>Global Environmental Change</v>
      </c>
      <c r="AR16" t="str">
        <f>IFERROR(__xludf.DUMMYFUNCTION("""COMPUTED_VALUE"""),"Social Sciences")</f>
        <v>Social Sciences</v>
      </c>
      <c r="AS16" t="str">
        <f>IFERROR(__xludf.DUMMYFUNCTION("""COMPUTED_VALUE"""),"Double blind")</f>
        <v>Double blind</v>
      </c>
    </row>
    <row r="17">
      <c r="A17" s="552"/>
      <c r="B17" s="552"/>
      <c r="C17" t="str">
        <f>Filtered!I9</f>
        <v>Advanced Functional Materials</v>
      </c>
      <c r="D17" t="str">
        <f>Filtered!J9</f>
        <v>Chemical &amp; Materials Sciences, Engineering &amp; Computer Science</v>
      </c>
      <c r="E17" t="str">
        <f>Filtered!L9</f>
        <v>Unsure - at least single blind "2.10 To ensure the confidentiality of the names and other details of referees; adjudication and
appeal referees may be informed of the names of prior referees, if appropriate."</v>
      </c>
      <c r="F17" t="b">
        <f t="shared" si="10"/>
        <v>0</v>
      </c>
      <c r="G17" t="b">
        <f t="shared" si="11"/>
        <v>1</v>
      </c>
      <c r="H17" t="b">
        <f t="shared" si="12"/>
        <v>1</v>
      </c>
      <c r="I17" t="b">
        <f t="shared" si="13"/>
        <v>0</v>
      </c>
      <c r="J17" t="b">
        <f t="shared" si="14"/>
        <v>0</v>
      </c>
      <c r="K17" t="b">
        <f t="shared" si="15"/>
        <v>0</v>
      </c>
      <c r="L17" t="b">
        <f t="shared" si="16"/>
        <v>0</v>
      </c>
      <c r="M17" t="b">
        <f t="shared" si="17"/>
        <v>0</v>
      </c>
      <c r="N17" s="535"/>
      <c r="O17" s="558" t="str">
        <f>IFERROR(__xludf.DUMMYFUNCTION("""COMPUTED_VALUE"""),"Journal of Economic Perspectives")</f>
        <v>Journal of Economic Perspectives</v>
      </c>
      <c r="P17" t="str">
        <f>IFERROR(__xludf.DUMMYFUNCTION("""COMPUTED_VALUE"""),"Business, Economics &amp; Management")</f>
        <v>Business, Economics &amp; Management</v>
      </c>
      <c r="Q17" t="str">
        <f>IFERROR(__xludf.DUMMYFUNCTION("""COMPUTED_VALUE"""),"Unsure")</f>
        <v>Unsure</v>
      </c>
      <c r="R17" s="535"/>
      <c r="S17" s="558" t="str">
        <f>IFERROR(__xludf.DUMMYFUNCTION("""COMPUTED_VALUE"""),"Chemical communications (Cambridge, England)")</f>
        <v>Chemical communications (Cambridge, England)</v>
      </c>
      <c r="T17" t="str">
        <f>IFERROR(__xludf.DUMMYFUNCTION("""COMPUTED_VALUE"""),"Chemical &amp; Materials Sciences")</f>
        <v>Chemical &amp; Materials Sciences</v>
      </c>
      <c r="U17" t="str">
        <f>IFERROR(__xludf.DUMMYFUNCTION("""COMPUTED_VALUE"""),"Single blind, Double blind (optional)")</f>
        <v>Single blind, Double blind (optional)</v>
      </c>
      <c r="V17" s="535"/>
      <c r="W17" s="558" t="str">
        <f>IFERROR(__xludf.DUMMYFUNCTION("""COMPUTED_VALUE"""),"IEEE Communications Surveys &amp; Tutorials")</f>
        <v>IEEE Communications Surveys &amp; Tutorials</v>
      </c>
      <c r="X17" t="str">
        <f>IFERROR(__xludf.DUMMYFUNCTION("""COMPUTED_VALUE"""),"Engineering &amp; Computer Science")</f>
        <v>Engineering &amp; Computer Science</v>
      </c>
      <c r="Y17" t="str">
        <f>IFERROR(__xludf.DUMMYFUNCTION("""COMPUTED_VALUE"""),"Unsure")</f>
        <v>Unsure</v>
      </c>
      <c r="Z17" s="535"/>
      <c r="AA17" s="558" t="str">
        <f>IFERROR(__xludf.DUMMYFUNCTION("""COMPUTED_VALUE"""),"Journal of the American Medical Association")</f>
        <v>Journal of the American Medical Association</v>
      </c>
      <c r="AB17" t="str">
        <f>IFERROR(__xludf.DUMMYFUNCTION("""COMPUTED_VALUE"""),"Health &amp; Medical Sciences")</f>
        <v>Health &amp; Medical Sciences</v>
      </c>
      <c r="AC17" t="str">
        <f>IFERROR(__xludf.DUMMYFUNCTION("""COMPUTED_VALUE"""),"Single blind")</f>
        <v>Single blind</v>
      </c>
      <c r="AD17" s="535"/>
      <c r="AE17" s="558" t="str">
        <f>IFERROR(__xludf.DUMMYFUNCTION("""COMPUTED_VALUE"""),"Journalism Practice")</f>
        <v>Journalism Practice</v>
      </c>
      <c r="AF17" t="str">
        <f>IFERROR(__xludf.DUMMYFUNCTION("""COMPUTED_VALUE"""),"Humanities, Literature &amp; Arts")</f>
        <v>Humanities, Literature &amp; Arts</v>
      </c>
      <c r="AG17" t="str">
        <f>IFERROR(__xludf.DUMMYFUNCTION("""COMPUTED_VALUE"""),"Double blind")</f>
        <v>Double blind</v>
      </c>
      <c r="AH17" s="535"/>
      <c r="AI17" s="558" t="str">
        <f>IFERROR(__xludf.DUMMYFUNCTION("""COMPUTED_VALUE"""),"Nature Cell Biology")</f>
        <v>Nature Cell Biology</v>
      </c>
      <c r="AJ17" t="str">
        <f>IFERROR(__xludf.DUMMYFUNCTION("""COMPUTED_VALUE"""),"Life Sciences &amp; Earth Sciences")</f>
        <v>Life Sciences &amp; Earth Sciences</v>
      </c>
      <c r="AK17"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7" s="535"/>
      <c r="AM17" t="str">
        <f>IFERROR(__xludf.DUMMYFUNCTION("""COMPUTED_VALUE"""),"Monthly Notices of the Royal Astronomical Society")</f>
        <v>Monthly Notices of the Royal Astronomical Society</v>
      </c>
      <c r="AN17" t="str">
        <f>IFERROR(__xludf.DUMMYFUNCTION("""COMPUTED_VALUE"""),"Physics &amp; Mathematics")</f>
        <v>Physics &amp; Mathematics</v>
      </c>
      <c r="AO17" t="str">
        <f>IFERROR(__xludf.DUMMYFUNCTION("""COMPUTED_VALUE"""),"Single blind")</f>
        <v>Single blind</v>
      </c>
      <c r="AP17" s="535"/>
      <c r="AQ17" t="str">
        <f>IFERROR(__xludf.DUMMYFUNCTION("""COMPUTED_VALUE"""),"Government Information Quarterly")</f>
        <v>Government Information Quarterly</v>
      </c>
      <c r="AR17" t="str">
        <f>IFERROR(__xludf.DUMMYFUNCTION("""COMPUTED_VALUE"""),"Social Sciences")</f>
        <v>Social Sciences</v>
      </c>
      <c r="AS17" t="str">
        <f>IFERROR(__xludf.DUMMYFUNCTION("""COMPUTED_VALUE"""),"Other (apppears to offer choice of single blind or double blind)")</f>
        <v>Other (apppears to offer choice of single blind or double blind)</v>
      </c>
    </row>
    <row r="18">
      <c r="A18" s="552"/>
      <c r="B18" s="552"/>
      <c r="C18" t="str">
        <f>Filtered!I10</f>
        <v>Advanced Materials</v>
      </c>
      <c r="D18" t="str">
        <f>Filtered!J10</f>
        <v>Chemical &amp; Materials Sciences, Engineering &amp; Computer Science</v>
      </c>
      <c r="E18" t="str">
        <f>Filtered!L10</f>
        <v>Unsure</v>
      </c>
      <c r="F18" t="b">
        <f t="shared" si="10"/>
        <v>0</v>
      </c>
      <c r="G18" t="b">
        <f t="shared" si="11"/>
        <v>1</v>
      </c>
      <c r="H18" t="b">
        <f t="shared" si="12"/>
        <v>1</v>
      </c>
      <c r="I18" t="b">
        <f t="shared" si="13"/>
        <v>0</v>
      </c>
      <c r="J18" t="b">
        <f t="shared" si="14"/>
        <v>0</v>
      </c>
      <c r="K18" t="b">
        <f t="shared" si="15"/>
        <v>0</v>
      </c>
      <c r="L18" t="b">
        <f t="shared" si="16"/>
        <v>0</v>
      </c>
      <c r="M18" t="b">
        <f t="shared" si="17"/>
        <v>0</v>
      </c>
      <c r="N18" s="535"/>
      <c r="O18" s="558" t="str">
        <f>IFERROR(__xludf.DUMMYFUNCTION("""COMPUTED_VALUE"""),"Journal of Financial Economics")</f>
        <v>Journal of Financial Economics</v>
      </c>
      <c r="P18" t="str">
        <f>IFERROR(__xludf.DUMMYFUNCTION("""COMPUTED_VALUE"""),"Business, Economics &amp; Management")</f>
        <v>Business, Economics &amp; Management</v>
      </c>
      <c r="Q18" t="str">
        <f>IFERROR(__xludf.DUMMYFUNCTION("""COMPUTED_VALUE"""),"Unsure")</f>
        <v>Unsure</v>
      </c>
      <c r="R18" s="535"/>
      <c r="S18" s="558" t="str">
        <f>IFERROR(__xludf.DUMMYFUNCTION("""COMPUTED_VALUE"""),"Chemical Reviews")</f>
        <v>Chemical Reviews</v>
      </c>
      <c r="T18" t="str">
        <f>IFERROR(__xludf.DUMMYFUNCTION("""COMPUTED_VALUE"""),"Chemical &amp; Materials Sciences")</f>
        <v>Chemical &amp; Materials Sciences</v>
      </c>
      <c r="U18" t="str">
        <f>IFERROR(__xludf.DUMMYFUNCTION("""COMPUTED_VALUE"""),"Unsure")</f>
        <v>Unsure</v>
      </c>
      <c r="V18" s="535"/>
      <c r="W18" s="558" t="str">
        <f>IFERROR(__xludf.DUMMYFUNCTION("""COMPUTED_VALUE"""),"IEEE Conference on Computer Vision and Pattern Recognition, CVPR")</f>
        <v>IEEE Conference on Computer Vision and Pattern Recognition, CVPR</v>
      </c>
      <c r="X18" t="str">
        <f>IFERROR(__xludf.DUMMYFUNCTION("""COMPUTED_VALUE"""),"Engineering &amp; Computer Science")</f>
        <v>Engineering &amp; Computer Science</v>
      </c>
      <c r="Y18" t="str">
        <f>IFERROR(__xludf.DUMMYFUNCTION("""COMPUTED_VALUE"""),"Double blind")</f>
        <v>Double blind</v>
      </c>
      <c r="Z18" s="535"/>
      <c r="AA18" s="558" t="str">
        <f>IFERROR(__xludf.DUMMYFUNCTION("""COMPUTED_VALUE"""),"Journal of Clinical Oncology")</f>
        <v>Journal of Clinical Oncology</v>
      </c>
      <c r="AB18" t="str">
        <f>IFERROR(__xludf.DUMMYFUNCTION("""COMPUTED_VALUE"""),"Health &amp; Medical Sciences")</f>
        <v>Health &amp; Medical Sciences</v>
      </c>
      <c r="AC18" t="str">
        <f>IFERROR(__xludf.DUMMYFUNCTION("""COMPUTED_VALUE"""),"Single blind")</f>
        <v>Single blind</v>
      </c>
      <c r="AD18" s="535"/>
      <c r="AE18" s="558" t="str">
        <f>IFERROR(__xludf.DUMMYFUNCTION("""COMPUTED_VALUE"""),"Journalism Studies")</f>
        <v>Journalism Studies</v>
      </c>
      <c r="AF18" t="str">
        <f>IFERROR(__xludf.DUMMYFUNCTION("""COMPUTED_VALUE"""),"Humanities, Literature &amp; Arts")</f>
        <v>Humanities, Literature &amp; Arts</v>
      </c>
      <c r="AG18" t="str">
        <f>IFERROR(__xludf.DUMMYFUNCTION("""COMPUTED_VALUE"""),"Double blind")</f>
        <v>Double blind</v>
      </c>
      <c r="AH18" s="535"/>
      <c r="AI18" s="558" t="str">
        <f>IFERROR(__xludf.DUMMYFUNCTION("""COMPUTED_VALUE"""),"Nature Climate Change")</f>
        <v>Nature Climate Change</v>
      </c>
      <c r="AJ18" t="str">
        <f>IFERROR(__xludf.DUMMYFUNCTION("""COMPUTED_VALUE"""),"Life Sciences &amp; Earth Sciences")</f>
        <v>Life Sciences &amp; Earth Sciences</v>
      </c>
      <c r="AK18"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8" s="535"/>
      <c r="AM18" t="str">
        <f>IFERROR(__xludf.DUMMYFUNCTION("""COMPUTED_VALUE"""),"Nature Photonics")</f>
        <v>Nature Photonics</v>
      </c>
      <c r="AN18" t="str">
        <f>IFERROR(__xludf.DUMMYFUNCTION("""COMPUTED_VALUE"""),"Engineering &amp; Computer Science,
Physics &amp; Mathematics")</f>
        <v>Engineering &amp; Computer Science,
Physics &amp; Mathematics</v>
      </c>
      <c r="AO18"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8" s="535"/>
      <c r="AQ18" t="str">
        <f>IFERROR(__xludf.DUMMYFUNCTION("""COMPUTED_VALUE"""),"Health Affairs")</f>
        <v>Health Affairs</v>
      </c>
      <c r="AR18" t="str">
        <f>IFERROR(__xludf.DUMMYFUNCTION("""COMPUTED_VALUE"""),"Social Sciences")</f>
        <v>Social Sciences</v>
      </c>
      <c r="AS18" t="str">
        <f>IFERROR(__xludf.DUMMYFUNCTION("""COMPUTED_VALUE"""),"Double blind")</f>
        <v>Double blind</v>
      </c>
    </row>
    <row r="19">
      <c r="A19" s="552"/>
      <c r="B19" s="552"/>
      <c r="C19" t="str">
        <f>Filtered!I11</f>
        <v>American Economic Review</v>
      </c>
      <c r="D19" t="str">
        <f>Filtered!J11</f>
        <v>Business, Economics &amp; Management</v>
      </c>
      <c r="E19" t="str">
        <f>Filtered!L11</f>
        <v>Double blind</v>
      </c>
      <c r="F19" t="b">
        <f t="shared" si="10"/>
        <v>1</v>
      </c>
      <c r="G19" t="b">
        <f t="shared" si="11"/>
        <v>0</v>
      </c>
      <c r="H19" t="b">
        <f t="shared" si="12"/>
        <v>0</v>
      </c>
      <c r="I19" t="b">
        <f t="shared" si="13"/>
        <v>0</v>
      </c>
      <c r="J19" t="b">
        <f t="shared" si="14"/>
        <v>0</v>
      </c>
      <c r="K19" t="b">
        <f t="shared" si="15"/>
        <v>0</v>
      </c>
      <c r="L19" t="b">
        <f t="shared" si="16"/>
        <v>0</v>
      </c>
      <c r="M19" t="b">
        <f t="shared" si="17"/>
        <v>0</v>
      </c>
      <c r="N19" s="535"/>
      <c r="O19" s="558" t="str">
        <f>IFERROR(__xludf.DUMMYFUNCTION("""COMPUTED_VALUE"""),"Journal of Management")</f>
        <v>Journal of Management</v>
      </c>
      <c r="P19" t="str">
        <f>IFERROR(__xludf.DUMMYFUNCTION("""COMPUTED_VALUE"""),"Business, Economics &amp; Management")</f>
        <v>Business, Economics &amp; Management</v>
      </c>
      <c r="Q19" t="str">
        <f>IFERROR(__xludf.DUMMYFUNCTION("""COMPUTED_VALUE"""),"Double blind")</f>
        <v>Double blind</v>
      </c>
      <c r="R19" s="535"/>
      <c r="S19" s="558" t="str">
        <f>IFERROR(__xludf.DUMMYFUNCTION("""COMPUTED_VALUE"""),"Chemical Society reviews")</f>
        <v>Chemical Society reviews</v>
      </c>
      <c r="T19" t="str">
        <f>IFERROR(__xludf.DUMMYFUNCTION("""COMPUTED_VALUE"""),"Chemical &amp; Materials Sciences")</f>
        <v>Chemical &amp; Materials Sciences</v>
      </c>
      <c r="U19" t="str">
        <f>IFERROR(__xludf.DUMMYFUNCTION("""COMPUTED_VALUE"""),"Unsure")</f>
        <v>Unsure</v>
      </c>
      <c r="V19" s="535"/>
      <c r="W19" s="558" t="str">
        <f>IFERROR(__xludf.DUMMYFUNCTION("""COMPUTED_VALUE"""),"IEEE International Conference on Computer Vision")</f>
        <v>IEEE International Conference on Computer Vision</v>
      </c>
      <c r="X19" t="str">
        <f>IFERROR(__xludf.DUMMYFUNCTION("""COMPUTED_VALUE"""),"Engineering &amp; Computer Science")</f>
        <v>Engineering &amp; Computer Science</v>
      </c>
      <c r="Y19" t="str">
        <f>IFERROR(__xludf.DUMMYFUNCTION("""COMPUTED_VALUE"""),"Double blind")</f>
        <v>Double blind</v>
      </c>
      <c r="Z19" s="535"/>
      <c r="AA19" s="558" t="str">
        <f>IFERROR(__xludf.DUMMYFUNCTION("""COMPUTED_VALUE"""),"Journal of the American College of Cardiology")</f>
        <v>Journal of the American College of Cardiology</v>
      </c>
      <c r="AB19" t="str">
        <f>IFERROR(__xludf.DUMMYFUNCTION("""COMPUTED_VALUE"""),"Health &amp; Medical Sciences")</f>
        <v>Health &amp; Medical Sciences</v>
      </c>
      <c r="AC19" t="str">
        <f>IFERROR(__xludf.DUMMYFUNCTION("""COMPUTED_VALUE"""),"Single blind")</f>
        <v>Single blind</v>
      </c>
      <c r="AD19" s="535"/>
      <c r="AE19" s="558" t="str">
        <f>IFERROR(__xludf.DUMMYFUNCTION("""COMPUTED_VALUE"""),"Language Learning")</f>
        <v>Language Learning</v>
      </c>
      <c r="AF19" t="str">
        <f>IFERROR(__xludf.DUMMYFUNCTION("""COMPUTED_VALUE"""),"Humanities, Literature &amp; Arts")</f>
        <v>Humanities, Literature &amp; Arts</v>
      </c>
      <c r="AG19" t="str">
        <f>IFERROR(__xludf.DUMMYFUNCTION("""COMPUTED_VALUE"""),"Other: author choice of single or double blind")</f>
        <v>Other: author choice of single or double blind</v>
      </c>
      <c r="AH19" s="535"/>
      <c r="AI19" s="558" t="str">
        <f>IFERROR(__xludf.DUMMYFUNCTION("""COMPUTED_VALUE"""),"Nature Communications")</f>
        <v>Nature Communications</v>
      </c>
      <c r="AJ19" t="str">
        <f>IFERROR(__xludf.DUMMYFUNCTION("""COMPUTED_VALUE"""),"Life Sciences &amp; Earth Sciences")</f>
        <v>Life Sciences &amp; Earth Sciences</v>
      </c>
      <c r="AK19"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9" s="535"/>
      <c r="AM19" t="str">
        <f>IFERROR(__xludf.DUMMYFUNCTION("""COMPUTED_VALUE"""),"Nature Physics")</f>
        <v>Nature Physics</v>
      </c>
      <c r="AN19" t="str">
        <f>IFERROR(__xludf.DUMMYFUNCTION("""COMPUTED_VALUE"""),"Physics &amp; Mathematics")</f>
        <v>Physics &amp; Mathematics</v>
      </c>
      <c r="AO19"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9" s="535"/>
      <c r="AQ19" t="str">
        <f>IFERROR(__xludf.DUMMYFUNCTION("""COMPUTED_VALUE"""),"Journal of Business Ethics")</f>
        <v>Journal of Business Ethics</v>
      </c>
      <c r="AR19" t="str">
        <f>IFERROR(__xludf.DUMMYFUNCTION("""COMPUTED_VALUE"""),"Business, Economics &amp; Management,
Social Sciences")</f>
        <v>Business, Economics &amp; Management,
Social Sciences</v>
      </c>
      <c r="AS19" t="str">
        <f>IFERROR(__xludf.DUMMYFUNCTION("""COMPUTED_VALUE"""),"Double blind")</f>
        <v>Double blind</v>
      </c>
    </row>
    <row r="20">
      <c r="A20" s="552"/>
      <c r="B20" s="552"/>
      <c r="C20" t="str">
        <f>Filtered!I12</f>
        <v>American Journal of Political Science</v>
      </c>
      <c r="D20" t="str">
        <f>Filtered!J12</f>
        <v>Social Sciences</v>
      </c>
      <c r="E20" t="str">
        <f>Filtered!L12</f>
        <v>Double blind</v>
      </c>
      <c r="F20" t="b">
        <f t="shared" si="10"/>
        <v>0</v>
      </c>
      <c r="G20" t="b">
        <f t="shared" si="11"/>
        <v>0</v>
      </c>
      <c r="H20" t="b">
        <f t="shared" si="12"/>
        <v>0</v>
      </c>
      <c r="I20" t="b">
        <f t="shared" si="13"/>
        <v>0</v>
      </c>
      <c r="J20" t="b">
        <f t="shared" si="14"/>
        <v>0</v>
      </c>
      <c r="K20" t="b">
        <f t="shared" si="15"/>
        <v>0</v>
      </c>
      <c r="L20" t="b">
        <f t="shared" si="16"/>
        <v>0</v>
      </c>
      <c r="M20" t="b">
        <f t="shared" si="17"/>
        <v>1</v>
      </c>
      <c r="N20" s="535"/>
      <c r="O20" s="558" t="str">
        <f>IFERROR(__xludf.DUMMYFUNCTION("""COMPUTED_VALUE"""),"Management Information Systems Quarterly")</f>
        <v>Management Information Systems Quarterly</v>
      </c>
      <c r="P20" t="str">
        <f>IFERROR(__xludf.DUMMYFUNCTION("""COMPUTED_VALUE"""),"Business, Economics &amp; Management")</f>
        <v>Business, Economics &amp; Management</v>
      </c>
      <c r="Q20" t="str">
        <f>IFERROR(__xludf.DUMMYFUNCTION("""COMPUTED_VALUE"""),"Double-blind")</f>
        <v>Double-blind</v>
      </c>
      <c r="R20" s="535"/>
      <c r="S20" s="558" t="str">
        <f>IFERROR(__xludf.DUMMYFUNCTION("""COMPUTED_VALUE"""),"Chemistry of Materials")</f>
        <v>Chemistry of Materials</v>
      </c>
      <c r="T20" t="str">
        <f>IFERROR(__xludf.DUMMYFUNCTION("""COMPUTED_VALUE"""),"Chemical &amp; Materials Sciences,
Engineering &amp; Computer Science")</f>
        <v>Chemical &amp; Materials Sciences,
Engineering &amp; Computer Science</v>
      </c>
      <c r="U20" t="str">
        <f>IFERROR(__xludf.DUMMYFUNCTION("""COMPUTED_VALUE"""),"Unsure")</f>
        <v>Unsure</v>
      </c>
      <c r="V20" s="535"/>
      <c r="W20" s="558" t="str">
        <f>IFERROR(__xludf.DUMMYFUNCTION("""COMPUTED_VALUE"""),"IEEE Transactions on Industrial Electronics")</f>
        <v>IEEE Transactions on Industrial Electronics</v>
      </c>
      <c r="X20" t="str">
        <f>IFERROR(__xludf.DUMMYFUNCTION("""COMPUTED_VALUE"""),"Engineering &amp; Computer Science")</f>
        <v>Engineering &amp; Computer Science</v>
      </c>
      <c r="Y20" t="str">
        <f>IFERROR(__xludf.DUMMYFUNCTION("""COMPUTED_VALUE"""),"Unsure")</f>
        <v>Unsure</v>
      </c>
      <c r="Z20" s="535"/>
      <c r="AA20" s="558" t="str">
        <f>IFERROR(__xludf.DUMMYFUNCTION("""COMPUTED_VALUE"""),"Nature Genetics")</f>
        <v>Nature Genetics</v>
      </c>
      <c r="AB20" t="str">
        <f>IFERROR(__xludf.DUMMYFUNCTION("""COMPUTED_VALUE"""),"Health &amp; Medical Sciences,
Life Sciences &amp; Earth Sciences")</f>
        <v>Health &amp; Medical Sciences,
Life Sciences &amp; Earth Sciences</v>
      </c>
      <c r="AC20"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0" s="535"/>
      <c r="AE20" s="558" t="str">
        <f>IFERROR(__xludf.DUMMYFUNCTION("""COMPUTED_VALUE"""),"Lingua")</f>
        <v>Lingua</v>
      </c>
      <c r="AF20" t="str">
        <f>IFERROR(__xludf.DUMMYFUNCTION("""COMPUTED_VALUE"""),"Humanities, Literature &amp; Arts")</f>
        <v>Humanities, Literature &amp; Arts</v>
      </c>
      <c r="AG20" t="str">
        <f>IFERROR(__xludf.DUMMYFUNCTION("""COMPUTED_VALUE"""),"Double blind")</f>
        <v>Double blind</v>
      </c>
      <c r="AH20" s="535"/>
      <c r="AI20" s="558" t="str">
        <f>IFERROR(__xludf.DUMMYFUNCTION("""COMPUTED_VALUE"""),"Nature Genetics")</f>
        <v>Nature Genetics</v>
      </c>
      <c r="AJ20" t="str">
        <f>IFERROR(__xludf.DUMMYFUNCTION("""COMPUTED_VALUE"""),"Health &amp; Medical Sciences,
Life Sciences &amp; Earth Sciences")</f>
        <v>Health &amp; Medical Sciences,
Life Sciences &amp; Earth Sciences</v>
      </c>
      <c r="AK20"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0" s="535"/>
      <c r="AM20" t="str">
        <f>IFERROR(__xludf.DUMMYFUNCTION("""COMPUTED_VALUE"""),"Optics Express")</f>
        <v>Optics Express</v>
      </c>
      <c r="AN20" t="str">
        <f>IFERROR(__xludf.DUMMYFUNCTION("""COMPUTED_VALUE"""),"Physics &amp; Mathematics")</f>
        <v>Physics &amp; Mathematics</v>
      </c>
      <c r="AO20" t="str">
        <f>IFERROR(__xludf.DUMMYFUNCTION("""COMPUTED_VALUE"""),"Single blind")</f>
        <v>Single blind</v>
      </c>
      <c r="AP20" s="535"/>
      <c r="AQ20" t="str">
        <f>IFERROR(__xludf.DUMMYFUNCTION("""COMPUTED_VALUE"""),"Journal of Educational Psychology")</f>
        <v>Journal of Educational Psychology</v>
      </c>
      <c r="AR20" t="str">
        <f>IFERROR(__xludf.DUMMYFUNCTION("""COMPUTED_VALUE"""),"Social Sciences")</f>
        <v>Social Sciences</v>
      </c>
      <c r="AS20" t="str">
        <f>IFERROR(__xludf.DUMMYFUNCTION("""COMPUTED_VALUE"""),"Double blind")</f>
        <v>Double blind</v>
      </c>
    </row>
    <row r="21">
      <c r="A21" s="552"/>
      <c r="B21" s="552"/>
      <c r="C21" t="str">
        <f>Filtered!I13</f>
        <v>American Journal of Public Health</v>
      </c>
      <c r="D21" t="str">
        <f>Filtered!J13</f>
        <v>Social Sciences</v>
      </c>
      <c r="E21" t="str">
        <f>Filtered!L13</f>
        <v>Double blind</v>
      </c>
      <c r="F21" t="b">
        <f t="shared" si="10"/>
        <v>0</v>
      </c>
      <c r="G21" t="b">
        <f t="shared" si="11"/>
        <v>0</v>
      </c>
      <c r="H21" t="b">
        <f t="shared" si="12"/>
        <v>0</v>
      </c>
      <c r="I21" t="b">
        <f t="shared" si="13"/>
        <v>0</v>
      </c>
      <c r="J21" t="b">
        <f t="shared" si="14"/>
        <v>0</v>
      </c>
      <c r="K21" t="b">
        <f t="shared" si="15"/>
        <v>0</v>
      </c>
      <c r="L21" t="b">
        <f t="shared" si="16"/>
        <v>0</v>
      </c>
      <c r="M21" t="b">
        <f t="shared" si="17"/>
        <v>1</v>
      </c>
      <c r="N21" s="535"/>
      <c r="O21" s="558" t="str">
        <f>IFERROR(__xludf.DUMMYFUNCTION("""COMPUTED_VALUE"""),"Management Science")</f>
        <v>Management Science</v>
      </c>
      <c r="P21" t="str">
        <f>IFERROR(__xludf.DUMMYFUNCTION("""COMPUTED_VALUE"""),"Business, Economics &amp; Management")</f>
        <v>Business, Economics &amp; Management</v>
      </c>
      <c r="Q21" t="str">
        <f>IFERROR(__xludf.DUMMYFUNCTION("""COMPUTED_VALUE"""),"Double blind")</f>
        <v>Double blind</v>
      </c>
      <c r="R21" s="535"/>
      <c r="S21" s="558" t="str">
        <f>IFERROR(__xludf.DUMMYFUNCTION("""COMPUTED_VALUE"""),"Energy and Environmental Science")</f>
        <v>Energy and Environmental Science</v>
      </c>
      <c r="T21" t="str">
        <f>IFERROR(__xludf.DUMMYFUNCTION("""COMPUTED_VALUE"""),"Chemical &amp; Materials Sciences, Engineering &amp; Computer Science")</f>
        <v>Chemical &amp; Materials Sciences, Engineering &amp; Computer Science</v>
      </c>
      <c r="U21" t="str">
        <f>IFERROR(__xludf.DUMMYFUNCTION("""COMPUTED_VALUE"""),"Single blind")</f>
        <v>Single blind</v>
      </c>
      <c r="V21" s="535"/>
      <c r="W21" s="558" t="str">
        <f>IFERROR(__xludf.DUMMYFUNCTION("""COMPUTED_VALUE"""),"IEEE Transactions on Power Electronics")</f>
        <v>IEEE Transactions on Power Electronics</v>
      </c>
      <c r="X21" t="str">
        <f>IFERROR(__xludf.DUMMYFUNCTION("""COMPUTED_VALUE"""),"Engineering &amp; Computer Science")</f>
        <v>Engineering &amp; Computer Science</v>
      </c>
      <c r="Y21" t="str">
        <f>IFERROR(__xludf.DUMMYFUNCTION("""COMPUTED_VALUE"""),"Single blind")</f>
        <v>Single blind</v>
      </c>
      <c r="Z21" s="535"/>
      <c r="AA21" s="558" t="str">
        <f>IFERROR(__xludf.DUMMYFUNCTION("""COMPUTED_VALUE"""),"Nature Medicine")</f>
        <v>Nature Medicine</v>
      </c>
      <c r="AB21" t="str">
        <f>IFERROR(__xludf.DUMMYFUNCTION("""COMPUTED_VALUE"""),"Health &amp; Medical Sciences")</f>
        <v>Health &amp; Medical Sciences</v>
      </c>
      <c r="AC21"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1" s="535"/>
      <c r="AE21" s="558" t="str">
        <f>IFERROR(__xludf.DUMMYFUNCTION("""COMPUTED_VALUE"""),"Media, Culture &amp; Society")</f>
        <v>Media, Culture &amp; Society</v>
      </c>
      <c r="AF21" t="str">
        <f>IFERROR(__xludf.DUMMYFUNCTION("""COMPUTED_VALUE"""),"Humanities, Literature &amp; Arts")</f>
        <v>Humanities, Literature &amp; Arts</v>
      </c>
      <c r="AG21" t="str">
        <f>IFERROR(__xludf.DUMMYFUNCTION("""COMPUTED_VALUE"""),"Double blind")</f>
        <v>Double blind</v>
      </c>
      <c r="AH21" s="535"/>
      <c r="AI21" s="558" t="str">
        <f>IFERROR(__xludf.DUMMYFUNCTION("""COMPUTED_VALUE"""),"Nature Methods")</f>
        <v>Nature Methods</v>
      </c>
      <c r="AJ21" t="str">
        <f>IFERROR(__xludf.DUMMYFUNCTION("""COMPUTED_VALUE"""),"Life Sciences &amp; Earth Sciences")</f>
        <v>Life Sciences &amp; Earth Sciences</v>
      </c>
      <c r="AK21"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1" s="535"/>
      <c r="AM21" t="str">
        <f>IFERROR(__xludf.DUMMYFUNCTION("""COMPUTED_VALUE"""),"Physical Review B")</f>
        <v>Physical Review B</v>
      </c>
      <c r="AN21" t="str">
        <f>IFERROR(__xludf.DUMMYFUNCTION("""COMPUTED_VALUE"""),"Physics &amp; Mathematics")</f>
        <v>Physics &amp; Mathematics</v>
      </c>
      <c r="AO21" t="str">
        <f>IFERROR(__xludf.DUMMYFUNCTION("""COMPUTED_VALUE"""),"Single blind")</f>
        <v>Single blind</v>
      </c>
      <c r="AP21" s="535"/>
      <c r="AQ21" t="str">
        <f>IFERROR(__xludf.DUMMYFUNCTION("""COMPUTED_VALUE"""),"Journal of Youth and Adolescence")</f>
        <v>Journal of Youth and Adolescence</v>
      </c>
      <c r="AR21" t="str">
        <f>IFERROR(__xludf.DUMMYFUNCTION("""COMPUTED_VALUE"""),"Social Sciences")</f>
        <v>Social Sciences</v>
      </c>
      <c r="AS21" t="str">
        <f>IFERROR(__xludf.DUMMYFUNCTION("""COMPUTED_VALUE"""),"Double blind")</f>
        <v>Double blind</v>
      </c>
    </row>
    <row r="22">
      <c r="A22" s="552"/>
      <c r="B22" s="552"/>
      <c r="C22" t="str">
        <f>Filtered!I14</f>
        <v>American Political Science Review</v>
      </c>
      <c r="D22" t="str">
        <f>Filtered!J14</f>
        <v>Social Sciences</v>
      </c>
      <c r="E22" t="str">
        <f>Filtered!L14</f>
        <v>Double blind</v>
      </c>
      <c r="F22" t="b">
        <f t="shared" si="10"/>
        <v>0</v>
      </c>
      <c r="G22" t="b">
        <f t="shared" si="11"/>
        <v>0</v>
      </c>
      <c r="H22" t="b">
        <f t="shared" si="12"/>
        <v>0</v>
      </c>
      <c r="I22" t="b">
        <f t="shared" si="13"/>
        <v>0</v>
      </c>
      <c r="J22" t="b">
        <f t="shared" si="14"/>
        <v>0</v>
      </c>
      <c r="K22" t="b">
        <f t="shared" si="15"/>
        <v>0</v>
      </c>
      <c r="L22" t="b">
        <f t="shared" si="16"/>
        <v>0</v>
      </c>
      <c r="M22" t="b">
        <f t="shared" si="17"/>
        <v>1</v>
      </c>
      <c r="N22" s="535"/>
      <c r="O22" s="558" t="str">
        <f>IFERROR(__xludf.DUMMYFUNCTION("""COMPUTED_VALUE"""),"Review of Economics and Statistics")</f>
        <v>Review of Economics and Statistics</v>
      </c>
      <c r="P22" t="str">
        <f>IFERROR(__xludf.DUMMYFUNCTION("""COMPUTED_VALUE"""),"Business, Economics &amp; Management")</f>
        <v>Business, Economics &amp; Management</v>
      </c>
      <c r="Q22" t="str">
        <f>IFERROR(__xludf.DUMMYFUNCTION("""COMPUTED_VALUE"""),"Unsure")</f>
        <v>Unsure</v>
      </c>
      <c r="R22" s="535"/>
      <c r="S22" s="558" t="str">
        <f>IFERROR(__xludf.DUMMYFUNCTION("""COMPUTED_VALUE"""),"Journal of Materials Chemistry. A")</f>
        <v>Journal of Materials Chemistry. A</v>
      </c>
      <c r="T22" t="str">
        <f>IFERROR(__xludf.DUMMYFUNCTION("""COMPUTED_VALUE"""),"Chemical &amp; Materials Sciences, Engineering &amp; Computer Science")</f>
        <v>Chemical &amp; Materials Sciences, Engineering &amp; Computer Science</v>
      </c>
      <c r="U22" t="str">
        <f>IFERROR(__xludf.DUMMYFUNCTION("""COMPUTED_VALUE"""),"Single blind")</f>
        <v>Single blind</v>
      </c>
      <c r="V22" s="535"/>
      <c r="W22" s="558" t="str">
        <f>IFERROR(__xludf.DUMMYFUNCTION("""COMPUTED_VALUE"""),"Journal of Materials Chemistry. A")</f>
        <v>Journal of Materials Chemistry. A</v>
      </c>
      <c r="X22" t="str">
        <f>IFERROR(__xludf.DUMMYFUNCTION("""COMPUTED_VALUE"""),"Chemical &amp; Materials Sciences, Engineering &amp; Computer Science")</f>
        <v>Chemical &amp; Materials Sciences, Engineering &amp; Computer Science</v>
      </c>
      <c r="Y22" t="str">
        <f>IFERROR(__xludf.DUMMYFUNCTION("""COMPUTED_VALUE"""),"Single blind")</f>
        <v>Single blind</v>
      </c>
      <c r="Z22" s="535"/>
      <c r="AA22" s="558" t="str">
        <f>IFERROR(__xludf.DUMMYFUNCTION("""COMPUTED_VALUE"""),"Nature Neuroscience")</f>
        <v>Nature Neuroscience</v>
      </c>
      <c r="AB22" t="str">
        <f>IFERROR(__xludf.DUMMYFUNCTION("""COMPUTED_VALUE"""),"Health &amp; Medical Sciences")</f>
        <v>Health &amp; Medical Sciences</v>
      </c>
      <c r="AC22"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2" s="535"/>
      <c r="AE22" s="558" t="str">
        <f>IFERROR(__xludf.DUMMYFUNCTION("""COMPUTED_VALUE"""),"Noûs")</f>
        <v>Noûs</v>
      </c>
      <c r="AF22" t="str">
        <f>IFERROR(__xludf.DUMMYFUNCTION("""COMPUTED_VALUE"""),"Social Sciences, Humanities, Literature &amp; Arts")</f>
        <v>Social Sciences, Humanities, Literature &amp; Arts</v>
      </c>
      <c r="AG22" t="str">
        <f>IFERROR(__xludf.DUMMYFUNCTION("""COMPUTED_VALUE"""),"Other (Triple blind)")</f>
        <v>Other (Triple blind)</v>
      </c>
      <c r="AH22" s="535"/>
      <c r="AI22" s="558" t="str">
        <f>IFERROR(__xludf.DUMMYFUNCTION("""COMPUTED_VALUE"""),"Nature Reviews Genetics")</f>
        <v>Nature Reviews Genetics</v>
      </c>
      <c r="AJ22" t="str">
        <f>IFERROR(__xludf.DUMMYFUNCTION("""COMPUTED_VALUE"""),"Life Sciences &amp; Earth Sciences")</f>
        <v>Life Sciences &amp; Earth Sciences</v>
      </c>
      <c r="AK22" t="str">
        <f>IFERROR(__xludf.DUMMYFUNCTION("""COMPUTED_VALUE"""),"Unsure")</f>
        <v>Unsure</v>
      </c>
      <c r="AL22" s="535"/>
      <c r="AM22" t="str">
        <f>IFERROR(__xludf.DUMMYFUNCTION("""COMPUTED_VALUE"""),"Physical Review D")</f>
        <v>Physical Review D</v>
      </c>
      <c r="AN22" t="str">
        <f>IFERROR(__xludf.DUMMYFUNCTION("""COMPUTED_VALUE"""),"Physics &amp; Mathematics")</f>
        <v>Physics &amp; Mathematics</v>
      </c>
      <c r="AO22" t="str">
        <f>IFERROR(__xludf.DUMMYFUNCTION("""COMPUTED_VALUE"""),"Single blind")</f>
        <v>Single blind</v>
      </c>
      <c r="AP22" s="535"/>
      <c r="AQ22" t="str">
        <f>IFERROR(__xludf.DUMMYFUNCTION("""COMPUTED_VALUE"""),"Land Use Policy")</f>
        <v>Land Use Policy</v>
      </c>
      <c r="AR22" t="str">
        <f>IFERROR(__xludf.DUMMYFUNCTION("""COMPUTED_VALUE"""),"Social Sciences")</f>
        <v>Social Sciences</v>
      </c>
      <c r="AS22" t="str">
        <f>IFERROR(__xludf.DUMMYFUNCTION("""COMPUTED_VALUE"""),"Double blind")</f>
        <v>Double blind</v>
      </c>
    </row>
    <row r="23">
      <c r="A23" s="552"/>
      <c r="B23" s="552"/>
      <c r="C23" t="str">
        <f>Filtered!I15</f>
        <v>American Sociological Review</v>
      </c>
      <c r="D23" t="str">
        <f>Filtered!J15</f>
        <v>Social Sciences</v>
      </c>
      <c r="E23" t="str">
        <f>Filtered!L15</f>
        <v>Double blind</v>
      </c>
      <c r="F23" t="b">
        <f t="shared" si="10"/>
        <v>0</v>
      </c>
      <c r="G23" t="b">
        <f t="shared" si="11"/>
        <v>0</v>
      </c>
      <c r="H23" t="b">
        <f t="shared" si="12"/>
        <v>0</v>
      </c>
      <c r="I23" t="b">
        <f t="shared" si="13"/>
        <v>0</v>
      </c>
      <c r="J23" t="b">
        <f t="shared" si="14"/>
        <v>0</v>
      </c>
      <c r="K23" t="b">
        <f t="shared" si="15"/>
        <v>0</v>
      </c>
      <c r="L23" t="b">
        <f t="shared" si="16"/>
        <v>0</v>
      </c>
      <c r="M23" t="b">
        <f t="shared" si="17"/>
        <v>1</v>
      </c>
      <c r="N23" s="535"/>
      <c r="O23" s="558" t="str">
        <f>IFERROR(__xludf.DUMMYFUNCTION("""COMPUTED_VALUE"""),"Strategic Management Journal")</f>
        <v>Strategic Management Journal</v>
      </c>
      <c r="P23" t="str">
        <f>IFERROR(__xludf.DUMMYFUNCTION("""COMPUTED_VALUE"""),"Business, Economics &amp; Management")</f>
        <v>Business, Economics &amp; Management</v>
      </c>
      <c r="Q23" t="str">
        <f>IFERROR(__xludf.DUMMYFUNCTION("""COMPUTED_VALUE"""),"Unsure")</f>
        <v>Unsure</v>
      </c>
      <c r="R23" s="535"/>
      <c r="S23" s="558" t="str">
        <f>IFERROR(__xludf.DUMMYFUNCTION("""COMPUTED_VALUE"""),"Journal of the American Chemical Society")</f>
        <v>Journal of the American Chemical Society</v>
      </c>
      <c r="T23" t="str">
        <f>IFERROR(__xludf.DUMMYFUNCTION("""COMPUTED_VALUE"""),"Chemical &amp; Materials Sciences")</f>
        <v>Chemical &amp; Materials Sciences</v>
      </c>
      <c r="U23" t="str">
        <f>IFERROR(__xludf.DUMMYFUNCTION("""COMPUTED_VALUE"""),"Single blind")</f>
        <v>Single blind</v>
      </c>
      <c r="V23" s="535"/>
      <c r="W23" s="558" t="str">
        <f>IFERROR(__xludf.DUMMYFUNCTION("""COMPUTED_VALUE"""),"Nano Letters")</f>
        <v>Nano Letters</v>
      </c>
      <c r="X23" t="str">
        <f>IFERROR(__xludf.DUMMYFUNCTION("""COMPUTED_VALUE"""),"Chemical &amp; Materials Sciences,
Engineering &amp; Computer Science")</f>
        <v>Chemical &amp; Materials Sciences,
Engineering &amp; Computer Science</v>
      </c>
      <c r="Y23" t="str">
        <f>IFERROR(__xludf.DUMMYFUNCTION("""COMPUTED_VALUE"""),"Unsure")</f>
        <v>Unsure</v>
      </c>
      <c r="Z23" s="535"/>
      <c r="AA23" s="558" t="str">
        <f>IFERROR(__xludf.DUMMYFUNCTION("""COMPUTED_VALUE"""),"Neuron")</f>
        <v>Neuron</v>
      </c>
      <c r="AB23" t="str">
        <f>IFERROR(__xludf.DUMMYFUNCTION("""COMPUTED_VALUE"""),"Health &amp; Medical Sciences,
Life Sciences &amp; Earth Sciences")</f>
        <v>Health &amp; Medical Sciences,
Life Sciences &amp; Earth Sciences</v>
      </c>
      <c r="AC23" t="str">
        <f>IFERROR(__xludf.DUMMYFUNCTION("""COMPUTED_VALUE"""),"Single blind")</f>
        <v>Single blind</v>
      </c>
      <c r="AD23" s="535"/>
      <c r="AE23" s="558" t="str">
        <f>IFERROR(__xludf.DUMMYFUNCTION("""COMPUTED_VALUE"""),"Philosophical Studies")</f>
        <v>Philosophical Studies</v>
      </c>
      <c r="AF23" t="str">
        <f>IFERROR(__xludf.DUMMYFUNCTION("""COMPUTED_VALUE"""),"Humanities, Literature &amp; Arts")</f>
        <v>Humanities, Literature &amp; Arts</v>
      </c>
      <c r="AG23" t="str">
        <f>IFERROR(__xludf.DUMMYFUNCTION("""COMPUTED_VALUE"""),"Double blind")</f>
        <v>Double blind</v>
      </c>
      <c r="AH23" s="535"/>
      <c r="AI23" s="558" t="str">
        <f>IFERROR(__xludf.DUMMYFUNCTION("""COMPUTED_VALUE"""),"Nature Reviews. Molecular Cell Biology")</f>
        <v>Nature Reviews. Molecular Cell Biology</v>
      </c>
      <c r="AJ23" t="str">
        <f>IFERROR(__xludf.DUMMYFUNCTION("""COMPUTED_VALUE"""),"Life Sciences &amp; Earth Sciences")</f>
        <v>Life Sciences &amp; Earth Sciences</v>
      </c>
      <c r="AK23" t="str">
        <f>IFERROR(__xludf.DUMMYFUNCTION("""COMPUTED_VALUE"""),"Unsure")</f>
        <v>Unsure</v>
      </c>
      <c r="AL23" s="535"/>
      <c r="AM23" t="str">
        <f>IFERROR(__xludf.DUMMYFUNCTION("""COMPUTED_VALUE"""),"Physical Review Letters")</f>
        <v>Physical Review Letters</v>
      </c>
      <c r="AN23" t="str">
        <f>IFERROR(__xludf.DUMMYFUNCTION("""COMPUTED_VALUE"""),"Physics &amp; Mathematics")</f>
        <v>Physics &amp; Mathematics</v>
      </c>
      <c r="AO23" t="str">
        <f>IFERROR(__xludf.DUMMYFUNCTION("""COMPUTED_VALUE"""),"Single blind")</f>
        <v>Single blind</v>
      </c>
      <c r="AP23" s="535"/>
      <c r="AQ23" t="str">
        <f>IFERROR(__xludf.DUMMYFUNCTION("""COMPUTED_VALUE"""),"New Media and Society")</f>
        <v>New Media and Society</v>
      </c>
      <c r="AR23" t="str">
        <f>IFERROR(__xludf.DUMMYFUNCTION("""COMPUTED_VALUE"""),"Social Sciences")</f>
        <v>Social Sciences</v>
      </c>
      <c r="AS23" t="str">
        <f>IFERROR(__xludf.DUMMYFUNCTION("""COMPUTED_VALUE"""),"Double blind")</f>
        <v>Double blind</v>
      </c>
    </row>
    <row r="24">
      <c r="A24" s="552"/>
      <c r="B24" s="552"/>
      <c r="C24" t="str">
        <f>Filtered!I16</f>
        <v>Angewandte Chemie International Edition</v>
      </c>
      <c r="D24" t="str">
        <f>Filtered!J16</f>
        <v>Chemical &amp; Materials Sciences</v>
      </c>
      <c r="E24" t="str">
        <f>Filtered!L16</f>
        <v>Single blind</v>
      </c>
      <c r="F24" t="b">
        <f t="shared" si="10"/>
        <v>0</v>
      </c>
      <c r="G24" t="b">
        <f t="shared" si="11"/>
        <v>1</v>
      </c>
      <c r="H24" t="b">
        <f t="shared" si="12"/>
        <v>0</v>
      </c>
      <c r="I24" t="b">
        <f t="shared" si="13"/>
        <v>0</v>
      </c>
      <c r="J24" t="b">
        <f t="shared" si="14"/>
        <v>0</v>
      </c>
      <c r="K24" t="b">
        <f t="shared" si="15"/>
        <v>0</v>
      </c>
      <c r="L24" t="b">
        <f t="shared" si="16"/>
        <v>0</v>
      </c>
      <c r="M24" t="b">
        <f t="shared" si="17"/>
        <v>0</v>
      </c>
      <c r="N24" s="535"/>
      <c r="O24" s="558" t="str">
        <f>IFERROR(__xludf.DUMMYFUNCTION("""COMPUTED_VALUE"""),"The Journal of Finance")</f>
        <v>The Journal of Finance</v>
      </c>
      <c r="P24" t="str">
        <f>IFERROR(__xludf.DUMMYFUNCTION("""COMPUTED_VALUE"""),"Business, Economics &amp; Management")</f>
        <v>Business, Economics &amp; Management</v>
      </c>
      <c r="Q24" t="str">
        <f>IFERROR(__xludf.DUMMYFUNCTION("""COMPUTED_VALUE"""),"Unsure")</f>
        <v>Unsure</v>
      </c>
      <c r="R24" s="535"/>
      <c r="S24" s="558" t="str">
        <f>IFERROR(__xludf.DUMMYFUNCTION("""COMPUTED_VALUE"""),"Nano Letters")</f>
        <v>Nano Letters</v>
      </c>
      <c r="T24" t="str">
        <f>IFERROR(__xludf.DUMMYFUNCTION("""COMPUTED_VALUE"""),"Chemical &amp; Materials Sciences,
Engineering &amp; Computer Science")</f>
        <v>Chemical &amp; Materials Sciences,
Engineering &amp; Computer Science</v>
      </c>
      <c r="U24" t="str">
        <f>IFERROR(__xludf.DUMMYFUNCTION("""COMPUTED_VALUE"""),"Unsure")</f>
        <v>Unsure</v>
      </c>
      <c r="V24" s="535"/>
      <c r="W24" s="558" t="str">
        <f>IFERROR(__xludf.DUMMYFUNCTION("""COMPUTED_VALUE"""),"Nanoscale")</f>
        <v>Nanoscale</v>
      </c>
      <c r="X24" t="str">
        <f>IFERROR(__xludf.DUMMYFUNCTION("""COMPUTED_VALUE"""),"Chemical &amp; Materials Sciences,
Engineering &amp; Computer Science")</f>
        <v>Chemical &amp; Materials Sciences,
Engineering &amp; Computer Science</v>
      </c>
      <c r="Y24" t="str">
        <f>IFERROR(__xludf.DUMMYFUNCTION("""COMPUTED_VALUE"""),"Unsure (at least single blind)")</f>
        <v>Unsure (at least single blind)</v>
      </c>
      <c r="Z24" s="535"/>
      <c r="AA24" s="558" t="str">
        <f>IFERROR(__xludf.DUMMYFUNCTION("""COMPUTED_VALUE"""),"PLoS One")</f>
        <v>PLoS One</v>
      </c>
      <c r="AB24" t="str">
        <f>IFERROR(__xludf.DUMMYFUNCTION("""COMPUTED_VALUE"""),"Health &amp; Medical Sciences,
Life Sciences &amp; Earth Sciences")</f>
        <v>Health &amp; Medical Sciences,
Life Sciences &amp; Earth Sciences</v>
      </c>
      <c r="AC24" t="str">
        <f>IFERROR(__xludf.DUMMYFUNCTION("""COMPUTED_VALUE"""),"Single blind")</f>
        <v>Single blind</v>
      </c>
      <c r="AD24" s="535"/>
      <c r="AE24" s="558" t="str">
        <f>IFERROR(__xludf.DUMMYFUNCTION("""COMPUTED_VALUE"""),"Public Opinion Quarterly")</f>
        <v>Public Opinion Quarterly</v>
      </c>
      <c r="AF24" t="str">
        <f>IFERROR(__xludf.DUMMYFUNCTION("""COMPUTED_VALUE"""),"Humanities, Literature &amp; Arts")</f>
        <v>Humanities, Literature &amp; Arts</v>
      </c>
      <c r="AG24" t="str">
        <f>IFERROR(__xludf.DUMMYFUNCTION("""COMPUTED_VALUE"""),"Double blind")</f>
        <v>Double blind</v>
      </c>
      <c r="AH24" s="535"/>
      <c r="AI24" s="558" t="str">
        <f>IFERROR(__xludf.DUMMYFUNCTION("""COMPUTED_VALUE"""),"Neuron")</f>
        <v>Neuron</v>
      </c>
      <c r="AJ24" t="str">
        <f>IFERROR(__xludf.DUMMYFUNCTION("""COMPUTED_VALUE"""),"Health &amp; Medical Sciences,
Life Sciences &amp; Earth Sciences")</f>
        <v>Health &amp; Medical Sciences,
Life Sciences &amp; Earth Sciences</v>
      </c>
      <c r="AK24" t="str">
        <f>IFERROR(__xludf.DUMMYFUNCTION("""COMPUTED_VALUE"""),"Single blind")</f>
        <v>Single blind</v>
      </c>
      <c r="AL24" s="535"/>
      <c r="AM24" t="str">
        <f>IFERROR(__xludf.DUMMYFUNCTION("""COMPUTED_VALUE"""),"Physical Review X")</f>
        <v>Physical Review X</v>
      </c>
      <c r="AN24" t="str">
        <f>IFERROR(__xludf.DUMMYFUNCTION("""COMPUTED_VALUE"""),"Physics &amp; Mathematics")</f>
        <v>Physics &amp; Mathematics</v>
      </c>
      <c r="AO24" t="str">
        <f>IFERROR(__xludf.DUMMYFUNCTION("""COMPUTED_VALUE"""),"Single blind")</f>
        <v>Single blind</v>
      </c>
      <c r="AP24" s="535"/>
      <c r="AQ24" t="str">
        <f>IFERROR(__xludf.DUMMYFUNCTION("""COMPUTED_VALUE"""),"Noûs")</f>
        <v>Noûs</v>
      </c>
      <c r="AR24" t="str">
        <f>IFERROR(__xludf.DUMMYFUNCTION("""COMPUTED_VALUE"""),"Social Sciences, Humanities, Literature &amp; Arts")</f>
        <v>Social Sciences, Humanities, Literature &amp; Arts</v>
      </c>
      <c r="AS24" t="str">
        <f>IFERROR(__xludf.DUMMYFUNCTION("""COMPUTED_VALUE"""),"Other (Triple blind)")</f>
        <v>Other (Triple blind)</v>
      </c>
    </row>
    <row r="25">
      <c r="A25" s="552"/>
      <c r="B25" s="552"/>
      <c r="C25" t="str">
        <f>Filtered!I17</f>
        <v>Annals of Internal Medicine</v>
      </c>
      <c r="D25" t="str">
        <f>Filtered!J17</f>
        <v/>
      </c>
      <c r="E25" t="str">
        <f>Filtered!L17</f>
        <v>Single blind</v>
      </c>
      <c r="F25" t="b">
        <f t="shared" si="10"/>
        <v>0</v>
      </c>
      <c r="G25" t="b">
        <f t="shared" si="11"/>
        <v>0</v>
      </c>
      <c r="H25" t="b">
        <f t="shared" si="12"/>
        <v>0</v>
      </c>
      <c r="I25" t="b">
        <f t="shared" si="13"/>
        <v>0</v>
      </c>
      <c r="J25" t="b">
        <f t="shared" si="14"/>
        <v>0</v>
      </c>
      <c r="K25" t="b">
        <f t="shared" si="15"/>
        <v>0</v>
      </c>
      <c r="L25" t="b">
        <f t="shared" si="16"/>
        <v>0</v>
      </c>
      <c r="M25" t="b">
        <f t="shared" si="17"/>
        <v>0</v>
      </c>
      <c r="N25" s="535"/>
      <c r="O25" s="558" t="str">
        <f>IFERROR(__xludf.DUMMYFUNCTION("""COMPUTED_VALUE"""),"The Quarterly Journal of Economics")</f>
        <v>The Quarterly Journal of Economics</v>
      </c>
      <c r="P25" t="str">
        <f>IFERROR(__xludf.DUMMYFUNCTION("""COMPUTED_VALUE"""),"Business, Economics &amp; Management")</f>
        <v>Business, Economics &amp; Management</v>
      </c>
      <c r="Q25" t="str">
        <f>IFERROR(__xludf.DUMMYFUNCTION("""COMPUTED_VALUE"""),"Unsure")</f>
        <v>Unsure</v>
      </c>
      <c r="R25" s="535"/>
      <c r="S25" s="558" t="str">
        <f>IFERROR(__xludf.DUMMYFUNCTION("""COMPUTED_VALUE"""),"Nanoscale")</f>
        <v>Nanoscale</v>
      </c>
      <c r="T25" t="str">
        <f>IFERROR(__xludf.DUMMYFUNCTION("""COMPUTED_VALUE"""),"Chemical &amp; Materials Sciences,
Engineering &amp; Computer Science")</f>
        <v>Chemical &amp; Materials Sciences,
Engineering &amp; Computer Science</v>
      </c>
      <c r="U25" t="str">
        <f>IFERROR(__xludf.DUMMYFUNCTION("""COMPUTED_VALUE"""),"Unsure (at least single blind)")</f>
        <v>Unsure (at least single blind)</v>
      </c>
      <c r="V25" s="535"/>
      <c r="W25" s="558" t="str">
        <f>IFERROR(__xludf.DUMMYFUNCTION("""COMPUTED_VALUE"""),"Nature Materials")</f>
        <v>Nature Materials</v>
      </c>
      <c r="X25" t="str">
        <f>IFERROR(__xludf.DUMMYFUNCTION("""COMPUTED_VALUE"""),"Chemical &amp; Materials Sciences,
Engineering &amp; Computer Science")</f>
        <v>Chemical &amp; Materials Sciences,
Engineering &amp; Computer Science</v>
      </c>
      <c r="Y25"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5" s="535"/>
      <c r="AA25" s="558" t="str">
        <f>IFERROR(__xludf.DUMMYFUNCTION("""COMPUTED_VALUE"""),"Proceedings of the National Academy of Sciences")</f>
        <v>Proceedings of the National Academy of Sciences</v>
      </c>
      <c r="AB25" t="str">
        <f>IFERROR(__xludf.DUMMYFUNCTION("""COMPUTED_VALUE"""),"Health &amp; Medical Sciences,
Life Sciences &amp; Earth Sciences")</f>
        <v>Health &amp; Medical Sciences,
Life Sciences &amp; Earth Sciences</v>
      </c>
      <c r="AC25" t="str">
        <f>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D25" s="535"/>
      <c r="AE25" s="558" t="str">
        <f>IFERROR(__xludf.DUMMYFUNCTION("""COMPUTED_VALUE"""),"Synthese")</f>
        <v>Synthese</v>
      </c>
      <c r="AF25" t="str">
        <f>IFERROR(__xludf.DUMMYFUNCTION("""COMPUTED_VALUE"""),"Humanities, Literature &amp; Arts")</f>
        <v>Humanities, Literature &amp; Arts</v>
      </c>
      <c r="AG25" t="str">
        <f>IFERROR(__xludf.DUMMYFUNCTION("""COMPUTED_VALUE"""),"Double blind")</f>
        <v>Double blind</v>
      </c>
      <c r="AH25" s="535"/>
      <c r="AI25" s="558" t="str">
        <f>IFERROR(__xludf.DUMMYFUNCTION("""COMPUTED_VALUE"""),"Nucleic Acids Research")</f>
        <v>Nucleic Acids Research</v>
      </c>
      <c r="AJ25" t="str">
        <f>IFERROR(__xludf.DUMMYFUNCTION("""COMPUTED_VALUE"""),"Life Sciences &amp; Earth Sciences")</f>
        <v>Life Sciences &amp; Earth Sciences</v>
      </c>
      <c r="AK25" t="str">
        <f>IFERROR(__xludf.DUMMYFUNCTION("""COMPUTED_VALUE"""),"Unsure")</f>
        <v>Unsure</v>
      </c>
      <c r="AL25" s="535"/>
      <c r="AM25" t="str">
        <f>IFERROR(__xludf.DUMMYFUNCTION("""COMPUTED_VALUE"""),"Physics Letters B")</f>
        <v>Physics Letters B</v>
      </c>
      <c r="AN25" t="str">
        <f>IFERROR(__xludf.DUMMYFUNCTION("""COMPUTED_VALUE"""),"Physics &amp; Mathematics")</f>
        <v>Physics &amp; Mathematics</v>
      </c>
      <c r="AO25" t="str">
        <f>IFERROR(__xludf.DUMMYFUNCTION("""COMPUTED_VALUE"""),"Single blind")</f>
        <v>Single blind</v>
      </c>
      <c r="AP25" s="535"/>
      <c r="AQ25" t="str">
        <f>IFERROR(__xludf.DUMMYFUNCTION("""COMPUTED_VALUE"""),"Progress in Human Geography")</f>
        <v>Progress in Human Geography</v>
      </c>
      <c r="AR25" t="str">
        <f>IFERROR(__xludf.DUMMYFUNCTION("""COMPUTED_VALUE"""),"Social Sciences")</f>
        <v>Social Sciences</v>
      </c>
      <c r="AS25" t="str">
        <f>IFERROR(__xludf.DUMMYFUNCTION("""COMPUTED_VALUE"""),"Double blind")</f>
        <v>Double blind</v>
      </c>
    </row>
    <row r="26">
      <c r="A26" s="552"/>
      <c r="B26" s="552"/>
      <c r="C26" t="str">
        <f>Filtered!I18</f>
        <v>Annals of Oncology</v>
      </c>
      <c r="D26" t="str">
        <f>Filtered!J18</f>
        <v/>
      </c>
      <c r="E26" t="str">
        <f>Filtered!L18</f>
        <v>Unsure</v>
      </c>
      <c r="F26" t="b">
        <f t="shared" si="10"/>
        <v>0</v>
      </c>
      <c r="G26" t="b">
        <f t="shared" si="11"/>
        <v>0</v>
      </c>
      <c r="H26" t="b">
        <f t="shared" si="12"/>
        <v>0</v>
      </c>
      <c r="I26" t="b">
        <f t="shared" si="13"/>
        <v>0</v>
      </c>
      <c r="J26" t="b">
        <f t="shared" si="14"/>
        <v>0</v>
      </c>
      <c r="K26" t="b">
        <f t="shared" si="15"/>
        <v>0</v>
      </c>
      <c r="L26" t="b">
        <f t="shared" si="16"/>
        <v>0</v>
      </c>
      <c r="M26" t="b">
        <f t="shared" si="17"/>
        <v>0</v>
      </c>
      <c r="N26" s="535"/>
      <c r="O26" s="558" t="str">
        <f>IFERROR(__xludf.DUMMYFUNCTION("""COMPUTED_VALUE"""),"The Review of Economic Studies")</f>
        <v>The Review of Economic Studies</v>
      </c>
      <c r="P26" t="str">
        <f>IFERROR(__xludf.DUMMYFUNCTION("""COMPUTED_VALUE"""),"Business, Economics &amp; Management")</f>
        <v>Business, Economics &amp; Management</v>
      </c>
      <c r="Q26" t="str">
        <f>IFERROR(__xludf.DUMMYFUNCTION("""COMPUTED_VALUE"""),"Unsure")</f>
        <v>Unsure</v>
      </c>
      <c r="R26" s="535"/>
      <c r="S26" s="558" t="str">
        <f>IFERROR(__xludf.DUMMYFUNCTION("""COMPUTED_VALUE"""),"Nature Chemistry")</f>
        <v>Nature Chemistry</v>
      </c>
      <c r="T26" t="str">
        <f>IFERROR(__xludf.DUMMYFUNCTION("""COMPUTED_VALUE"""),"Chemical &amp; Materials Sciences")</f>
        <v>Chemical &amp; Materials Sciences</v>
      </c>
      <c r="U26"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6" s="535"/>
      <c r="W26" s="558" t="str">
        <f>IFERROR(__xludf.DUMMYFUNCTION("""COMPUTED_VALUE"""),"Nature Nanotechnology")</f>
        <v>Nature Nanotechnology</v>
      </c>
      <c r="X26" t="str">
        <f>IFERROR(__xludf.DUMMYFUNCTION("""COMPUTED_VALUE"""),"Chemical &amp; Materials Sciences,
Engineering &amp; Computer Science")</f>
        <v>Chemical &amp; Materials Sciences,
Engineering &amp; Computer Science</v>
      </c>
      <c r="Y26"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6" s="535"/>
      <c r="AA26" s="558" t="str">
        <f>IFERROR(__xludf.DUMMYFUNCTION("""COMPUTED_VALUE"""),"The Cochrane Database of Systematic Reviews")</f>
        <v>The Cochrane Database of Systematic Reviews</v>
      </c>
      <c r="AB26" t="str">
        <f>IFERROR(__xludf.DUMMYFUNCTION("""COMPUTED_VALUE"""),"Health &amp; Medical Sciences")</f>
        <v>Health &amp; Medical Sciences</v>
      </c>
      <c r="AC26" t="str">
        <f>IFERROR(__xludf.DUMMYFUNCTION("""COMPUTED_VALUE"""),"Not blinded")</f>
        <v>Not blinded</v>
      </c>
      <c r="AD26" s="535"/>
      <c r="AE26" s="558" t="str">
        <f>IFERROR(__xludf.DUMMYFUNCTION("""COMPUTED_VALUE"""),"System")</f>
        <v>System</v>
      </c>
      <c r="AF26" t="str">
        <f>IFERROR(__xludf.DUMMYFUNCTION("""COMPUTED_VALUE"""),"Humanities, Literature &amp; Arts")</f>
        <v>Humanities, Literature &amp; Arts</v>
      </c>
      <c r="AG26" t="str">
        <f>IFERROR(__xludf.DUMMYFUNCTION("""COMPUTED_VALUE"""),"Double blind")</f>
        <v>Double blind</v>
      </c>
      <c r="AH26" s="535"/>
      <c r="AI26" s="558" t="str">
        <f>IFERROR(__xludf.DUMMYFUNCTION("""COMPUTED_VALUE"""),"PLoS One")</f>
        <v>PLoS One</v>
      </c>
      <c r="AJ26" t="str">
        <f>IFERROR(__xludf.DUMMYFUNCTION("""COMPUTED_VALUE"""),"Health &amp; Medical Sciences,
Life Sciences &amp; Earth Sciences")</f>
        <v>Health &amp; Medical Sciences,
Life Sciences &amp; Earth Sciences</v>
      </c>
      <c r="AK26" t="str">
        <f>IFERROR(__xludf.DUMMYFUNCTION("""COMPUTED_VALUE"""),"Single blind")</f>
        <v>Single blind</v>
      </c>
      <c r="AL26" s="535"/>
      <c r="AM26" t="str">
        <f>IFERROR(__xludf.DUMMYFUNCTION("""COMPUTED_VALUE"""),"Reviews of Modern Physics")</f>
        <v>Reviews of Modern Physics</v>
      </c>
      <c r="AN26" t="str">
        <f>IFERROR(__xludf.DUMMYFUNCTION("""COMPUTED_VALUE"""),"Physics &amp; Mathematics")</f>
        <v>Physics &amp; Mathematics</v>
      </c>
      <c r="AO26" t="str">
        <f>IFERROR(__xludf.DUMMYFUNCTION("""COMPUTED_VALUE"""),"Single blind")</f>
        <v>Single blind</v>
      </c>
      <c r="AP26" s="535"/>
      <c r="AQ26" t="str">
        <f>IFERROR(__xludf.DUMMYFUNCTION("""COMPUTED_VALUE"""),"Regional Studies")</f>
        <v>Regional Studies</v>
      </c>
      <c r="AR26" t="str">
        <f>IFERROR(__xludf.DUMMYFUNCTION("""COMPUTED_VALUE"""),"Social Sciences")</f>
        <v>Social Sciences</v>
      </c>
      <c r="AS26" t="str">
        <f>IFERROR(__xludf.DUMMYFUNCTION("""COMPUTED_VALUE"""),"Double blind")</f>
        <v>Double blind</v>
      </c>
    </row>
    <row r="27">
      <c r="A27" s="552"/>
      <c r="B27" s="552"/>
      <c r="C27" t="str">
        <f>Filtered!I19</f>
        <v>Annals of the Rheumatic Diseases</v>
      </c>
      <c r="D27" t="str">
        <f>Filtered!J19</f>
        <v/>
      </c>
      <c r="E27" t="str">
        <f>Filtered!L19</f>
        <v>Single blind</v>
      </c>
      <c r="F27" t="b">
        <f t="shared" si="10"/>
        <v>0</v>
      </c>
      <c r="G27" t="b">
        <f t="shared" si="11"/>
        <v>0</v>
      </c>
      <c r="H27" t="b">
        <f t="shared" si="12"/>
        <v>0</v>
      </c>
      <c r="I27" t="b">
        <f t="shared" si="13"/>
        <v>0</v>
      </c>
      <c r="J27" t="b">
        <f t="shared" si="14"/>
        <v>0</v>
      </c>
      <c r="K27" t="b">
        <f t="shared" si="15"/>
        <v>0</v>
      </c>
      <c r="L27" t="b">
        <f t="shared" si="16"/>
        <v>0</v>
      </c>
      <c r="M27" t="b">
        <f t="shared" si="17"/>
        <v>0</v>
      </c>
      <c r="N27" s="535"/>
      <c r="O27" s="558" t="str">
        <f>IFERROR(__xludf.DUMMYFUNCTION("""COMPUTED_VALUE"""),"The Review of Financial Studies")</f>
        <v>The Review of Financial Studies</v>
      </c>
      <c r="P27" t="str">
        <f>IFERROR(__xludf.DUMMYFUNCTION("""COMPUTED_VALUE"""),"Business, Economics &amp; Management")</f>
        <v>Business, Economics &amp; Management</v>
      </c>
      <c r="Q27" t="str">
        <f>IFERROR(__xludf.DUMMYFUNCTION("""COMPUTED_VALUE"""),"Unsure")</f>
        <v>Unsure</v>
      </c>
      <c r="R27" s="535"/>
      <c r="S27" s="558" t="str">
        <f>IFERROR(__xludf.DUMMYFUNCTION("""COMPUTED_VALUE"""),"Nature Materials")</f>
        <v>Nature Materials</v>
      </c>
      <c r="T27" t="str">
        <f>IFERROR(__xludf.DUMMYFUNCTION("""COMPUTED_VALUE"""),"Chemical &amp; Materials Sciences,
Engineering &amp; Computer Science")</f>
        <v>Chemical &amp; Materials Sciences,
Engineering &amp; Computer Science</v>
      </c>
      <c r="U27"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7" s="535"/>
      <c r="W27" s="558" t="str">
        <f>IFERROR(__xludf.DUMMYFUNCTION("""COMPUTED_VALUE"""),"Nature Photonics")</f>
        <v>Nature Photonics</v>
      </c>
      <c r="X27" t="str">
        <f>IFERROR(__xludf.DUMMYFUNCTION("""COMPUTED_VALUE"""),"Engineering &amp; Computer Science,
Physics &amp; Mathematics")</f>
        <v>Engineering &amp; Computer Science,
Physics &amp; Mathematics</v>
      </c>
      <c r="Y27"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7" s="535"/>
      <c r="AA27" s="558" t="str">
        <f>IFERROR(__xludf.DUMMYFUNCTION("""COMPUTED_VALUE"""),"The Lancet")</f>
        <v>The Lancet</v>
      </c>
      <c r="AB27" t="str">
        <f>IFERROR(__xludf.DUMMYFUNCTION("""COMPUTED_VALUE"""),"Health &amp; Medical Sciences")</f>
        <v>Health &amp; Medical Sciences</v>
      </c>
      <c r="AC27" t="str">
        <f>IFERROR(__xludf.DUMMYFUNCTION("""COMPUTED_VALUE"""),"Unsure")</f>
        <v>Unsure</v>
      </c>
      <c r="AD27" s="535"/>
      <c r="AE27" s="558" t="str">
        <f>IFERROR(__xludf.DUMMYFUNCTION("""COMPUTED_VALUE"""),"TESOL Quarterly")</f>
        <v>TESOL Quarterly</v>
      </c>
      <c r="AF27" t="str">
        <f>IFERROR(__xludf.DUMMYFUNCTION("""COMPUTED_VALUE"""),"Humanities, Literature &amp; Arts")</f>
        <v>Humanities, Literature &amp; Arts</v>
      </c>
      <c r="AG27" t="str">
        <f>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AH27" s="535"/>
      <c r="AI27" s="558" t="str">
        <f>IFERROR(__xludf.DUMMYFUNCTION("""COMPUTED_VALUE"""),"Proceedings of the National Academy of Sciences")</f>
        <v>Proceedings of the National Academy of Sciences</v>
      </c>
      <c r="AJ27" t="str">
        <f>IFERROR(__xludf.DUMMYFUNCTION("""COMPUTED_VALUE"""),"Health &amp; Medical Sciences,
Life Sciences &amp; Earth Sciences")</f>
        <v>Health &amp; Medical Sciences,
Life Sciences &amp; Earth Sciences</v>
      </c>
      <c r="AK27" t="str">
        <f>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L27" s="535"/>
      <c r="AM27" t="str">
        <f>IFERROR(__xludf.DUMMYFUNCTION("""COMPUTED_VALUE"""),"The Astrophysical Journal")</f>
        <v>The Astrophysical Journal</v>
      </c>
      <c r="AN27" t="str">
        <f>IFERROR(__xludf.DUMMYFUNCTION("""COMPUTED_VALUE"""),"Physics &amp; Mathematics")</f>
        <v>Physics &amp; Mathematics</v>
      </c>
      <c r="AO27" t="str">
        <f>IFERROR(__xludf.DUMMYFUNCTION("""COMPUTED_VALUE"""),"Unsure")</f>
        <v>Unsure</v>
      </c>
      <c r="AP27" s="535"/>
      <c r="AQ27" t="str">
        <f>IFERROR(__xludf.DUMMYFUNCTION("""COMPUTED_VALUE"""),"Research Policy")</f>
        <v>Research Policy</v>
      </c>
      <c r="AR27" t="str">
        <f>IFERROR(__xludf.DUMMYFUNCTION("""COMPUTED_VALUE"""),"Social Sciences")</f>
        <v>Social Sciences</v>
      </c>
      <c r="AS27" t="str">
        <f>IFERROR(__xludf.DUMMYFUNCTION("""COMPUTED_VALUE"""),"Double blind")</f>
        <v>Double blind</v>
      </c>
    </row>
    <row r="28">
      <c r="A28" s="552"/>
      <c r="B28" s="552"/>
      <c r="C28" t="str">
        <f>Filtered!I20</f>
        <v>Annals of Tourism Research</v>
      </c>
      <c r="D28" t="str">
        <f>Filtered!J20</f>
        <v>Social Sciences</v>
      </c>
      <c r="E28" t="str">
        <f>Filtered!L20</f>
        <v>Double blind</v>
      </c>
      <c r="F28" t="b">
        <f t="shared" si="10"/>
        <v>0</v>
      </c>
      <c r="G28" t="b">
        <f t="shared" si="11"/>
        <v>0</v>
      </c>
      <c r="H28" t="b">
        <f t="shared" si="12"/>
        <v>0</v>
      </c>
      <c r="I28" t="b">
        <f t="shared" si="13"/>
        <v>0</v>
      </c>
      <c r="J28" t="b">
        <f t="shared" si="14"/>
        <v>0</v>
      </c>
      <c r="K28" t="b">
        <f t="shared" si="15"/>
        <v>0</v>
      </c>
      <c r="L28" t="b">
        <f t="shared" si="16"/>
        <v>0</v>
      </c>
      <c r="M28" t="b">
        <f t="shared" si="17"/>
        <v>1</v>
      </c>
      <c r="N28" s="535"/>
      <c r="O28" s="558" t="str">
        <f>IFERROR(__xludf.DUMMYFUNCTION("""COMPUTED_VALUE"""),"Tourism Management")</f>
        <v>Tourism Management</v>
      </c>
      <c r="P28" t="str">
        <f>IFERROR(__xludf.DUMMYFUNCTION("""COMPUTED_VALUE"""),"Business, Economics &amp; Management")</f>
        <v>Business, Economics &amp; Management</v>
      </c>
      <c r="Q28" t="str">
        <f>IFERROR(__xludf.DUMMYFUNCTION("""COMPUTED_VALUE"""),"Double blind")</f>
        <v>Double blind</v>
      </c>
      <c r="R28" s="535"/>
      <c r="S28" s="558" t="str">
        <f>IFERROR(__xludf.DUMMYFUNCTION("""COMPUTED_VALUE"""),"Nature Nanotechnology")</f>
        <v>Nature Nanotechnology</v>
      </c>
      <c r="T28" t="str">
        <f>IFERROR(__xludf.DUMMYFUNCTION("""COMPUTED_VALUE"""),"Chemical &amp; Materials Sciences,
Engineering &amp; Computer Science")</f>
        <v>Chemical &amp; Materials Sciences,
Engineering &amp; Computer Science</v>
      </c>
      <c r="U28" t="str">
        <f>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8" s="535"/>
      <c r="W28" s="558" t="str">
        <f>IFERROR(__xludf.DUMMYFUNCTION("""COMPUTED_VALUE"""),"Neural Information Processing Systems (NIPS)")</f>
        <v>Neural Information Processing Systems (NIPS)</v>
      </c>
      <c r="X28" t="str">
        <f>IFERROR(__xludf.DUMMYFUNCTION("""COMPUTED_VALUE"""),"Engineering &amp; Computer Science")</f>
        <v>Engineering &amp; Computer Science</v>
      </c>
      <c r="Y28" t="str">
        <f>IFERROR(__xludf.DUMMYFUNCTION("""COMPUTED_VALUE"""),"Double blind")</f>
        <v>Double blind</v>
      </c>
      <c r="Z28" s="535"/>
      <c r="AA28" s="558" t="str">
        <f>IFERROR(__xludf.DUMMYFUNCTION("""COMPUTED_VALUE"""),"The Lancet Oncology")</f>
        <v>The Lancet Oncology</v>
      </c>
      <c r="AB28" t="str">
        <f>IFERROR(__xludf.DUMMYFUNCTION("""COMPUTED_VALUE"""),"Health &amp; Medical Sciences")</f>
        <v>Health &amp; Medical Sciences</v>
      </c>
      <c r="AC28" t="str">
        <f>IFERROR(__xludf.DUMMYFUNCTION("""COMPUTED_VALUE"""),"Unsure")</f>
        <v>Unsure</v>
      </c>
      <c r="AD28" s="535"/>
      <c r="AE28" s="558" t="str">
        <f>IFERROR(__xludf.DUMMYFUNCTION("""COMPUTED_VALUE"""),"The China Quarterly")</f>
        <v>The China Quarterly</v>
      </c>
      <c r="AF28" t="str">
        <f>IFERROR(__xludf.DUMMYFUNCTION("""COMPUTED_VALUE"""),"Humanities, Literature &amp; Arts")</f>
        <v>Humanities, Literature &amp; Arts</v>
      </c>
      <c r="AG28" t="str">
        <f>IFERROR(__xludf.DUMMYFUNCTION("""COMPUTED_VALUE"""),"Double blind ")</f>
        <v>Double blind </v>
      </c>
      <c r="AH28" s="535"/>
      <c r="AI28" s="558" t="str">
        <f>IFERROR(__xludf.DUMMYFUNCTION("""COMPUTED_VALUE"""),"Science")</f>
        <v>Science</v>
      </c>
      <c r="AJ28" t="str">
        <f>IFERROR(__xludf.DUMMYFUNCTION("""COMPUTED_VALUE"""),"Life Sciences &amp; Earth Sciences")</f>
        <v>Life Sciences &amp; Earth Sciences</v>
      </c>
      <c r="AK28" t="str">
        <f>IFERROR(__xludf.DUMMYFUNCTION("""COMPUTED_VALUE"""),"Unsure")</f>
        <v>Unsure</v>
      </c>
      <c r="AL28" s="535"/>
      <c r="AM28" t="str">
        <f>IFERROR(__xludf.DUMMYFUNCTION("""COMPUTED_VALUE"""),"The European Physical Journal C")</f>
        <v>The European Physical Journal C</v>
      </c>
      <c r="AN28" t="str">
        <f>IFERROR(__xludf.DUMMYFUNCTION("""COMPUTED_VALUE"""),"Physics &amp; Mathematics")</f>
        <v>Physics &amp; Mathematics</v>
      </c>
      <c r="AO28" t="str">
        <f>IFERROR(__xludf.DUMMYFUNCTION("""COMPUTED_VALUE"""),"Single blind")</f>
        <v>Single blind</v>
      </c>
      <c r="AP28" s="535"/>
      <c r="AQ28" t="str">
        <f>IFERROR(__xludf.DUMMYFUNCTION("""COMPUTED_VALUE"""),"Social Science &amp; Medicine")</f>
        <v>Social Science &amp; Medicine</v>
      </c>
      <c r="AR28" t="str">
        <f>IFERROR(__xludf.DUMMYFUNCTION("""COMPUTED_VALUE"""),"Social Sciences")</f>
        <v>Social Sciences</v>
      </c>
      <c r="AS28" t="str">
        <f>IFERROR(__xludf.DUMMYFUNCTION("""COMPUTED_VALUE"""),"Double blind")</f>
        <v>Double blind</v>
      </c>
    </row>
    <row r="29">
      <c r="A29" s="552"/>
      <c r="B29" s="552"/>
      <c r="C29" t="str">
        <f>Filtered!I21</f>
        <v>Applied Energy</v>
      </c>
      <c r="D29" t="str">
        <f>Filtered!J21</f>
        <v/>
      </c>
      <c r="E29" t="str">
        <f>Filtered!L21</f>
        <v>Single blind</v>
      </c>
      <c r="F29" t="b">
        <f t="shared" si="10"/>
        <v>0</v>
      </c>
      <c r="G29" t="b">
        <f t="shared" si="11"/>
        <v>0</v>
      </c>
      <c r="H29" t="b">
        <f t="shared" si="12"/>
        <v>0</v>
      </c>
      <c r="I29" t="b">
        <f t="shared" si="13"/>
        <v>0</v>
      </c>
      <c r="J29" t="b">
        <f t="shared" si="14"/>
        <v>0</v>
      </c>
      <c r="K29" t="b">
        <f t="shared" si="15"/>
        <v>0</v>
      </c>
      <c r="L29" t="b">
        <f t="shared" si="16"/>
        <v>0</v>
      </c>
      <c r="M29" t="b">
        <f t="shared" si="17"/>
        <v>0</v>
      </c>
      <c r="N29" s="535"/>
      <c r="O29" s="558" t="str">
        <f>IFERROR(__xludf.DUMMYFUNCTION("""COMPUTED_VALUE"""),"World Development")</f>
        <v>World Development</v>
      </c>
      <c r="P29" t="str">
        <f>IFERROR(__xludf.DUMMYFUNCTION("""COMPUTED_VALUE"""),"Business, Economics &amp; Management")</f>
        <v>Business, Economics &amp; Management</v>
      </c>
      <c r="Q29" t="str">
        <f>IFERROR(__xludf.DUMMYFUNCTION("""COMPUTED_VALUE"""),"Double blind")</f>
        <v>Double blind</v>
      </c>
      <c r="R29" s="535"/>
      <c r="S29" s="558" t="str">
        <f>IFERROR(__xludf.DUMMYFUNCTION("""COMPUTED_VALUE"""),"The Journal of Physical Chemistry Letters")</f>
        <v>The Journal of Physical Chemistry Letters</v>
      </c>
      <c r="T29" t="str">
        <f>IFERROR(__xludf.DUMMYFUNCTION("""COMPUTED_VALUE"""),"Physics &amp; Mathematics, Chemical &amp; Materials Sciences")</f>
        <v>Physics &amp; Mathematics, Chemical &amp; Materials Sciences</v>
      </c>
      <c r="U29" t="str">
        <f>IFERROR(__xludf.DUMMYFUNCTION("""COMPUTED_VALUE"""),"Single blind")</f>
        <v>Single blind</v>
      </c>
      <c r="V29" s="535"/>
      <c r="W29" s="558" t="str">
        <f>IFERROR(__xludf.DUMMYFUNCTION("""COMPUTED_VALUE"""),"Renewable and Sustainable Energy Reviews")</f>
        <v>Renewable and Sustainable Energy Reviews</v>
      </c>
      <c r="X29" t="str">
        <f>IFERROR(__xludf.DUMMYFUNCTION("""COMPUTED_VALUE"""),"Engineering &amp; Computer Science")</f>
        <v>Engineering &amp; Computer Science</v>
      </c>
      <c r="Y29" t="str">
        <f>IFERROR(__xludf.DUMMYFUNCTION("""COMPUTED_VALUE"""),"Single blind")</f>
        <v>Single blind</v>
      </c>
      <c r="Z29" s="535"/>
      <c r="AA29" s="558" t="str">
        <f>IFERROR(__xludf.DUMMYFUNCTION("""COMPUTED_VALUE"""),"The New England Journal of Medicine")</f>
        <v>The New England Journal of Medicine</v>
      </c>
      <c r="AB29" t="str">
        <f>IFERROR(__xludf.DUMMYFUNCTION("""COMPUTED_VALUE"""),"Health &amp; Medical Sciences")</f>
        <v>Health &amp; Medical Sciences</v>
      </c>
      <c r="AC29" t="str">
        <f>IFERROR(__xludf.DUMMYFUNCTION("""COMPUTED_VALUE"""),"Single blind (inferred; reviewers see author identity to know COI)")</f>
        <v>Single blind (inferred; reviewers see author identity to know COI)</v>
      </c>
      <c r="AD29" s="535"/>
      <c r="AE29" s="558" t="str">
        <f>IFERROR(__xludf.DUMMYFUNCTION("""COMPUTED_VALUE"""),"The Modern Language Journal")</f>
        <v>The Modern Language Journal</v>
      </c>
      <c r="AF29" t="str">
        <f>IFERROR(__xludf.DUMMYFUNCTION("""COMPUTED_VALUE"""),"Humanities, Literature &amp; Arts")</f>
        <v>Humanities, Literature &amp; Arts</v>
      </c>
      <c r="AG29" t="str">
        <f>IFERROR(__xludf.DUMMYFUNCTION("""COMPUTED_VALUE"""),"Double blind")</f>
        <v>Double blind</v>
      </c>
      <c r="AH29" s="535"/>
      <c r="AI29" s="558" t="str">
        <f>IFERROR(__xludf.DUMMYFUNCTION("""COMPUTED_VALUE"""),"Scientific Reports")</f>
        <v>Scientific Reports</v>
      </c>
      <c r="AJ29" t="str">
        <f>IFERROR(__xludf.DUMMYFUNCTION("""COMPUTED_VALUE"""),"Life Sciences &amp; Earth Sciences")</f>
        <v>Life Sciences &amp; Earth Sciences</v>
      </c>
      <c r="AK29" t="str">
        <f>IFERROR(__xludf.DUMMYFUNCTION("""COMPUTED_VALUE"""),"Single blind")</f>
        <v>Single blind</v>
      </c>
      <c r="AL29" s="535"/>
      <c r="AM29" t="str">
        <f>IFERROR(__xludf.DUMMYFUNCTION("""COMPUTED_VALUE"""),"The Journal of Physical Chemistry Letters")</f>
        <v>The Journal of Physical Chemistry Letters</v>
      </c>
      <c r="AN29" t="str">
        <f>IFERROR(__xludf.DUMMYFUNCTION("""COMPUTED_VALUE"""),"Physics &amp; Mathematics, Chemical &amp; Materials Sciences")</f>
        <v>Physics &amp; Mathematics, Chemical &amp; Materials Sciences</v>
      </c>
      <c r="AO29" t="str">
        <f>IFERROR(__xludf.DUMMYFUNCTION("""COMPUTED_VALUE"""),"Single blind")</f>
        <v>Single blind</v>
      </c>
      <c r="AP29" s="535"/>
      <c r="AQ29" t="str">
        <f>IFERROR(__xludf.DUMMYFUNCTION("""COMPUTED_VALUE"""),"Teaching and Teacher Education")</f>
        <v>Teaching and Teacher Education</v>
      </c>
      <c r="AR29" t="str">
        <f>IFERROR(__xludf.DUMMYFUNCTION("""COMPUTED_VALUE"""),"Social Sciences")</f>
        <v>Social Sciences</v>
      </c>
      <c r="AS29" t="str">
        <f>IFERROR(__xludf.DUMMYFUNCTION("""COMPUTED_VALUE"""),"Double blind")</f>
        <v>Double blind</v>
      </c>
    </row>
    <row r="30">
      <c r="A30" s="552"/>
      <c r="B30" s="552"/>
      <c r="C30" t="str">
        <f>Filtered!I22</f>
        <v>Applied Linguistics</v>
      </c>
      <c r="D30" t="str">
        <f>Filtered!J22</f>
        <v>Humanities, Literature &amp; Arts</v>
      </c>
      <c r="E30" t="str">
        <f>Filtered!L22</f>
        <v>Double blind</v>
      </c>
      <c r="F30" t="b">
        <f t="shared" si="10"/>
        <v>0</v>
      </c>
      <c r="G30" t="b">
        <f t="shared" si="11"/>
        <v>0</v>
      </c>
      <c r="H30" t="b">
        <f t="shared" si="12"/>
        <v>0</v>
      </c>
      <c r="I30" t="b">
        <f t="shared" si="13"/>
        <v>0</v>
      </c>
      <c r="J30" t="b">
        <f t="shared" si="14"/>
        <v>1</v>
      </c>
      <c r="K30" t="b">
        <f t="shared" si="15"/>
        <v>0</v>
      </c>
      <c r="L30" t="b">
        <f t="shared" si="16"/>
        <v>0</v>
      </c>
      <c r="M30" t="b">
        <f t="shared" si="17"/>
        <v>0</v>
      </c>
      <c r="N30" s="535"/>
      <c r="O30" s="558"/>
      <c r="R30" s="535"/>
      <c r="S30" s="558"/>
      <c r="V30" s="535"/>
      <c r="W30" s="558"/>
      <c r="Z30" s="535"/>
      <c r="AA30" s="558"/>
      <c r="AD30" s="535"/>
      <c r="AE30" s="558"/>
      <c r="AH30" s="535"/>
      <c r="AI30" s="558"/>
      <c r="AL30" s="535"/>
      <c r="AP30" s="535"/>
    </row>
    <row r="31">
      <c r="A31" s="552"/>
      <c r="B31" s="552"/>
      <c r="C31" t="str">
        <f>Filtered!I23</f>
        <v>Applied Physics Letters</v>
      </c>
      <c r="D31" t="str">
        <f>Filtered!J23</f>
        <v/>
      </c>
      <c r="E31" t="str">
        <f>Filtered!L23</f>
        <v>Unsure</v>
      </c>
      <c r="F31" t="b">
        <f t="shared" si="10"/>
        <v>0</v>
      </c>
      <c r="G31" t="b">
        <f t="shared" si="11"/>
        <v>0</v>
      </c>
      <c r="H31" t="b">
        <f t="shared" si="12"/>
        <v>0</v>
      </c>
      <c r="I31" t="b">
        <f t="shared" si="13"/>
        <v>0</v>
      </c>
      <c r="J31" t="b">
        <f t="shared" si="14"/>
        <v>0</v>
      </c>
      <c r="K31" t="b">
        <f t="shared" si="15"/>
        <v>0</v>
      </c>
      <c r="L31" t="b">
        <f t="shared" si="16"/>
        <v>0</v>
      </c>
      <c r="M31" t="b">
        <f t="shared" si="17"/>
        <v>0</v>
      </c>
      <c r="N31" s="535"/>
      <c r="O31" s="558"/>
      <c r="R31" s="535"/>
      <c r="S31" s="558"/>
      <c r="V31" s="535"/>
      <c r="W31" s="558"/>
      <c r="Z31" s="535"/>
      <c r="AA31" s="558"/>
      <c r="AD31" s="535"/>
      <c r="AE31" s="558"/>
      <c r="AH31" s="535"/>
      <c r="AI31" s="558"/>
      <c r="AL31" s="535"/>
      <c r="AP31" s="535"/>
    </row>
    <row r="32">
      <c r="A32" s="552"/>
      <c r="B32" s="552"/>
      <c r="C32" t="str">
        <f>Filtered!I24</f>
        <v>Astronomy &amp; Astrophysics</v>
      </c>
      <c r="D32" t="str">
        <f>Filtered!J24</f>
        <v>Physics &amp; Mathematics</v>
      </c>
      <c r="E32" t="str">
        <f>Filtered!L24</f>
        <v>Unsure</v>
      </c>
      <c r="F32" t="b">
        <f t="shared" si="10"/>
        <v>0</v>
      </c>
      <c r="G32" t="b">
        <f t="shared" si="11"/>
        <v>0</v>
      </c>
      <c r="H32" t="b">
        <f t="shared" si="12"/>
        <v>0</v>
      </c>
      <c r="I32" t="b">
        <f t="shared" si="13"/>
        <v>0</v>
      </c>
      <c r="J32" t="b">
        <f t="shared" si="14"/>
        <v>0</v>
      </c>
      <c r="K32" t="b">
        <f t="shared" si="15"/>
        <v>0</v>
      </c>
      <c r="L32" t="b">
        <f t="shared" si="16"/>
        <v>1</v>
      </c>
      <c r="M32" t="b">
        <f t="shared" si="17"/>
        <v>0</v>
      </c>
      <c r="N32" s="535"/>
      <c r="O32" s="558"/>
      <c r="R32" s="535"/>
      <c r="S32" s="558"/>
      <c r="V32" s="535"/>
      <c r="W32" s="558"/>
      <c r="Z32" s="535"/>
      <c r="AA32" s="558"/>
      <c r="AD32" s="535"/>
      <c r="AE32" s="558"/>
      <c r="AH32" s="535"/>
      <c r="AI32" s="558"/>
      <c r="AL32" s="535"/>
      <c r="AP32" s="535"/>
    </row>
    <row r="33">
      <c r="A33" s="552"/>
      <c r="B33" s="552"/>
      <c r="C33" t="str">
        <f>Filtered!I25</f>
        <v>Biomaterials</v>
      </c>
      <c r="D33" t="str">
        <f>Filtered!J25</f>
        <v/>
      </c>
      <c r="E33" t="str">
        <f>Filtered!L25</f>
        <v>Single blind</v>
      </c>
      <c r="F33" t="b">
        <f t="shared" si="10"/>
        <v>0</v>
      </c>
      <c r="G33" t="b">
        <f t="shared" si="11"/>
        <v>0</v>
      </c>
      <c r="H33" t="b">
        <f t="shared" si="12"/>
        <v>0</v>
      </c>
      <c r="I33" t="b">
        <f t="shared" si="13"/>
        <v>0</v>
      </c>
      <c r="J33" t="b">
        <f t="shared" si="14"/>
        <v>0</v>
      </c>
      <c r="K33" t="b">
        <f t="shared" si="15"/>
        <v>0</v>
      </c>
      <c r="L33" t="b">
        <f t="shared" si="16"/>
        <v>0</v>
      </c>
      <c r="M33" t="b">
        <f t="shared" si="17"/>
        <v>0</v>
      </c>
      <c r="N33" s="535"/>
      <c r="O33" s="558"/>
      <c r="R33" s="535"/>
      <c r="S33" s="558"/>
      <c r="V33" s="535"/>
      <c r="W33" s="558"/>
      <c r="Z33" s="535"/>
      <c r="AA33" s="558"/>
      <c r="AD33" s="535"/>
      <c r="AE33" s="558"/>
      <c r="AH33" s="535"/>
      <c r="AI33" s="558"/>
      <c r="AL33" s="535"/>
      <c r="AP33" s="535"/>
    </row>
    <row r="34">
      <c r="A34" s="552"/>
      <c r="B34" s="552"/>
      <c r="C34" t="str">
        <f>Filtered!I26</f>
        <v>Blood</v>
      </c>
      <c r="D34" t="str">
        <f>Filtered!J26</f>
        <v>Health &amp; Medical Sciences</v>
      </c>
      <c r="E34" t="str">
        <f>Filtered!L26</f>
        <v>Single blind</v>
      </c>
      <c r="F34" t="b">
        <f t="shared" si="10"/>
        <v>0</v>
      </c>
      <c r="G34" t="b">
        <f t="shared" si="11"/>
        <v>0</v>
      </c>
      <c r="H34" t="b">
        <f t="shared" si="12"/>
        <v>0</v>
      </c>
      <c r="I34" t="b">
        <f t="shared" si="13"/>
        <v>1</v>
      </c>
      <c r="J34" t="b">
        <f t="shared" si="14"/>
        <v>0</v>
      </c>
      <c r="K34" t="b">
        <f t="shared" si="15"/>
        <v>0</v>
      </c>
      <c r="L34" t="b">
        <f t="shared" si="16"/>
        <v>0</v>
      </c>
      <c r="M34" t="b">
        <f t="shared" si="17"/>
        <v>0</v>
      </c>
      <c r="N34" s="535"/>
      <c r="O34" s="558"/>
      <c r="R34" s="535"/>
      <c r="S34" s="558"/>
      <c r="V34" s="535"/>
      <c r="W34" s="558"/>
      <c r="Z34" s="535"/>
      <c r="AA34" s="558"/>
      <c r="AD34" s="535"/>
      <c r="AE34" s="558"/>
      <c r="AH34" s="535"/>
      <c r="AI34" s="558"/>
      <c r="AL34" s="535"/>
      <c r="AP34" s="535"/>
    </row>
    <row r="35">
      <c r="A35" s="552"/>
      <c r="B35" s="552"/>
      <c r="C35" t="str">
        <f>Filtered!I27</f>
        <v>BMJ</v>
      </c>
      <c r="D35" t="str">
        <f>Filtered!J27</f>
        <v>Health &amp; Medical Sciences</v>
      </c>
      <c r="E35" t="str">
        <f>Filtered!L27</f>
        <v>Not blinded</v>
      </c>
      <c r="F35" t="b">
        <f t="shared" si="10"/>
        <v>0</v>
      </c>
      <c r="G35" t="b">
        <f t="shared" si="11"/>
        <v>0</v>
      </c>
      <c r="H35" t="b">
        <f t="shared" si="12"/>
        <v>0</v>
      </c>
      <c r="I35" t="b">
        <f t="shared" si="13"/>
        <v>1</v>
      </c>
      <c r="J35" t="b">
        <f t="shared" si="14"/>
        <v>0</v>
      </c>
      <c r="K35" t="b">
        <f t="shared" si="15"/>
        <v>0</v>
      </c>
      <c r="L35" t="b">
        <f t="shared" si="16"/>
        <v>0</v>
      </c>
      <c r="M35" t="b">
        <f t="shared" si="17"/>
        <v>0</v>
      </c>
      <c r="N35" s="535"/>
      <c r="O35" s="558"/>
      <c r="R35" s="535"/>
      <c r="S35" s="558"/>
      <c r="V35" s="535"/>
      <c r="W35" s="558"/>
      <c r="Z35" s="535"/>
      <c r="AA35" s="558"/>
      <c r="AD35" s="535"/>
      <c r="AE35" s="558"/>
      <c r="AH35" s="535"/>
      <c r="AI35" s="558"/>
      <c r="AL35" s="535"/>
      <c r="AP35" s="535"/>
    </row>
    <row r="36">
      <c r="A36" s="552"/>
      <c r="B36" s="552"/>
      <c r="C36" t="str">
        <f>Filtered!I28</f>
        <v>Cancer Cell</v>
      </c>
      <c r="D36" t="str">
        <f>Filtered!J28</f>
        <v/>
      </c>
      <c r="E36" t="str">
        <f>Filtered!L28</f>
        <v>Single blind</v>
      </c>
      <c r="F36" t="b">
        <f t="shared" si="10"/>
        <v>0</v>
      </c>
      <c r="G36" t="b">
        <f t="shared" si="11"/>
        <v>0</v>
      </c>
      <c r="H36" t="b">
        <f t="shared" si="12"/>
        <v>0</v>
      </c>
      <c r="I36" t="b">
        <f t="shared" si="13"/>
        <v>0</v>
      </c>
      <c r="J36" t="b">
        <f t="shared" si="14"/>
        <v>0</v>
      </c>
      <c r="K36" t="b">
        <f t="shared" si="15"/>
        <v>0</v>
      </c>
      <c r="L36" t="b">
        <f t="shared" si="16"/>
        <v>0</v>
      </c>
      <c r="M36" t="b">
        <f t="shared" si="17"/>
        <v>0</v>
      </c>
      <c r="N36" s="535"/>
      <c r="O36" s="558"/>
      <c r="R36" s="535"/>
      <c r="S36" s="558"/>
      <c r="V36" s="535"/>
      <c r="W36" s="558"/>
      <c r="Z36" s="535"/>
      <c r="AA36" s="558"/>
      <c r="AD36" s="535"/>
      <c r="AE36" s="558"/>
      <c r="AH36" s="535"/>
      <c r="AI36" s="558"/>
      <c r="AL36" s="535"/>
      <c r="AP36" s="535"/>
    </row>
    <row r="37">
      <c r="A37" s="552"/>
      <c r="B37" s="552"/>
      <c r="C37" t="str">
        <f>Filtered!I29</f>
        <v>Cancer Research</v>
      </c>
      <c r="D37" t="str">
        <f>Filtered!J29</f>
        <v/>
      </c>
      <c r="E37" t="str">
        <f>Filtered!L29</f>
        <v>Unsure</v>
      </c>
      <c r="F37" t="b">
        <f t="shared" si="10"/>
        <v>0</v>
      </c>
      <c r="G37" t="b">
        <f t="shared" si="11"/>
        <v>0</v>
      </c>
      <c r="H37" t="b">
        <f t="shared" si="12"/>
        <v>0</v>
      </c>
      <c r="I37" t="b">
        <f t="shared" si="13"/>
        <v>0</v>
      </c>
      <c r="J37" t="b">
        <f t="shared" si="14"/>
        <v>0</v>
      </c>
      <c r="K37" t="b">
        <f t="shared" si="15"/>
        <v>0</v>
      </c>
      <c r="L37" t="b">
        <f t="shared" si="16"/>
        <v>0</v>
      </c>
      <c r="M37" t="b">
        <f t="shared" si="17"/>
        <v>0</v>
      </c>
      <c r="N37" s="535"/>
      <c r="O37" s="558"/>
      <c r="R37" s="535"/>
      <c r="S37" s="558"/>
      <c r="V37" s="535"/>
      <c r="W37" s="558"/>
      <c r="Z37" s="535"/>
      <c r="AA37" s="558"/>
      <c r="AD37" s="535"/>
      <c r="AE37" s="558"/>
      <c r="AH37" s="535"/>
      <c r="AI37" s="558"/>
      <c r="AL37" s="535"/>
      <c r="AP37" s="535"/>
    </row>
    <row r="38">
      <c r="A38" s="552"/>
      <c r="B38" s="552"/>
      <c r="C38" t="str">
        <f>Filtered!I30</f>
        <v>Cell</v>
      </c>
      <c r="D38" t="str">
        <f>Filtered!J30</f>
        <v>Health &amp; Medical Sciences, Life Sciences &amp; Earth Sciences</v>
      </c>
      <c r="E38" t="str">
        <f>Filtered!L30</f>
        <v>Single blind</v>
      </c>
      <c r="F38" t="b">
        <f t="shared" si="10"/>
        <v>0</v>
      </c>
      <c r="G38" t="b">
        <f t="shared" si="11"/>
        <v>0</v>
      </c>
      <c r="H38" t="b">
        <f t="shared" si="12"/>
        <v>0</v>
      </c>
      <c r="I38" t="b">
        <f t="shared" si="13"/>
        <v>1</v>
      </c>
      <c r="J38" t="b">
        <f t="shared" si="14"/>
        <v>0</v>
      </c>
      <c r="K38" t="b">
        <f t="shared" si="15"/>
        <v>1</v>
      </c>
      <c r="L38" t="b">
        <f t="shared" si="16"/>
        <v>0</v>
      </c>
      <c r="M38" t="b">
        <f t="shared" si="17"/>
        <v>0</v>
      </c>
      <c r="N38" s="535"/>
      <c r="O38" s="558"/>
      <c r="R38" s="535"/>
      <c r="S38" s="558"/>
      <c r="V38" s="535"/>
      <c r="W38" s="558"/>
      <c r="Z38" s="535"/>
      <c r="AA38" s="558"/>
      <c r="AD38" s="535"/>
      <c r="AE38" s="558"/>
      <c r="AH38" s="535"/>
      <c r="AI38" s="558"/>
      <c r="AL38" s="535"/>
      <c r="AP38" s="535"/>
    </row>
    <row r="39">
      <c r="A39" s="552"/>
      <c r="B39" s="552"/>
      <c r="C39" t="str">
        <f>Filtered!I31</f>
        <v>Cell Metabolism</v>
      </c>
      <c r="D39" t="str">
        <f>Filtered!J31</f>
        <v>Life Sciences &amp; Earth Sciences</v>
      </c>
      <c r="E39" t="str">
        <f>Filtered!L31</f>
        <v>Single blind</v>
      </c>
      <c r="F39" t="b">
        <f t="shared" si="10"/>
        <v>0</v>
      </c>
      <c r="G39" t="b">
        <f t="shared" si="11"/>
        <v>0</v>
      </c>
      <c r="H39" t="b">
        <f t="shared" si="12"/>
        <v>0</v>
      </c>
      <c r="I39" t="b">
        <f t="shared" si="13"/>
        <v>0</v>
      </c>
      <c r="J39" t="b">
        <f t="shared" si="14"/>
        <v>0</v>
      </c>
      <c r="K39" t="b">
        <f t="shared" si="15"/>
        <v>1</v>
      </c>
      <c r="L39" t="b">
        <f t="shared" si="16"/>
        <v>0</v>
      </c>
      <c r="M39" t="b">
        <f t="shared" si="17"/>
        <v>0</v>
      </c>
      <c r="N39" s="535"/>
      <c r="O39" s="558"/>
      <c r="R39" s="535"/>
      <c r="S39" s="558"/>
      <c r="V39" s="535"/>
      <c r="W39" s="558"/>
      <c r="Z39" s="535"/>
      <c r="AA39" s="558"/>
      <c r="AD39" s="535"/>
      <c r="AE39" s="558"/>
      <c r="AH39" s="535"/>
      <c r="AI39" s="558"/>
      <c r="AL39" s="535"/>
      <c r="AP39" s="535"/>
    </row>
    <row r="40">
      <c r="A40" s="552"/>
      <c r="B40" s="552"/>
      <c r="C40" t="str">
        <f>Filtered!I32</f>
        <v>Cell Stem Cell</v>
      </c>
      <c r="D40" t="str">
        <f>Filtered!J32</f>
        <v>Life Sciences &amp; Earth Sciences</v>
      </c>
      <c r="E40" t="str">
        <f>Filtered!L32</f>
        <v>Single blind</v>
      </c>
      <c r="F40" t="b">
        <f t="shared" si="10"/>
        <v>0</v>
      </c>
      <c r="G40" t="b">
        <f t="shared" si="11"/>
        <v>0</v>
      </c>
      <c r="H40" t="b">
        <f t="shared" si="12"/>
        <v>0</v>
      </c>
      <c r="I40" t="b">
        <f t="shared" si="13"/>
        <v>0</v>
      </c>
      <c r="J40" t="b">
        <f t="shared" si="14"/>
        <v>0</v>
      </c>
      <c r="K40" t="b">
        <f t="shared" si="15"/>
        <v>1</v>
      </c>
      <c r="L40" t="b">
        <f t="shared" si="16"/>
        <v>0</v>
      </c>
      <c r="M40" t="b">
        <f t="shared" si="17"/>
        <v>0</v>
      </c>
      <c r="N40" s="535"/>
      <c r="O40" s="558"/>
      <c r="R40" s="535"/>
      <c r="S40" s="558"/>
      <c r="V40" s="535"/>
      <c r="W40" s="558"/>
      <c r="Z40" s="535"/>
      <c r="AA40" s="558"/>
      <c r="AD40" s="535"/>
      <c r="AE40" s="558"/>
      <c r="AH40" s="535"/>
      <c r="AI40" s="558"/>
      <c r="AL40" s="535"/>
      <c r="AP40" s="535"/>
    </row>
    <row r="41">
      <c r="A41" s="552"/>
      <c r="B41" s="552"/>
      <c r="C41" t="str">
        <f>Filtered!I33</f>
        <v>Chemical communications (Cambridge, England)</v>
      </c>
      <c r="D41" t="str">
        <f>Filtered!J33</f>
        <v>Chemical &amp; Materials Sciences</v>
      </c>
      <c r="E41" t="str">
        <f>Filtered!L33</f>
        <v>Single blind, Double blind (optional)</v>
      </c>
      <c r="F41" t="b">
        <f t="shared" si="10"/>
        <v>0</v>
      </c>
      <c r="G41" t="b">
        <f t="shared" si="11"/>
        <v>1</v>
      </c>
      <c r="H41" t="b">
        <f t="shared" si="12"/>
        <v>0</v>
      </c>
      <c r="I41" t="b">
        <f t="shared" si="13"/>
        <v>0</v>
      </c>
      <c r="J41" t="b">
        <f t="shared" si="14"/>
        <v>0</v>
      </c>
      <c r="K41" t="b">
        <f t="shared" si="15"/>
        <v>0</v>
      </c>
      <c r="L41" t="b">
        <f t="shared" si="16"/>
        <v>0</v>
      </c>
      <c r="M41" t="b">
        <f t="shared" si="17"/>
        <v>0</v>
      </c>
      <c r="N41" s="535"/>
      <c r="O41" s="558"/>
      <c r="R41" s="535"/>
      <c r="S41" s="558"/>
      <c r="V41" s="535"/>
      <c r="W41" s="558"/>
      <c r="Z41" s="535"/>
      <c r="AA41" s="558"/>
      <c r="AD41" s="535"/>
      <c r="AE41" s="558"/>
      <c r="AH41" s="535"/>
      <c r="AI41" s="558"/>
      <c r="AL41" s="535"/>
      <c r="AP41" s="535"/>
    </row>
    <row r="42">
      <c r="A42" s="552"/>
      <c r="B42" s="552"/>
      <c r="C42" t="str">
        <f>Filtered!I34</f>
        <v>Chemical Reviews</v>
      </c>
      <c r="D42" t="str">
        <f>Filtered!J34</f>
        <v>Chemical &amp; Materials Sciences</v>
      </c>
      <c r="E42" t="str">
        <f>Filtered!L34</f>
        <v>Unsure</v>
      </c>
      <c r="F42" t="b">
        <f t="shared" si="10"/>
        <v>0</v>
      </c>
      <c r="G42" t="b">
        <f t="shared" si="11"/>
        <v>1</v>
      </c>
      <c r="H42" t="b">
        <f t="shared" si="12"/>
        <v>0</v>
      </c>
      <c r="I42" t="b">
        <f t="shared" si="13"/>
        <v>0</v>
      </c>
      <c r="J42" t="b">
        <f t="shared" si="14"/>
        <v>0</v>
      </c>
      <c r="K42" t="b">
        <f t="shared" si="15"/>
        <v>0</v>
      </c>
      <c r="L42" t="b">
        <f t="shared" si="16"/>
        <v>0</v>
      </c>
      <c r="M42" t="b">
        <f t="shared" si="17"/>
        <v>0</v>
      </c>
      <c r="N42" s="535"/>
      <c r="O42" s="558"/>
      <c r="R42" s="535"/>
      <c r="S42" s="558"/>
      <c r="V42" s="535"/>
      <c r="W42" s="558"/>
      <c r="Z42" s="535"/>
      <c r="AA42" s="558"/>
      <c r="AD42" s="535"/>
      <c r="AE42" s="558"/>
      <c r="AH42" s="535"/>
      <c r="AI42" s="558"/>
      <c r="AL42" s="535"/>
      <c r="AP42" s="535"/>
    </row>
    <row r="43">
      <c r="A43" s="552"/>
      <c r="B43" s="552"/>
      <c r="C43" t="str">
        <f>Filtered!I35</f>
        <v>Chemical Society reviews</v>
      </c>
      <c r="D43" t="str">
        <f>Filtered!J35</f>
        <v>Chemical &amp; Materials Sciences</v>
      </c>
      <c r="E43" t="str">
        <f>Filtered!L35</f>
        <v>Unsure</v>
      </c>
      <c r="F43" t="b">
        <f t="shared" si="10"/>
        <v>0</v>
      </c>
      <c r="G43" t="b">
        <f t="shared" si="11"/>
        <v>1</v>
      </c>
      <c r="H43" t="b">
        <f t="shared" si="12"/>
        <v>0</v>
      </c>
      <c r="I43" t="b">
        <f t="shared" si="13"/>
        <v>0</v>
      </c>
      <c r="J43" t="b">
        <f t="shared" si="14"/>
        <v>0</v>
      </c>
      <c r="K43" t="b">
        <f t="shared" si="15"/>
        <v>0</v>
      </c>
      <c r="L43" t="b">
        <f t="shared" si="16"/>
        <v>0</v>
      </c>
      <c r="M43" t="b">
        <f t="shared" si="17"/>
        <v>0</v>
      </c>
      <c r="N43" s="535"/>
      <c r="O43" s="558"/>
      <c r="R43" s="535"/>
      <c r="S43" s="558"/>
      <c r="V43" s="535"/>
      <c r="W43" s="558"/>
      <c r="Z43" s="535"/>
      <c r="AA43" s="558"/>
      <c r="AD43" s="535"/>
      <c r="AE43" s="558"/>
      <c r="AH43" s="535"/>
      <c r="AI43" s="558"/>
      <c r="AL43" s="535"/>
      <c r="AP43" s="535"/>
    </row>
    <row r="44">
      <c r="A44" s="552"/>
      <c r="B44" s="552"/>
      <c r="C44" t="str">
        <f>Filtered!I36</f>
        <v>Chemistry of Materials</v>
      </c>
      <c r="D44" t="str">
        <f>Filtered!J36</f>
        <v>Chemical &amp; Materials Sciences,
Engineering &amp; Computer Science</v>
      </c>
      <c r="E44" t="str">
        <f>Filtered!L36</f>
        <v>Unsure</v>
      </c>
      <c r="F44" t="b">
        <f t="shared" si="10"/>
        <v>0</v>
      </c>
      <c r="G44" t="b">
        <f t="shared" si="11"/>
        <v>1</v>
      </c>
      <c r="H44" t="b">
        <f t="shared" si="12"/>
        <v>1</v>
      </c>
      <c r="I44" t="b">
        <f t="shared" si="13"/>
        <v>0</v>
      </c>
      <c r="J44" t="b">
        <f t="shared" si="14"/>
        <v>0</v>
      </c>
      <c r="K44" t="b">
        <f t="shared" si="15"/>
        <v>0</v>
      </c>
      <c r="L44" t="b">
        <f t="shared" si="16"/>
        <v>0</v>
      </c>
      <c r="M44" t="b">
        <f t="shared" si="17"/>
        <v>0</v>
      </c>
      <c r="N44" s="535"/>
      <c r="O44" s="558"/>
      <c r="R44" s="535"/>
      <c r="S44" s="558"/>
      <c r="V44" s="535"/>
      <c r="W44" s="558"/>
      <c r="Z44" s="535"/>
      <c r="AA44" s="558"/>
      <c r="AD44" s="535"/>
      <c r="AE44" s="558"/>
      <c r="AH44" s="535"/>
      <c r="AI44" s="558"/>
      <c r="AL44" s="535"/>
      <c r="AP44" s="535"/>
    </row>
    <row r="45">
      <c r="A45" s="552"/>
      <c r="B45" s="552"/>
      <c r="C45" t="str">
        <f>Filtered!I37</f>
        <v>Circulation</v>
      </c>
      <c r="D45" t="str">
        <f>Filtered!J37</f>
        <v>Health &amp; Medical Sciences</v>
      </c>
      <c r="E45" t="str">
        <f>Filtered!L37</f>
        <v>Single blind</v>
      </c>
      <c r="F45" t="b">
        <f t="shared" si="10"/>
        <v>0</v>
      </c>
      <c r="G45" t="b">
        <f t="shared" si="11"/>
        <v>0</v>
      </c>
      <c r="H45" t="b">
        <f t="shared" si="12"/>
        <v>0</v>
      </c>
      <c r="I45" t="b">
        <f t="shared" si="13"/>
        <v>1</v>
      </c>
      <c r="J45" t="b">
        <f t="shared" si="14"/>
        <v>0</v>
      </c>
      <c r="K45" t="b">
        <f t="shared" si="15"/>
        <v>0</v>
      </c>
      <c r="L45" t="b">
        <f t="shared" si="16"/>
        <v>0</v>
      </c>
      <c r="M45" t="b">
        <f t="shared" si="17"/>
        <v>0</v>
      </c>
      <c r="N45" s="535"/>
      <c r="O45" s="558"/>
      <c r="R45" s="535"/>
      <c r="S45" s="558"/>
      <c r="V45" s="535"/>
      <c r="W45" s="558"/>
      <c r="Z45" s="535"/>
      <c r="AA45" s="558"/>
      <c r="AD45" s="535"/>
      <c r="AE45" s="558"/>
      <c r="AH45" s="535"/>
      <c r="AI45" s="558"/>
      <c r="AL45" s="535"/>
      <c r="AP45" s="535"/>
    </row>
    <row r="46">
      <c r="A46" s="552"/>
      <c r="B46" s="552"/>
      <c r="C46" t="str">
        <f>Filtered!I38</f>
        <v>Circulation Research</v>
      </c>
      <c r="D46" t="str">
        <f>Filtered!J38</f>
        <v/>
      </c>
      <c r="E46" t="str">
        <f>Filtered!L38</f>
        <v>Single blind</v>
      </c>
      <c r="F46" t="b">
        <f t="shared" si="10"/>
        <v>0</v>
      </c>
      <c r="G46" t="b">
        <f t="shared" si="11"/>
        <v>0</v>
      </c>
      <c r="H46" t="b">
        <f t="shared" si="12"/>
        <v>0</v>
      </c>
      <c r="I46" t="b">
        <f t="shared" si="13"/>
        <v>0</v>
      </c>
      <c r="J46" t="b">
        <f t="shared" si="14"/>
        <v>0</v>
      </c>
      <c r="K46" t="b">
        <f t="shared" si="15"/>
        <v>0</v>
      </c>
      <c r="L46" t="b">
        <f t="shared" si="16"/>
        <v>0</v>
      </c>
      <c r="M46" t="b">
        <f t="shared" si="17"/>
        <v>0</v>
      </c>
      <c r="N46" s="535"/>
      <c r="O46" s="558"/>
      <c r="R46" s="535"/>
      <c r="S46" s="558"/>
      <c r="V46" s="535"/>
      <c r="W46" s="558"/>
      <c r="Z46" s="535"/>
      <c r="AA46" s="558"/>
      <c r="AD46" s="535"/>
      <c r="AE46" s="558"/>
      <c r="AH46" s="535"/>
      <c r="AI46" s="558"/>
      <c r="AL46" s="535"/>
      <c r="AP46" s="535"/>
    </row>
    <row r="47">
      <c r="A47" s="552"/>
      <c r="B47" s="552"/>
      <c r="C47" t="str">
        <f>Filtered!I39</f>
        <v>Clinical Cancer Research</v>
      </c>
      <c r="D47" t="str">
        <f>Filtered!J39</f>
        <v/>
      </c>
      <c r="E47" t="str">
        <f>Filtered!L39</f>
        <v>Unsure</v>
      </c>
      <c r="F47" t="b">
        <f t="shared" si="10"/>
        <v>0</v>
      </c>
      <c r="G47" t="b">
        <f t="shared" si="11"/>
        <v>0</v>
      </c>
      <c r="H47" t="b">
        <f t="shared" si="12"/>
        <v>0</v>
      </c>
      <c r="I47" t="b">
        <f t="shared" si="13"/>
        <v>0</v>
      </c>
      <c r="J47" t="b">
        <f t="shared" si="14"/>
        <v>0</v>
      </c>
      <c r="K47" t="b">
        <f t="shared" si="15"/>
        <v>0</v>
      </c>
      <c r="L47" t="b">
        <f t="shared" si="16"/>
        <v>0</v>
      </c>
      <c r="M47" t="b">
        <f t="shared" si="17"/>
        <v>0</v>
      </c>
      <c r="N47" s="535"/>
      <c r="O47" s="558"/>
      <c r="R47" s="535"/>
      <c r="S47" s="558"/>
      <c r="V47" s="535"/>
      <c r="W47" s="558"/>
      <c r="Z47" s="535"/>
      <c r="AA47" s="558"/>
      <c r="AD47" s="535"/>
      <c r="AE47" s="558"/>
      <c r="AH47" s="535"/>
      <c r="AI47" s="558"/>
      <c r="AL47" s="535"/>
      <c r="AP47" s="535"/>
    </row>
    <row r="48">
      <c r="A48" s="552"/>
      <c r="B48" s="552"/>
      <c r="C48" t="str">
        <f>Filtered!I40</f>
        <v>Computers &amp; Education</v>
      </c>
      <c r="D48" t="str">
        <f>Filtered!J40</f>
        <v/>
      </c>
      <c r="E48" t="str">
        <f>Filtered!L40</f>
        <v>Double blind</v>
      </c>
      <c r="F48" t="b">
        <f t="shared" si="10"/>
        <v>0</v>
      </c>
      <c r="G48" t="b">
        <f t="shared" si="11"/>
        <v>0</v>
      </c>
      <c r="H48" t="b">
        <f t="shared" si="12"/>
        <v>0</v>
      </c>
      <c r="I48" t="b">
        <f t="shared" si="13"/>
        <v>0</v>
      </c>
      <c r="J48" t="b">
        <f t="shared" si="14"/>
        <v>0</v>
      </c>
      <c r="K48" t="b">
        <f t="shared" si="15"/>
        <v>0</v>
      </c>
      <c r="L48" t="b">
        <f t="shared" si="16"/>
        <v>0</v>
      </c>
      <c r="M48" t="b">
        <f t="shared" si="17"/>
        <v>0</v>
      </c>
      <c r="N48" s="535"/>
      <c r="O48" s="558"/>
      <c r="R48" s="535"/>
      <c r="S48" s="558"/>
      <c r="V48" s="535"/>
      <c r="W48" s="558"/>
      <c r="Z48" s="535"/>
      <c r="AA48" s="558"/>
      <c r="AD48" s="535"/>
      <c r="AE48" s="558"/>
      <c r="AH48" s="535"/>
      <c r="AI48" s="558"/>
      <c r="AL48" s="535"/>
      <c r="AP48" s="535"/>
    </row>
    <row r="49">
      <c r="A49" s="552"/>
      <c r="B49" s="552"/>
      <c r="C49" t="str">
        <f>Filtered!I41</f>
        <v>Diabetes Care</v>
      </c>
      <c r="D49" t="str">
        <f>Filtered!J41</f>
        <v/>
      </c>
      <c r="E49" t="str">
        <f>Filtered!L41</f>
        <v>Single blind</v>
      </c>
      <c r="F49" t="b">
        <f t="shared" si="10"/>
        <v>0</v>
      </c>
      <c r="G49" t="b">
        <f t="shared" si="11"/>
        <v>0</v>
      </c>
      <c r="H49" t="b">
        <f t="shared" si="12"/>
        <v>0</v>
      </c>
      <c r="I49" t="b">
        <f t="shared" si="13"/>
        <v>0</v>
      </c>
      <c r="J49" t="b">
        <f t="shared" si="14"/>
        <v>0</v>
      </c>
      <c r="K49" t="b">
        <f t="shared" si="15"/>
        <v>0</v>
      </c>
      <c r="L49" t="b">
        <f t="shared" si="16"/>
        <v>0</v>
      </c>
      <c r="M49" t="b">
        <f t="shared" si="17"/>
        <v>0</v>
      </c>
      <c r="N49" s="535"/>
      <c r="O49" s="558"/>
      <c r="R49" s="535"/>
      <c r="S49" s="558"/>
      <c r="V49" s="535"/>
      <c r="W49" s="558"/>
      <c r="Z49" s="535"/>
      <c r="AA49" s="558"/>
      <c r="AD49" s="535"/>
      <c r="AE49" s="558"/>
      <c r="AH49" s="535"/>
      <c r="AI49" s="558"/>
      <c r="AL49" s="535"/>
      <c r="AP49" s="535"/>
    </row>
    <row r="50">
      <c r="A50" s="552"/>
      <c r="B50" s="552"/>
      <c r="C50" t="str">
        <f>Filtered!I42</f>
        <v>Digital Journalism</v>
      </c>
      <c r="D50" t="str">
        <f>Filtered!J42</f>
        <v>Humanities, Literature &amp; Arts</v>
      </c>
      <c r="E50" t="str">
        <f>Filtered!L42</f>
        <v>Double blind</v>
      </c>
      <c r="F50" t="b">
        <f t="shared" si="10"/>
        <v>0</v>
      </c>
      <c r="G50" t="b">
        <f t="shared" si="11"/>
        <v>0</v>
      </c>
      <c r="H50" t="b">
        <f t="shared" si="12"/>
        <v>0</v>
      </c>
      <c r="I50" t="b">
        <f t="shared" si="13"/>
        <v>0</v>
      </c>
      <c r="J50" t="b">
        <f t="shared" si="14"/>
        <v>1</v>
      </c>
      <c r="K50" t="b">
        <f t="shared" si="15"/>
        <v>0</v>
      </c>
      <c r="L50" t="b">
        <f t="shared" si="16"/>
        <v>0</v>
      </c>
      <c r="M50" t="b">
        <f t="shared" si="17"/>
        <v>0</v>
      </c>
      <c r="N50" s="535"/>
      <c r="O50" s="558"/>
      <c r="R50" s="535"/>
      <c r="S50" s="558"/>
      <c r="V50" s="535"/>
      <c r="W50" s="558"/>
      <c r="Z50" s="535"/>
      <c r="AA50" s="558"/>
      <c r="AD50" s="535"/>
      <c r="AE50" s="558"/>
      <c r="AH50" s="535"/>
      <c r="AI50" s="558"/>
      <c r="AL50" s="535"/>
      <c r="AP50" s="535"/>
    </row>
    <row r="51">
      <c r="A51" s="552"/>
      <c r="B51" s="552"/>
      <c r="C51" t="str">
        <f>Filtered!I43</f>
        <v>Econometrica</v>
      </c>
      <c r="D51" t="str">
        <f>Filtered!J43</f>
        <v>Business, Economics &amp; Management</v>
      </c>
      <c r="E51" t="str">
        <f>Filtered!L43</f>
        <v>Unsure</v>
      </c>
      <c r="F51" t="b">
        <f t="shared" si="10"/>
        <v>1</v>
      </c>
      <c r="G51" t="b">
        <f t="shared" si="11"/>
        <v>0</v>
      </c>
      <c r="H51" t="b">
        <f t="shared" si="12"/>
        <v>0</v>
      </c>
      <c r="I51" t="b">
        <f t="shared" si="13"/>
        <v>0</v>
      </c>
      <c r="J51" t="b">
        <f t="shared" si="14"/>
        <v>0</v>
      </c>
      <c r="K51" t="b">
        <f t="shared" si="15"/>
        <v>0</v>
      </c>
      <c r="L51" t="b">
        <f t="shared" si="16"/>
        <v>0</v>
      </c>
      <c r="M51" t="b">
        <f t="shared" si="17"/>
        <v>0</v>
      </c>
      <c r="N51" s="535"/>
      <c r="O51" s="558"/>
      <c r="R51" s="535"/>
      <c r="S51" s="558"/>
      <c r="V51" s="535"/>
      <c r="W51" s="558"/>
      <c r="Z51" s="535"/>
      <c r="AA51" s="558"/>
      <c r="AD51" s="535"/>
      <c r="AE51" s="558"/>
      <c r="AH51" s="535"/>
      <c r="AI51" s="558"/>
      <c r="AL51" s="535"/>
      <c r="AP51" s="535"/>
    </row>
    <row r="52">
      <c r="A52" s="552"/>
      <c r="B52" s="552"/>
      <c r="C52" t="str">
        <f>Filtered!I44</f>
        <v>Energy and Environmental Science</v>
      </c>
      <c r="D52" t="str">
        <f>Filtered!J44</f>
        <v>Chemical &amp; Materials Sciences, Engineering &amp; Computer Science</v>
      </c>
      <c r="E52" t="str">
        <f>Filtered!L44</f>
        <v>Single blind</v>
      </c>
      <c r="F52" t="b">
        <f t="shared" si="10"/>
        <v>0</v>
      </c>
      <c r="G52" t="b">
        <f t="shared" si="11"/>
        <v>1</v>
      </c>
      <c r="H52" t="b">
        <f t="shared" si="12"/>
        <v>1</v>
      </c>
      <c r="I52" t="b">
        <f t="shared" si="13"/>
        <v>0</v>
      </c>
      <c r="J52" t="b">
        <f t="shared" si="14"/>
        <v>0</v>
      </c>
      <c r="K52" t="b">
        <f t="shared" si="15"/>
        <v>0</v>
      </c>
      <c r="L52" t="b">
        <f t="shared" si="16"/>
        <v>0</v>
      </c>
      <c r="M52" t="b">
        <f t="shared" si="17"/>
        <v>0</v>
      </c>
      <c r="N52" s="535"/>
      <c r="O52" s="558"/>
      <c r="R52" s="535"/>
      <c r="S52" s="558"/>
      <c r="V52" s="535"/>
      <c r="W52" s="558"/>
      <c r="Z52" s="535"/>
      <c r="AA52" s="558"/>
      <c r="AD52" s="535"/>
      <c r="AE52" s="558"/>
      <c r="AH52" s="535"/>
      <c r="AI52" s="558"/>
      <c r="AL52" s="535"/>
      <c r="AP52" s="535"/>
    </row>
    <row r="53">
      <c r="A53" s="552"/>
      <c r="B53" s="552"/>
      <c r="C53" t="str">
        <f>Filtered!I45</f>
        <v>Environmental Science &amp; Technology</v>
      </c>
      <c r="D53" t="str">
        <f>Filtered!J45</f>
        <v>Life Sciences &amp; Earth Sciences</v>
      </c>
      <c r="E53" t="str">
        <f>Filtered!L45</f>
        <v>Unsure</v>
      </c>
      <c r="F53" t="b">
        <f t="shared" si="10"/>
        <v>0</v>
      </c>
      <c r="G53" t="b">
        <f t="shared" si="11"/>
        <v>0</v>
      </c>
      <c r="H53" t="b">
        <f t="shared" si="12"/>
        <v>0</v>
      </c>
      <c r="I53" t="b">
        <f t="shared" si="13"/>
        <v>0</v>
      </c>
      <c r="J53" t="b">
        <f t="shared" si="14"/>
        <v>0</v>
      </c>
      <c r="K53" t="b">
        <f t="shared" si="15"/>
        <v>1</v>
      </c>
      <c r="L53" t="b">
        <f t="shared" si="16"/>
        <v>0</v>
      </c>
      <c r="M53" t="b">
        <f t="shared" si="17"/>
        <v>0</v>
      </c>
      <c r="N53" s="535"/>
      <c r="O53" s="558"/>
      <c r="R53" s="535"/>
      <c r="S53" s="558"/>
      <c r="V53" s="535"/>
      <c r="W53" s="558"/>
      <c r="Z53" s="535"/>
      <c r="AA53" s="558"/>
      <c r="AD53" s="535"/>
      <c r="AE53" s="558"/>
      <c r="AH53" s="535"/>
      <c r="AI53" s="558"/>
      <c r="AL53" s="535"/>
      <c r="AP53" s="535"/>
    </row>
    <row r="54">
      <c r="A54" s="552"/>
      <c r="B54" s="552"/>
      <c r="C54" t="str">
        <f>Filtered!I46</f>
        <v>European Heart Journal</v>
      </c>
      <c r="D54" t="str">
        <f>Filtered!J46</f>
        <v>Health &amp; Medical Sciences</v>
      </c>
      <c r="E54" t="str">
        <f>Filtered!L46</f>
        <v>Unsure</v>
      </c>
      <c r="F54" t="b">
        <f t="shared" si="10"/>
        <v>0</v>
      </c>
      <c r="G54" t="b">
        <f t="shared" si="11"/>
        <v>0</v>
      </c>
      <c r="H54" t="b">
        <f t="shared" si="12"/>
        <v>0</v>
      </c>
      <c r="I54" t="b">
        <f t="shared" si="13"/>
        <v>1</v>
      </c>
      <c r="J54" t="b">
        <f t="shared" si="14"/>
        <v>0</v>
      </c>
      <c r="K54" t="b">
        <f t="shared" si="15"/>
        <v>0</v>
      </c>
      <c r="L54" t="b">
        <f t="shared" si="16"/>
        <v>0</v>
      </c>
      <c r="M54" t="b">
        <f t="shared" si="17"/>
        <v>0</v>
      </c>
      <c r="N54" s="535"/>
      <c r="O54" s="558"/>
      <c r="R54" s="535"/>
      <c r="S54" s="558"/>
      <c r="V54" s="535"/>
      <c r="W54" s="558"/>
      <c r="Z54" s="535"/>
      <c r="AA54" s="558"/>
      <c r="AD54" s="535"/>
      <c r="AE54" s="558"/>
      <c r="AH54" s="535"/>
      <c r="AI54" s="558"/>
      <c r="AL54" s="535"/>
      <c r="AP54" s="535"/>
    </row>
    <row r="55">
      <c r="A55" s="552"/>
      <c r="B55" s="552"/>
      <c r="C55" t="str">
        <f>Filtered!I47</f>
        <v>European Urology</v>
      </c>
      <c r="D55" t="str">
        <f>Filtered!J47</f>
        <v/>
      </c>
      <c r="E55" t="str">
        <f>Filtered!L47</f>
        <v>Single blind</v>
      </c>
      <c r="F55" t="b">
        <f t="shared" si="10"/>
        <v>0</v>
      </c>
      <c r="G55" t="b">
        <f t="shared" si="11"/>
        <v>0</v>
      </c>
      <c r="H55" t="b">
        <f t="shared" si="12"/>
        <v>0</v>
      </c>
      <c r="I55" t="b">
        <f t="shared" si="13"/>
        <v>0</v>
      </c>
      <c r="J55" t="b">
        <f t="shared" si="14"/>
        <v>0</v>
      </c>
      <c r="K55" t="b">
        <f t="shared" si="15"/>
        <v>0</v>
      </c>
      <c r="L55" t="b">
        <f t="shared" si="16"/>
        <v>0</v>
      </c>
      <c r="M55" t="b">
        <f t="shared" si="17"/>
        <v>0</v>
      </c>
      <c r="N55" s="535"/>
      <c r="O55" s="558"/>
      <c r="R55" s="535"/>
      <c r="S55" s="558"/>
      <c r="V55" s="535"/>
      <c r="W55" s="558"/>
      <c r="Z55" s="535"/>
      <c r="AA55" s="558"/>
      <c r="AD55" s="535"/>
      <c r="AE55" s="558"/>
      <c r="AH55" s="535"/>
      <c r="AI55" s="558"/>
      <c r="AL55" s="535"/>
      <c r="AP55" s="535"/>
    </row>
    <row r="56">
      <c r="A56" s="552"/>
      <c r="B56" s="552"/>
      <c r="C56" t="str">
        <f>Filtered!I48</f>
        <v>Gastroenterology</v>
      </c>
      <c r="D56" t="str">
        <f>Filtered!J48</f>
        <v>Health &amp; Medical Sciences</v>
      </c>
      <c r="E56" t="str">
        <f>Filtered!L48</f>
        <v>Single blind</v>
      </c>
      <c r="F56" t="b">
        <f t="shared" si="10"/>
        <v>0</v>
      </c>
      <c r="G56" t="b">
        <f t="shared" si="11"/>
        <v>0</v>
      </c>
      <c r="H56" t="b">
        <f t="shared" si="12"/>
        <v>0</v>
      </c>
      <c r="I56" t="b">
        <f t="shared" si="13"/>
        <v>1</v>
      </c>
      <c r="J56" t="b">
        <f t="shared" si="14"/>
        <v>0</v>
      </c>
      <c r="K56" t="b">
        <f t="shared" si="15"/>
        <v>0</v>
      </c>
      <c r="L56" t="b">
        <f t="shared" si="16"/>
        <v>0</v>
      </c>
      <c r="M56" t="b">
        <f t="shared" si="17"/>
        <v>0</v>
      </c>
      <c r="N56" s="535"/>
      <c r="O56" s="558"/>
      <c r="R56" s="535"/>
      <c r="S56" s="558"/>
      <c r="V56" s="535"/>
      <c r="W56" s="558"/>
      <c r="Z56" s="535"/>
      <c r="AA56" s="558"/>
      <c r="AD56" s="535"/>
      <c r="AE56" s="558"/>
      <c r="AH56" s="535"/>
      <c r="AI56" s="558"/>
      <c r="AL56" s="535"/>
      <c r="AP56" s="535"/>
    </row>
    <row r="57">
      <c r="A57" s="552"/>
      <c r="B57" s="552"/>
      <c r="C57" t="str">
        <f>Filtered!I49</f>
        <v>Gender &amp; Society</v>
      </c>
      <c r="D57" t="str">
        <f>Filtered!J49</f>
        <v>Humanities, Literature &amp; Arts</v>
      </c>
      <c r="E57" t="str">
        <f>Filtered!L49</f>
        <v>Double blind</v>
      </c>
      <c r="F57" t="b">
        <f t="shared" si="10"/>
        <v>0</v>
      </c>
      <c r="G57" t="b">
        <f t="shared" si="11"/>
        <v>0</v>
      </c>
      <c r="H57" t="b">
        <f t="shared" si="12"/>
        <v>0</v>
      </c>
      <c r="I57" t="b">
        <f t="shared" si="13"/>
        <v>0</v>
      </c>
      <c r="J57" t="b">
        <f t="shared" si="14"/>
        <v>1</v>
      </c>
      <c r="K57" t="b">
        <f t="shared" si="15"/>
        <v>0</v>
      </c>
      <c r="L57" t="b">
        <f t="shared" si="16"/>
        <v>0</v>
      </c>
      <c r="M57" t="b">
        <f t="shared" si="17"/>
        <v>0</v>
      </c>
      <c r="N57" s="535"/>
      <c r="O57" s="558"/>
      <c r="R57" s="535"/>
      <c r="S57" s="558"/>
      <c r="V57" s="535"/>
      <c r="W57" s="558"/>
      <c r="Z57" s="535"/>
      <c r="AA57" s="558"/>
      <c r="AD57" s="535"/>
      <c r="AE57" s="558"/>
      <c r="AH57" s="535"/>
      <c r="AI57" s="558"/>
      <c r="AL57" s="535"/>
      <c r="AP57" s="535"/>
    </row>
    <row r="58">
      <c r="A58" s="552"/>
      <c r="B58" s="552"/>
      <c r="C58" t="str">
        <f>Filtered!I50</f>
        <v>Geophysical Research Letters</v>
      </c>
      <c r="D58" t="str">
        <f>Filtered!J50</f>
        <v>Physics &amp; Mathematics</v>
      </c>
      <c r="E58" t="str">
        <f>Filtered!L50</f>
        <v>Unsure</v>
      </c>
      <c r="F58" t="b">
        <f t="shared" si="10"/>
        <v>0</v>
      </c>
      <c r="G58" t="b">
        <f t="shared" si="11"/>
        <v>0</v>
      </c>
      <c r="H58" t="b">
        <f t="shared" si="12"/>
        <v>0</v>
      </c>
      <c r="I58" t="b">
        <f t="shared" si="13"/>
        <v>0</v>
      </c>
      <c r="J58" t="b">
        <f t="shared" si="14"/>
        <v>0</v>
      </c>
      <c r="K58" t="b">
        <f t="shared" si="15"/>
        <v>0</v>
      </c>
      <c r="L58" t="b">
        <f t="shared" si="16"/>
        <v>1</v>
      </c>
      <c r="M58" t="b">
        <f t="shared" si="17"/>
        <v>0</v>
      </c>
      <c r="N58" s="535"/>
      <c r="O58" s="558"/>
      <c r="R58" s="535"/>
      <c r="S58" s="558"/>
      <c r="V58" s="535"/>
      <c r="W58" s="558"/>
      <c r="Z58" s="535"/>
      <c r="AA58" s="558"/>
      <c r="AD58" s="535"/>
      <c r="AE58" s="558"/>
      <c r="AH58" s="535"/>
      <c r="AI58" s="558"/>
      <c r="AL58" s="535"/>
      <c r="AP58" s="535"/>
    </row>
    <row r="59">
      <c r="A59" s="552"/>
      <c r="B59" s="552"/>
      <c r="C59" t="str">
        <f>Filtered!I51</f>
        <v>Global Environmental Change</v>
      </c>
      <c r="D59" t="str">
        <f>Filtered!J51</f>
        <v>Social Sciences</v>
      </c>
      <c r="E59" t="str">
        <f>Filtered!L51</f>
        <v>Double blind</v>
      </c>
      <c r="F59" t="b">
        <f t="shared" si="10"/>
        <v>0</v>
      </c>
      <c r="G59" t="b">
        <f t="shared" si="11"/>
        <v>0</v>
      </c>
      <c r="H59" t="b">
        <f t="shared" si="12"/>
        <v>0</v>
      </c>
      <c r="I59" t="b">
        <f t="shared" si="13"/>
        <v>0</v>
      </c>
      <c r="J59" t="b">
        <f t="shared" si="14"/>
        <v>0</v>
      </c>
      <c r="K59" t="b">
        <f t="shared" si="15"/>
        <v>0</v>
      </c>
      <c r="L59" t="b">
        <f t="shared" si="16"/>
        <v>0</v>
      </c>
      <c r="M59" t="b">
        <f t="shared" si="17"/>
        <v>1</v>
      </c>
      <c r="N59" s="535"/>
      <c r="O59" s="558"/>
      <c r="R59" s="535"/>
      <c r="S59" s="558"/>
      <c r="V59" s="535"/>
      <c r="W59" s="558"/>
      <c r="Z59" s="535"/>
      <c r="AA59" s="558"/>
      <c r="AD59" s="535"/>
      <c r="AE59" s="558"/>
      <c r="AH59" s="535"/>
      <c r="AI59" s="558"/>
      <c r="AL59" s="535"/>
      <c r="AP59" s="535"/>
    </row>
    <row r="60">
      <c r="A60" s="552"/>
      <c r="B60" s="552"/>
      <c r="C60" t="str">
        <f>Filtered!I52</f>
        <v>Government Information Quarterly</v>
      </c>
      <c r="D60" t="str">
        <f>Filtered!J52</f>
        <v>Social Sciences</v>
      </c>
      <c r="E60" t="str">
        <f>Filtered!L52</f>
        <v>Other (apppears to offer choice of single blind or double blind)</v>
      </c>
      <c r="F60" t="b">
        <f t="shared" si="10"/>
        <v>0</v>
      </c>
      <c r="G60" t="b">
        <f t="shared" si="11"/>
        <v>0</v>
      </c>
      <c r="H60" t="b">
        <f t="shared" si="12"/>
        <v>0</v>
      </c>
      <c r="I60" t="b">
        <f t="shared" si="13"/>
        <v>0</v>
      </c>
      <c r="J60" t="b">
        <f t="shared" si="14"/>
        <v>0</v>
      </c>
      <c r="K60" t="b">
        <f t="shared" si="15"/>
        <v>0</v>
      </c>
      <c r="L60" t="b">
        <f t="shared" si="16"/>
        <v>0</v>
      </c>
      <c r="M60" t="b">
        <f t="shared" si="17"/>
        <v>1</v>
      </c>
      <c r="N60" s="535"/>
      <c r="O60" s="558"/>
      <c r="R60" s="535"/>
      <c r="S60" s="558"/>
      <c r="V60" s="535"/>
      <c r="W60" s="558"/>
      <c r="Z60" s="535"/>
      <c r="AA60" s="558"/>
      <c r="AD60" s="535"/>
      <c r="AE60" s="558"/>
      <c r="AH60" s="535"/>
      <c r="AI60" s="558"/>
      <c r="AL60" s="535"/>
      <c r="AP60" s="535"/>
    </row>
    <row r="61">
      <c r="A61" s="552"/>
      <c r="B61" s="552"/>
      <c r="C61" t="str">
        <f>Filtered!I53</f>
        <v>Gut</v>
      </c>
      <c r="D61" t="str">
        <f>Filtered!J53</f>
        <v/>
      </c>
      <c r="E61" t="str">
        <f>Filtered!L53</f>
        <v>Single Blind</v>
      </c>
      <c r="F61" t="b">
        <f t="shared" si="10"/>
        <v>0</v>
      </c>
      <c r="G61" t="b">
        <f t="shared" si="11"/>
        <v>0</v>
      </c>
      <c r="H61" t="b">
        <f t="shared" si="12"/>
        <v>0</v>
      </c>
      <c r="I61" t="b">
        <f t="shared" si="13"/>
        <v>0</v>
      </c>
      <c r="J61" t="b">
        <f t="shared" si="14"/>
        <v>0</v>
      </c>
      <c r="K61" t="b">
        <f t="shared" si="15"/>
        <v>0</v>
      </c>
      <c r="L61" t="b">
        <f t="shared" si="16"/>
        <v>0</v>
      </c>
      <c r="M61" t="b">
        <f t="shared" si="17"/>
        <v>0</v>
      </c>
      <c r="N61" s="535"/>
      <c r="O61" s="558"/>
      <c r="R61" s="535"/>
      <c r="S61" s="558"/>
      <c r="V61" s="535"/>
      <c r="W61" s="558"/>
      <c r="Z61" s="535"/>
      <c r="AA61" s="558"/>
      <c r="AD61" s="535"/>
      <c r="AE61" s="558"/>
      <c r="AH61" s="535"/>
      <c r="AI61" s="558"/>
      <c r="AL61" s="535"/>
      <c r="AP61" s="535"/>
    </row>
    <row r="62">
      <c r="A62" s="552"/>
      <c r="B62" s="552"/>
      <c r="C62" t="str">
        <f>Filtered!I54</f>
        <v>Health Affairs</v>
      </c>
      <c r="D62" t="str">
        <f>Filtered!J54</f>
        <v>Social Sciences</v>
      </c>
      <c r="E62" t="str">
        <f>Filtered!L54</f>
        <v>Double blind</v>
      </c>
      <c r="F62" t="b">
        <f t="shared" si="10"/>
        <v>0</v>
      </c>
      <c r="G62" t="b">
        <f t="shared" si="11"/>
        <v>0</v>
      </c>
      <c r="H62" t="b">
        <f t="shared" si="12"/>
        <v>0</v>
      </c>
      <c r="I62" t="b">
        <f t="shared" si="13"/>
        <v>0</v>
      </c>
      <c r="J62" t="b">
        <f t="shared" si="14"/>
        <v>0</v>
      </c>
      <c r="K62" t="b">
        <f t="shared" si="15"/>
        <v>0</v>
      </c>
      <c r="L62" t="b">
        <f t="shared" si="16"/>
        <v>0</v>
      </c>
      <c r="M62" t="b">
        <f t="shared" si="17"/>
        <v>1</v>
      </c>
      <c r="N62" s="535"/>
      <c r="O62" s="558"/>
      <c r="R62" s="535"/>
      <c r="S62" s="558"/>
      <c r="V62" s="535"/>
      <c r="W62" s="558"/>
      <c r="Z62" s="535"/>
      <c r="AA62" s="558"/>
      <c r="AD62" s="535"/>
      <c r="AE62" s="558"/>
      <c r="AH62" s="535"/>
      <c r="AI62" s="558"/>
      <c r="AL62" s="535"/>
      <c r="AP62" s="535"/>
    </row>
    <row r="63">
      <c r="A63" s="552"/>
      <c r="B63" s="552"/>
      <c r="C63" t="str">
        <f>Filtered!I55</f>
        <v>Hepatology</v>
      </c>
      <c r="D63" t="str">
        <f>Filtered!J55</f>
        <v/>
      </c>
      <c r="E63" t="str">
        <f>Filtered!L55</f>
        <v>Unsure</v>
      </c>
      <c r="F63" t="b">
        <f t="shared" si="10"/>
        <v>0</v>
      </c>
      <c r="G63" t="b">
        <f t="shared" si="11"/>
        <v>0</v>
      </c>
      <c r="H63" t="b">
        <f t="shared" si="12"/>
        <v>0</v>
      </c>
      <c r="I63" t="b">
        <f t="shared" si="13"/>
        <v>0</v>
      </c>
      <c r="J63" t="b">
        <f t="shared" si="14"/>
        <v>0</v>
      </c>
      <c r="K63" t="b">
        <f t="shared" si="15"/>
        <v>0</v>
      </c>
      <c r="L63" t="b">
        <f t="shared" si="16"/>
        <v>0</v>
      </c>
      <c r="M63" t="b">
        <f t="shared" si="17"/>
        <v>0</v>
      </c>
      <c r="N63" s="535"/>
      <c r="O63" s="558"/>
      <c r="R63" s="535"/>
      <c r="S63" s="558"/>
      <c r="V63" s="535"/>
      <c r="W63" s="558"/>
      <c r="Z63" s="535"/>
      <c r="AA63" s="558"/>
      <c r="AD63" s="535"/>
      <c r="AE63" s="558"/>
      <c r="AH63" s="535"/>
      <c r="AI63" s="558"/>
      <c r="AL63" s="535"/>
      <c r="AP63" s="535"/>
    </row>
    <row r="64">
      <c r="A64" s="552"/>
      <c r="B64" s="552"/>
      <c r="C64" t="str">
        <f>Filtered!I56</f>
        <v>IEEE Communications Magazine</v>
      </c>
      <c r="D64" t="str">
        <f>Filtered!J56</f>
        <v/>
      </c>
      <c r="E64" t="str">
        <f>Filtered!L56</f>
        <v>Unsure</v>
      </c>
      <c r="F64" t="b">
        <f t="shared" si="10"/>
        <v>0</v>
      </c>
      <c r="G64" t="b">
        <f t="shared" si="11"/>
        <v>0</v>
      </c>
      <c r="H64" t="b">
        <f t="shared" si="12"/>
        <v>0</v>
      </c>
      <c r="I64" t="b">
        <f t="shared" si="13"/>
        <v>0</v>
      </c>
      <c r="J64" t="b">
        <f t="shared" si="14"/>
        <v>0</v>
      </c>
      <c r="K64" t="b">
        <f t="shared" si="15"/>
        <v>0</v>
      </c>
      <c r="L64" t="b">
        <f t="shared" si="16"/>
        <v>0</v>
      </c>
      <c r="M64" t="b">
        <f t="shared" si="17"/>
        <v>0</v>
      </c>
      <c r="N64" s="535"/>
      <c r="O64" s="558"/>
      <c r="R64" s="535"/>
      <c r="S64" s="558"/>
      <c r="V64" s="535"/>
      <c r="W64" s="558"/>
      <c r="Z64" s="535"/>
      <c r="AA64" s="558"/>
      <c r="AD64" s="535"/>
      <c r="AE64" s="558"/>
      <c r="AH64" s="535"/>
      <c r="AI64" s="558"/>
      <c r="AL64" s="535"/>
      <c r="AP64" s="535"/>
    </row>
    <row r="65">
      <c r="A65" s="552"/>
      <c r="B65" s="552"/>
      <c r="C65" t="str">
        <f>Filtered!I57</f>
        <v>IEEE Communications Surveys &amp; Tutorials</v>
      </c>
      <c r="D65" t="str">
        <f>Filtered!J57</f>
        <v>Engineering &amp; Computer Science</v>
      </c>
      <c r="E65" t="str">
        <f>Filtered!L57</f>
        <v>Unsure</v>
      </c>
      <c r="F65" t="b">
        <f t="shared" si="10"/>
        <v>0</v>
      </c>
      <c r="G65" t="b">
        <f t="shared" si="11"/>
        <v>0</v>
      </c>
      <c r="H65" t="b">
        <f t="shared" si="12"/>
        <v>1</v>
      </c>
      <c r="I65" t="b">
        <f t="shared" si="13"/>
        <v>0</v>
      </c>
      <c r="J65" t="b">
        <f t="shared" si="14"/>
        <v>0</v>
      </c>
      <c r="K65" t="b">
        <f t="shared" si="15"/>
        <v>0</v>
      </c>
      <c r="L65" t="b">
        <f t="shared" si="16"/>
        <v>0</v>
      </c>
      <c r="M65" t="b">
        <f t="shared" si="17"/>
        <v>0</v>
      </c>
      <c r="N65" s="535"/>
      <c r="O65" s="558"/>
      <c r="R65" s="535"/>
      <c r="S65" s="558"/>
      <c r="V65" s="535"/>
      <c r="W65" s="558"/>
      <c r="Z65" s="535"/>
      <c r="AA65" s="558"/>
      <c r="AD65" s="535"/>
      <c r="AE65" s="558"/>
      <c r="AH65" s="535"/>
      <c r="AI65" s="558"/>
      <c r="AL65" s="535"/>
      <c r="AP65" s="535"/>
    </row>
    <row r="66">
      <c r="A66" s="552"/>
      <c r="B66" s="552"/>
      <c r="C66" t="str">
        <f>Filtered!I58</f>
        <v>IEEE Conference on Computer Vision and Pattern Recognition, CVPR</v>
      </c>
      <c r="D66" t="str">
        <f>Filtered!J58</f>
        <v>Engineering &amp; Computer Science</v>
      </c>
      <c r="E66" t="str">
        <f>Filtered!L58</f>
        <v>Double blind</v>
      </c>
      <c r="F66" t="b">
        <f t="shared" si="10"/>
        <v>0</v>
      </c>
      <c r="G66" t="b">
        <f t="shared" si="11"/>
        <v>0</v>
      </c>
      <c r="H66" t="b">
        <f t="shared" si="12"/>
        <v>1</v>
      </c>
      <c r="I66" t="b">
        <f t="shared" si="13"/>
        <v>0</v>
      </c>
      <c r="J66" t="b">
        <f t="shared" si="14"/>
        <v>0</v>
      </c>
      <c r="K66" t="b">
        <f t="shared" si="15"/>
        <v>0</v>
      </c>
      <c r="L66" t="b">
        <f t="shared" si="16"/>
        <v>0</v>
      </c>
      <c r="M66" t="b">
        <f t="shared" si="17"/>
        <v>0</v>
      </c>
      <c r="N66" s="535"/>
      <c r="O66" s="558"/>
      <c r="R66" s="535"/>
      <c r="S66" s="558"/>
      <c r="V66" s="535"/>
      <c r="W66" s="558"/>
      <c r="Z66" s="535"/>
      <c r="AA66" s="558"/>
      <c r="AD66" s="535"/>
      <c r="AE66" s="558"/>
      <c r="AH66" s="535"/>
      <c r="AI66" s="558"/>
      <c r="AL66" s="535"/>
      <c r="AP66" s="535"/>
    </row>
    <row r="67">
      <c r="A67" s="552"/>
      <c r="B67" s="552"/>
      <c r="C67" t="str">
        <f>Filtered!I59</f>
        <v>IEEE International Conference on Computer Vision</v>
      </c>
      <c r="D67" t="str">
        <f>Filtered!J59</f>
        <v>Engineering &amp; Computer Science</v>
      </c>
      <c r="E67" t="str">
        <f>Filtered!L59</f>
        <v>Double blind</v>
      </c>
      <c r="F67" t="b">
        <f t="shared" si="10"/>
        <v>0</v>
      </c>
      <c r="G67" t="b">
        <f t="shared" si="11"/>
        <v>0</v>
      </c>
      <c r="H67" t="b">
        <f t="shared" si="12"/>
        <v>1</v>
      </c>
      <c r="I67" t="b">
        <f t="shared" si="13"/>
        <v>0</v>
      </c>
      <c r="J67" t="b">
        <f t="shared" si="14"/>
        <v>0</v>
      </c>
      <c r="K67" t="b">
        <f t="shared" si="15"/>
        <v>0</v>
      </c>
      <c r="L67" t="b">
        <f t="shared" si="16"/>
        <v>0</v>
      </c>
      <c r="M67" t="b">
        <f t="shared" si="17"/>
        <v>0</v>
      </c>
      <c r="N67" s="535"/>
      <c r="O67" s="558"/>
      <c r="R67" s="535"/>
      <c r="S67" s="558"/>
      <c r="V67" s="535"/>
      <c r="W67" s="558"/>
      <c r="Z67" s="535"/>
      <c r="AA67" s="558"/>
      <c r="AD67" s="535"/>
      <c r="AE67" s="558"/>
      <c r="AH67" s="535"/>
      <c r="AI67" s="558"/>
      <c r="AL67" s="535"/>
      <c r="AP67" s="535"/>
    </row>
    <row r="68">
      <c r="A68" s="552"/>
      <c r="B68" s="552"/>
      <c r="C68" t="str">
        <f>Filtered!I60</f>
        <v>IEEE Transactions on Automatic Control</v>
      </c>
      <c r="D68" t="str">
        <f>Filtered!J60</f>
        <v>Physics &amp; Mathematics</v>
      </c>
      <c r="E68" t="str">
        <f>Filtered!L60</f>
        <v>Unsure</v>
      </c>
      <c r="F68" t="b">
        <f t="shared" si="10"/>
        <v>0</v>
      </c>
      <c r="G68" t="b">
        <f t="shared" si="11"/>
        <v>0</v>
      </c>
      <c r="H68" t="b">
        <f t="shared" si="12"/>
        <v>0</v>
      </c>
      <c r="I68" t="b">
        <f t="shared" si="13"/>
        <v>0</v>
      </c>
      <c r="J68" t="b">
        <f t="shared" si="14"/>
        <v>0</v>
      </c>
      <c r="K68" t="b">
        <f t="shared" si="15"/>
        <v>0</v>
      </c>
      <c r="L68" t="b">
        <f t="shared" si="16"/>
        <v>1</v>
      </c>
      <c r="M68" t="b">
        <f t="shared" si="17"/>
        <v>0</v>
      </c>
      <c r="N68" s="535"/>
      <c r="O68" s="558"/>
      <c r="R68" s="535"/>
      <c r="S68" s="558"/>
      <c r="V68" s="535"/>
      <c r="W68" s="558"/>
      <c r="Z68" s="535"/>
      <c r="AA68" s="558"/>
      <c r="AD68" s="535"/>
      <c r="AE68" s="558"/>
      <c r="AH68" s="535"/>
      <c r="AI68" s="558"/>
      <c r="AL68" s="535"/>
      <c r="AP68" s="535"/>
    </row>
    <row r="69">
      <c r="A69" s="552"/>
      <c r="B69" s="552"/>
      <c r="C69" t="str">
        <f>Filtered!I61</f>
        <v>IEEE Transactions on Industrial Electronics</v>
      </c>
      <c r="D69" t="str">
        <f>Filtered!J61</f>
        <v>Engineering &amp; Computer Science</v>
      </c>
      <c r="E69" t="str">
        <f>Filtered!L61</f>
        <v>Unsure</v>
      </c>
      <c r="F69" t="b">
        <f t="shared" si="10"/>
        <v>0</v>
      </c>
      <c r="G69" t="b">
        <f t="shared" si="11"/>
        <v>0</v>
      </c>
      <c r="H69" t="b">
        <f t="shared" si="12"/>
        <v>1</v>
      </c>
      <c r="I69" t="b">
        <f t="shared" si="13"/>
        <v>0</v>
      </c>
      <c r="J69" t="b">
        <f t="shared" si="14"/>
        <v>0</v>
      </c>
      <c r="K69" t="b">
        <f t="shared" si="15"/>
        <v>0</v>
      </c>
      <c r="L69" t="b">
        <f t="shared" si="16"/>
        <v>0</v>
      </c>
      <c r="M69" t="b">
        <f t="shared" si="17"/>
        <v>0</v>
      </c>
      <c r="N69" s="535"/>
      <c r="O69" s="558"/>
      <c r="R69" s="535"/>
      <c r="S69" s="558"/>
      <c r="V69" s="535"/>
      <c r="W69" s="558"/>
      <c r="Z69" s="535"/>
      <c r="AA69" s="558"/>
      <c r="AD69" s="535"/>
      <c r="AE69" s="558"/>
      <c r="AH69" s="535"/>
      <c r="AI69" s="558"/>
      <c r="AL69" s="535"/>
      <c r="AP69" s="535"/>
    </row>
    <row r="70">
      <c r="A70" s="552"/>
      <c r="B70" s="552"/>
      <c r="C70" t="str">
        <f>Filtered!I62</f>
        <v>IEEE Transactions on Pattern Analysis and Machine Intelligence</v>
      </c>
      <c r="D70" t="str">
        <f>Filtered!J62</f>
        <v/>
      </c>
      <c r="E70" t="str">
        <f>Filtered!L62</f>
        <v>Unsure</v>
      </c>
      <c r="F70" t="b">
        <f t="shared" si="10"/>
        <v>0</v>
      </c>
      <c r="G70" t="b">
        <f t="shared" si="11"/>
        <v>0</v>
      </c>
      <c r="H70" t="b">
        <f t="shared" si="12"/>
        <v>0</v>
      </c>
      <c r="I70" t="b">
        <f t="shared" si="13"/>
        <v>0</v>
      </c>
      <c r="J70" t="b">
        <f t="shared" si="14"/>
        <v>0</v>
      </c>
      <c r="K70" t="b">
        <f t="shared" si="15"/>
        <v>0</v>
      </c>
      <c r="L70" t="b">
        <f t="shared" si="16"/>
        <v>0</v>
      </c>
      <c r="M70" t="b">
        <f t="shared" si="17"/>
        <v>0</v>
      </c>
      <c r="N70" s="535"/>
      <c r="O70" s="558"/>
      <c r="R70" s="535"/>
      <c r="S70" s="558"/>
      <c r="V70" s="535"/>
      <c r="W70" s="558"/>
      <c r="Z70" s="535"/>
      <c r="AA70" s="558"/>
      <c r="AD70" s="535"/>
      <c r="AE70" s="558"/>
      <c r="AH70" s="535"/>
      <c r="AI70" s="558"/>
      <c r="AL70" s="535"/>
      <c r="AP70" s="535"/>
    </row>
    <row r="71">
      <c r="A71" s="552"/>
      <c r="B71" s="552"/>
      <c r="C71" t="str">
        <f>Filtered!I63</f>
        <v>IEEE Transactions on Power Electronics</v>
      </c>
      <c r="D71" t="str">
        <f>Filtered!J63</f>
        <v>Engineering &amp; Computer Science</v>
      </c>
      <c r="E71" t="str">
        <f>Filtered!L63</f>
        <v>Single blind</v>
      </c>
      <c r="F71" t="b">
        <f t="shared" si="10"/>
        <v>0</v>
      </c>
      <c r="G71" t="b">
        <f t="shared" si="11"/>
        <v>0</v>
      </c>
      <c r="H71" t="b">
        <f t="shared" si="12"/>
        <v>1</v>
      </c>
      <c r="I71" t="b">
        <f t="shared" si="13"/>
        <v>0</v>
      </c>
      <c r="J71" t="b">
        <f t="shared" si="14"/>
        <v>0</v>
      </c>
      <c r="K71" t="b">
        <f t="shared" si="15"/>
        <v>0</v>
      </c>
      <c r="L71" t="b">
        <f t="shared" si="16"/>
        <v>0</v>
      </c>
      <c r="M71" t="b">
        <f t="shared" si="17"/>
        <v>0</v>
      </c>
      <c r="N71" s="535"/>
      <c r="O71" s="558"/>
      <c r="R71" s="535"/>
      <c r="S71" s="558"/>
      <c r="V71" s="535"/>
      <c r="W71" s="558"/>
      <c r="Z71" s="535"/>
      <c r="AA71" s="558"/>
      <c r="AD71" s="535"/>
      <c r="AE71" s="558"/>
      <c r="AH71" s="535"/>
      <c r="AI71" s="558"/>
      <c r="AL71" s="535"/>
      <c r="AP71" s="535"/>
    </row>
    <row r="72">
      <c r="A72" s="552"/>
      <c r="B72" s="552"/>
      <c r="C72" t="str">
        <f>Filtered!I64</f>
        <v>IEEE Transactions on Signal Processing</v>
      </c>
      <c r="D72" t="str">
        <f>Filtered!J64</f>
        <v>Physics &amp; Mathematics</v>
      </c>
      <c r="E72" t="str">
        <f>Filtered!L64</f>
        <v>Single blind</v>
      </c>
      <c r="F72" t="b">
        <f t="shared" si="10"/>
        <v>0</v>
      </c>
      <c r="G72" t="b">
        <f t="shared" si="11"/>
        <v>0</v>
      </c>
      <c r="H72" t="b">
        <f t="shared" si="12"/>
        <v>0</v>
      </c>
      <c r="I72" t="b">
        <f t="shared" si="13"/>
        <v>0</v>
      </c>
      <c r="J72" t="b">
        <f t="shared" si="14"/>
        <v>0</v>
      </c>
      <c r="K72" t="b">
        <f t="shared" si="15"/>
        <v>0</v>
      </c>
      <c r="L72" t="b">
        <f t="shared" si="16"/>
        <v>1</v>
      </c>
      <c r="M72" t="b">
        <f t="shared" si="17"/>
        <v>0</v>
      </c>
      <c r="N72" s="535"/>
      <c r="O72" s="558"/>
      <c r="R72" s="535"/>
      <c r="S72" s="558"/>
      <c r="V72" s="535"/>
      <c r="W72" s="558"/>
      <c r="Z72" s="535"/>
      <c r="AA72" s="558"/>
      <c r="AD72" s="535"/>
      <c r="AE72" s="558"/>
      <c r="AH72" s="535"/>
      <c r="AI72" s="558"/>
      <c r="AL72" s="535"/>
      <c r="AP72" s="535"/>
    </row>
    <row r="73">
      <c r="A73" s="552"/>
      <c r="B73" s="552"/>
      <c r="C73" t="str">
        <f>Filtered!I65</f>
        <v>Immunity</v>
      </c>
      <c r="D73" t="str">
        <f>Filtered!J65</f>
        <v>Health &amp; Medical Sciences</v>
      </c>
      <c r="E73" t="str">
        <f>Filtered!L65</f>
        <v>Single blind</v>
      </c>
      <c r="F73" t="b">
        <f t="shared" si="10"/>
        <v>0</v>
      </c>
      <c r="G73" t="b">
        <f t="shared" si="11"/>
        <v>0</v>
      </c>
      <c r="H73" t="b">
        <f t="shared" si="12"/>
        <v>0</v>
      </c>
      <c r="I73" t="b">
        <f t="shared" si="13"/>
        <v>1</v>
      </c>
      <c r="J73" t="b">
        <f t="shared" si="14"/>
        <v>0</v>
      </c>
      <c r="K73" t="b">
        <f t="shared" si="15"/>
        <v>0</v>
      </c>
      <c r="L73" t="b">
        <f t="shared" si="16"/>
        <v>0</v>
      </c>
      <c r="M73" t="b">
        <f t="shared" si="17"/>
        <v>0</v>
      </c>
      <c r="N73" s="535"/>
      <c r="O73" s="558"/>
      <c r="R73" s="535"/>
      <c r="S73" s="558"/>
      <c r="V73" s="535"/>
      <c r="W73" s="558"/>
      <c r="Z73" s="535"/>
      <c r="AA73" s="558"/>
      <c r="AD73" s="535"/>
      <c r="AE73" s="558"/>
      <c r="AH73" s="535"/>
      <c r="AI73" s="558"/>
      <c r="AL73" s="535"/>
      <c r="AP73" s="535"/>
    </row>
    <row r="74">
      <c r="A74" s="552"/>
      <c r="B74" s="552"/>
      <c r="C74" t="str">
        <f>Filtered!I66</f>
        <v>International Journal of Communication</v>
      </c>
      <c r="D74" t="str">
        <f>Filtered!J66</f>
        <v>Humanities, Literature &amp; Arts</v>
      </c>
      <c r="E74" t="str">
        <f>Filtered!L66</f>
        <v>Unsure</v>
      </c>
      <c r="F74" t="b">
        <f t="shared" si="10"/>
        <v>0</v>
      </c>
      <c r="G74" t="b">
        <f t="shared" si="11"/>
        <v>0</v>
      </c>
      <c r="H74" t="b">
        <f t="shared" si="12"/>
        <v>0</v>
      </c>
      <c r="I74" t="b">
        <f t="shared" si="13"/>
        <v>0</v>
      </c>
      <c r="J74" t="b">
        <f t="shared" si="14"/>
        <v>1</v>
      </c>
      <c r="K74" t="b">
        <f t="shared" si="15"/>
        <v>0</v>
      </c>
      <c r="L74" t="b">
        <f t="shared" si="16"/>
        <v>0</v>
      </c>
      <c r="M74" t="b">
        <f t="shared" si="17"/>
        <v>0</v>
      </c>
      <c r="N74" s="535"/>
      <c r="O74" s="558"/>
      <c r="R74" s="535"/>
      <c r="S74" s="558"/>
      <c r="V74" s="535"/>
      <c r="W74" s="558"/>
      <c r="Z74" s="535"/>
      <c r="AA74" s="558"/>
      <c r="AD74" s="535"/>
      <c r="AE74" s="558"/>
      <c r="AH74" s="535"/>
      <c r="AI74" s="558"/>
      <c r="AL74" s="535"/>
      <c r="AP74" s="535"/>
    </row>
    <row r="75">
      <c r="A75" s="552"/>
      <c r="B75" s="552"/>
      <c r="C75" t="str">
        <f>Filtered!I67</f>
        <v>International Journal of Production Economics</v>
      </c>
      <c r="D75" t="str">
        <f>Filtered!J67</f>
        <v>Business, Economics &amp; Management</v>
      </c>
      <c r="E75" t="str">
        <f>Filtered!L67</f>
        <v>Double blind</v>
      </c>
      <c r="F75" t="b">
        <f t="shared" si="10"/>
        <v>1</v>
      </c>
      <c r="G75" t="b">
        <f t="shared" si="11"/>
        <v>0</v>
      </c>
      <c r="H75" t="b">
        <f t="shared" si="12"/>
        <v>0</v>
      </c>
      <c r="I75" t="b">
        <f t="shared" si="13"/>
        <v>0</v>
      </c>
      <c r="J75" t="b">
        <f t="shared" si="14"/>
        <v>0</v>
      </c>
      <c r="K75" t="b">
        <f t="shared" si="15"/>
        <v>0</v>
      </c>
      <c r="L75" t="b">
        <f t="shared" si="16"/>
        <v>0</v>
      </c>
      <c r="M75" t="b">
        <f t="shared" si="17"/>
        <v>0</v>
      </c>
      <c r="N75" s="535"/>
      <c r="O75" s="558"/>
      <c r="R75" s="535"/>
      <c r="S75" s="558"/>
      <c r="V75" s="535"/>
      <c r="W75" s="558"/>
      <c r="Z75" s="535"/>
      <c r="AA75" s="558"/>
      <c r="AD75" s="535"/>
      <c r="AE75" s="558"/>
      <c r="AH75" s="535"/>
      <c r="AI75" s="558"/>
      <c r="AL75" s="535"/>
      <c r="AP75" s="535"/>
    </row>
    <row r="76">
      <c r="A76" s="552"/>
      <c r="B76" s="552"/>
      <c r="C76" t="str">
        <f>Filtered!I68</f>
        <v>Journal of the American Medical Association</v>
      </c>
      <c r="D76" t="str">
        <f>Filtered!J68</f>
        <v>Health &amp; Medical Sciences</v>
      </c>
      <c r="E76" t="str">
        <f>Filtered!L68</f>
        <v>Single blind</v>
      </c>
      <c r="F76" t="b">
        <f t="shared" si="10"/>
        <v>0</v>
      </c>
      <c r="G76" t="b">
        <f t="shared" si="11"/>
        <v>0</v>
      </c>
      <c r="H76" t="b">
        <f t="shared" si="12"/>
        <v>0</v>
      </c>
      <c r="I76" t="b">
        <f t="shared" si="13"/>
        <v>1</v>
      </c>
      <c r="J76" t="b">
        <f t="shared" si="14"/>
        <v>0</v>
      </c>
      <c r="K76" t="b">
        <f t="shared" si="15"/>
        <v>0</v>
      </c>
      <c r="L76" t="b">
        <f t="shared" si="16"/>
        <v>0</v>
      </c>
      <c r="M76" t="b">
        <f t="shared" si="17"/>
        <v>0</v>
      </c>
      <c r="N76" s="535"/>
      <c r="O76" s="558"/>
      <c r="R76" s="535"/>
      <c r="S76" s="558"/>
      <c r="V76" s="535"/>
      <c r="W76" s="558"/>
      <c r="Z76" s="535"/>
      <c r="AA76" s="558"/>
      <c r="AD76" s="535"/>
      <c r="AE76" s="558"/>
      <c r="AH76" s="535"/>
      <c r="AI76" s="558"/>
      <c r="AL76" s="535"/>
      <c r="AP76" s="535"/>
    </row>
    <row r="77">
      <c r="A77" s="552"/>
      <c r="B77" s="552"/>
      <c r="C77" t="str">
        <f>Filtered!I69</f>
        <v>Journal of Allergy and Clinical Immunology</v>
      </c>
      <c r="D77" t="str">
        <f>Filtered!J69</f>
        <v/>
      </c>
      <c r="E77" t="str">
        <f>Filtered!L69</f>
        <v>Unsure</v>
      </c>
      <c r="F77" t="b">
        <f t="shared" si="10"/>
        <v>0</v>
      </c>
      <c r="G77" t="b">
        <f t="shared" si="11"/>
        <v>0</v>
      </c>
      <c r="H77" t="b">
        <f t="shared" si="12"/>
        <v>0</v>
      </c>
      <c r="I77" t="b">
        <f t="shared" si="13"/>
        <v>0</v>
      </c>
      <c r="J77" t="b">
        <f t="shared" si="14"/>
        <v>0</v>
      </c>
      <c r="K77" t="b">
        <f t="shared" si="15"/>
        <v>0</v>
      </c>
      <c r="L77" t="b">
        <f t="shared" si="16"/>
        <v>0</v>
      </c>
      <c r="M77" t="b">
        <f t="shared" si="17"/>
        <v>0</v>
      </c>
      <c r="N77" s="535"/>
      <c r="O77" s="558"/>
      <c r="R77" s="535"/>
      <c r="S77" s="558"/>
      <c r="V77" s="535"/>
      <c r="W77" s="558"/>
      <c r="Z77" s="535"/>
      <c r="AA77" s="558"/>
      <c r="AD77" s="535"/>
      <c r="AE77" s="558"/>
      <c r="AH77" s="535"/>
      <c r="AI77" s="558"/>
      <c r="AL77" s="535"/>
      <c r="AP77" s="535"/>
    </row>
    <row r="78">
      <c r="A78" s="552"/>
      <c r="B78" s="552"/>
      <c r="C78" t="str">
        <f>Filtered!I70</f>
        <v>Journal of Banking &amp; Finance</v>
      </c>
      <c r="D78" t="str">
        <f>Filtered!J70</f>
        <v>Business, Economics &amp; Management</v>
      </c>
      <c r="E78" t="str">
        <f>Filtered!L70</f>
        <v>Double blind</v>
      </c>
      <c r="F78" t="b">
        <f t="shared" si="10"/>
        <v>1</v>
      </c>
      <c r="G78" t="b">
        <f t="shared" si="11"/>
        <v>0</v>
      </c>
      <c r="H78" t="b">
        <f t="shared" si="12"/>
        <v>0</v>
      </c>
      <c r="I78" t="b">
        <f t="shared" si="13"/>
        <v>0</v>
      </c>
      <c r="J78" t="b">
        <f t="shared" si="14"/>
        <v>0</v>
      </c>
      <c r="K78" t="b">
        <f t="shared" si="15"/>
        <v>0</v>
      </c>
      <c r="L78" t="b">
        <f t="shared" si="16"/>
        <v>0</v>
      </c>
      <c r="M78" t="b">
        <f t="shared" si="17"/>
        <v>0</v>
      </c>
      <c r="N78" s="535"/>
      <c r="O78" s="558"/>
      <c r="R78" s="535"/>
      <c r="S78" s="558"/>
      <c r="V78" s="535"/>
      <c r="W78" s="558"/>
      <c r="Z78" s="535"/>
      <c r="AA78" s="558"/>
      <c r="AD78" s="535"/>
      <c r="AE78" s="558"/>
      <c r="AH78" s="535"/>
      <c r="AI78" s="558"/>
      <c r="AL78" s="535"/>
      <c r="AP78" s="535"/>
    </row>
    <row r="79">
      <c r="A79" s="552"/>
      <c r="B79" s="552"/>
      <c r="C79" t="str">
        <f>Filtered!I71</f>
        <v>Journal of Business Ethics</v>
      </c>
      <c r="D79" t="str">
        <f>Filtered!J71</f>
        <v>Business, Economics &amp; Management,
Social Sciences</v>
      </c>
      <c r="E79" t="str">
        <f>Filtered!L71</f>
        <v>Double blind</v>
      </c>
      <c r="F79" t="b">
        <f t="shared" si="10"/>
        <v>1</v>
      </c>
      <c r="G79" t="b">
        <f t="shared" si="11"/>
        <v>0</v>
      </c>
      <c r="H79" t="b">
        <f t="shared" si="12"/>
        <v>0</v>
      </c>
      <c r="I79" t="b">
        <f t="shared" si="13"/>
        <v>0</v>
      </c>
      <c r="J79" t="b">
        <f t="shared" si="14"/>
        <v>0</v>
      </c>
      <c r="K79" t="b">
        <f t="shared" si="15"/>
        <v>0</v>
      </c>
      <c r="L79" t="b">
        <f t="shared" si="16"/>
        <v>0</v>
      </c>
      <c r="M79" t="b">
        <f t="shared" si="17"/>
        <v>1</v>
      </c>
      <c r="N79" s="535"/>
      <c r="O79" s="558"/>
      <c r="R79" s="535"/>
      <c r="S79" s="558"/>
      <c r="V79" s="535"/>
      <c r="W79" s="558"/>
      <c r="Z79" s="535"/>
      <c r="AA79" s="558"/>
      <c r="AD79" s="535"/>
      <c r="AE79" s="558"/>
      <c r="AH79" s="535"/>
      <c r="AI79" s="558"/>
      <c r="AL79" s="535"/>
      <c r="AP79" s="535"/>
    </row>
    <row r="80">
      <c r="A80" s="552"/>
      <c r="B80" s="552"/>
      <c r="C80" t="str">
        <f>Filtered!I72</f>
        <v>Journal of Business Research</v>
      </c>
      <c r="D80" t="str">
        <f>Filtered!J72</f>
        <v>Business, Economics &amp; Management</v>
      </c>
      <c r="E80" t="str">
        <f>Filtered!L72</f>
        <v>Double blind</v>
      </c>
      <c r="F80" t="b">
        <f t="shared" si="10"/>
        <v>1</v>
      </c>
      <c r="G80" t="b">
        <f t="shared" si="11"/>
        <v>0</v>
      </c>
      <c r="H80" t="b">
        <f t="shared" si="12"/>
        <v>0</v>
      </c>
      <c r="I80" t="b">
        <f t="shared" si="13"/>
        <v>0</v>
      </c>
      <c r="J80" t="b">
        <f t="shared" si="14"/>
        <v>0</v>
      </c>
      <c r="K80" t="b">
        <f t="shared" si="15"/>
        <v>0</v>
      </c>
      <c r="L80" t="b">
        <f t="shared" si="16"/>
        <v>0</v>
      </c>
      <c r="M80" t="b">
        <f t="shared" si="17"/>
        <v>0</v>
      </c>
      <c r="N80" s="535"/>
      <c r="O80" s="558"/>
      <c r="R80" s="535"/>
      <c r="S80" s="558"/>
      <c r="V80" s="535"/>
      <c r="W80" s="558"/>
      <c r="Z80" s="535"/>
      <c r="AA80" s="558"/>
      <c r="AD80" s="535"/>
      <c r="AE80" s="558"/>
      <c r="AH80" s="535"/>
      <c r="AI80" s="558"/>
      <c r="AL80" s="535"/>
      <c r="AP80" s="535"/>
    </row>
    <row r="81">
      <c r="A81" s="552"/>
      <c r="B81" s="552"/>
      <c r="C81" t="str">
        <f>Filtered!I73</f>
        <v>Journal of Cleaner Production</v>
      </c>
      <c r="D81" t="str">
        <f>Filtered!J73</f>
        <v/>
      </c>
      <c r="E81" t="str">
        <f>Filtered!L73</f>
        <v>Single blind</v>
      </c>
      <c r="F81" t="b">
        <f t="shared" si="10"/>
        <v>0</v>
      </c>
      <c r="G81" t="b">
        <f t="shared" si="11"/>
        <v>0</v>
      </c>
      <c r="H81" t="b">
        <f t="shared" si="12"/>
        <v>0</v>
      </c>
      <c r="I81" t="b">
        <f t="shared" si="13"/>
        <v>0</v>
      </c>
      <c r="J81" t="b">
        <f t="shared" si="14"/>
        <v>0</v>
      </c>
      <c r="K81" t="b">
        <f t="shared" si="15"/>
        <v>0</v>
      </c>
      <c r="L81" t="b">
        <f t="shared" si="16"/>
        <v>0</v>
      </c>
      <c r="M81" t="b">
        <f t="shared" si="17"/>
        <v>0</v>
      </c>
      <c r="N81" s="535"/>
      <c r="O81" s="558"/>
      <c r="R81" s="535"/>
      <c r="S81" s="558"/>
      <c r="V81" s="535"/>
      <c r="W81" s="558"/>
      <c r="Z81" s="535"/>
      <c r="AA81" s="558"/>
      <c r="AD81" s="535"/>
      <c r="AE81" s="558"/>
      <c r="AH81" s="535"/>
      <c r="AI81" s="558"/>
      <c r="AL81" s="535"/>
      <c r="AP81" s="535"/>
    </row>
    <row r="82">
      <c r="A82" s="552"/>
      <c r="B82" s="552"/>
      <c r="C82" t="str">
        <f>Filtered!I74</f>
        <v>Journal of Clinical Oncology</v>
      </c>
      <c r="D82" t="str">
        <f>Filtered!J74</f>
        <v>Health &amp; Medical Sciences</v>
      </c>
      <c r="E82" t="str">
        <f>Filtered!L74</f>
        <v>Single blind</v>
      </c>
      <c r="F82" t="b">
        <f t="shared" si="10"/>
        <v>0</v>
      </c>
      <c r="G82" t="b">
        <f t="shared" si="11"/>
        <v>0</v>
      </c>
      <c r="H82" t="b">
        <f t="shared" si="12"/>
        <v>0</v>
      </c>
      <c r="I82" t="b">
        <f t="shared" si="13"/>
        <v>1</v>
      </c>
      <c r="J82" t="b">
        <f t="shared" si="14"/>
        <v>0</v>
      </c>
      <c r="K82" t="b">
        <f t="shared" si="15"/>
        <v>0</v>
      </c>
      <c r="L82" t="b">
        <f t="shared" si="16"/>
        <v>0</v>
      </c>
      <c r="M82" t="b">
        <f t="shared" si="17"/>
        <v>0</v>
      </c>
      <c r="N82" s="535"/>
      <c r="O82" s="558"/>
      <c r="R82" s="535"/>
      <c r="S82" s="558"/>
      <c r="V82" s="535"/>
      <c r="W82" s="558"/>
      <c r="Z82" s="535"/>
      <c r="AA82" s="558"/>
      <c r="AD82" s="535"/>
      <c r="AE82" s="558"/>
      <c r="AH82" s="535"/>
      <c r="AI82" s="558"/>
      <c r="AL82" s="535"/>
      <c r="AP82" s="535"/>
    </row>
    <row r="83">
      <c r="A83" s="552"/>
      <c r="B83" s="552"/>
      <c r="C83" t="str">
        <f>Filtered!I75</f>
        <v>Journal of Communication</v>
      </c>
      <c r="D83" t="str">
        <f>Filtered!J75</f>
        <v>Humanities, Literature &amp; Arts</v>
      </c>
      <c r="E83" t="str">
        <f>Filtered!L75</f>
        <v>Unsure</v>
      </c>
      <c r="F83" t="b">
        <f t="shared" si="10"/>
        <v>0</v>
      </c>
      <c r="G83" t="b">
        <f t="shared" si="11"/>
        <v>0</v>
      </c>
      <c r="H83" t="b">
        <f t="shared" si="12"/>
        <v>0</v>
      </c>
      <c r="I83" t="b">
        <f t="shared" si="13"/>
        <v>0</v>
      </c>
      <c r="J83" t="b">
        <f t="shared" si="14"/>
        <v>1</v>
      </c>
      <c r="K83" t="b">
        <f t="shared" si="15"/>
        <v>0</v>
      </c>
      <c r="L83" t="b">
        <f t="shared" si="16"/>
        <v>0</v>
      </c>
      <c r="M83" t="b">
        <f t="shared" si="17"/>
        <v>0</v>
      </c>
      <c r="N83" s="535"/>
      <c r="O83" s="558"/>
      <c r="R83" s="535"/>
      <c r="S83" s="558"/>
      <c r="V83" s="535"/>
      <c r="W83" s="558"/>
      <c r="Z83" s="535"/>
      <c r="AA83" s="558"/>
      <c r="AD83" s="535"/>
      <c r="AE83" s="558"/>
      <c r="AH83" s="535"/>
      <c r="AI83" s="558"/>
      <c r="AL83" s="535"/>
      <c r="AP83" s="535"/>
    </row>
    <row r="84">
      <c r="A84" s="552"/>
      <c r="B84" s="552"/>
      <c r="C84" t="str">
        <f>Filtered!I76</f>
        <v>Journal of Cosmology and Astroparticle Physics</v>
      </c>
      <c r="D84" t="str">
        <f>Filtered!J76</f>
        <v>Physics &amp; Mathematics</v>
      </c>
      <c r="E84" t="str">
        <f>Filtered!L76</f>
        <v>Single blind</v>
      </c>
      <c r="F84" t="b">
        <f t="shared" si="10"/>
        <v>0</v>
      </c>
      <c r="G84" t="b">
        <f t="shared" si="11"/>
        <v>0</v>
      </c>
      <c r="H84" t="b">
        <f t="shared" si="12"/>
        <v>0</v>
      </c>
      <c r="I84" t="b">
        <f t="shared" si="13"/>
        <v>0</v>
      </c>
      <c r="J84" t="b">
        <f t="shared" si="14"/>
        <v>0</v>
      </c>
      <c r="K84" t="b">
        <f t="shared" si="15"/>
        <v>0</v>
      </c>
      <c r="L84" t="b">
        <f t="shared" si="16"/>
        <v>1</v>
      </c>
      <c r="M84" t="b">
        <f t="shared" si="17"/>
        <v>0</v>
      </c>
      <c r="N84" s="535"/>
      <c r="O84" s="558"/>
      <c r="R84" s="535"/>
      <c r="S84" s="558"/>
      <c r="V84" s="535"/>
      <c r="W84" s="558"/>
      <c r="Z84" s="535"/>
      <c r="AA84" s="558"/>
      <c r="AD84" s="535"/>
      <c r="AE84" s="558"/>
      <c r="AH84" s="535"/>
      <c r="AI84" s="558"/>
      <c r="AL84" s="535"/>
      <c r="AP84" s="535"/>
    </row>
    <row r="85">
      <c r="A85" s="552"/>
      <c r="B85" s="552"/>
      <c r="C85" t="str">
        <f>Filtered!I77</f>
        <v>Journal of Economic Perspectives</v>
      </c>
      <c r="D85" t="str">
        <f>Filtered!J77</f>
        <v>Business, Economics &amp; Management</v>
      </c>
      <c r="E85" t="str">
        <f>Filtered!L77</f>
        <v>Unsure</v>
      </c>
      <c r="F85" t="b">
        <f t="shared" si="10"/>
        <v>1</v>
      </c>
      <c r="G85" t="b">
        <f t="shared" si="11"/>
        <v>0</v>
      </c>
      <c r="H85" t="b">
        <f t="shared" si="12"/>
        <v>0</v>
      </c>
      <c r="I85" t="b">
        <f t="shared" si="13"/>
        <v>0</v>
      </c>
      <c r="J85" t="b">
        <f t="shared" si="14"/>
        <v>0</v>
      </c>
      <c r="K85" t="b">
        <f t="shared" si="15"/>
        <v>0</v>
      </c>
      <c r="L85" t="b">
        <f t="shared" si="16"/>
        <v>0</v>
      </c>
      <c r="M85" t="b">
        <f t="shared" si="17"/>
        <v>0</v>
      </c>
      <c r="N85" s="535"/>
      <c r="O85" s="558"/>
      <c r="R85" s="535"/>
      <c r="S85" s="558"/>
      <c r="V85" s="535"/>
      <c r="W85" s="558"/>
      <c r="Z85" s="535"/>
      <c r="AA85" s="558"/>
      <c r="AD85" s="535"/>
      <c r="AE85" s="558"/>
      <c r="AH85" s="535"/>
      <c r="AI85" s="558"/>
      <c r="AL85" s="535"/>
      <c r="AP85" s="535"/>
    </row>
    <row r="86">
      <c r="A86" s="552"/>
      <c r="B86" s="552"/>
      <c r="C86" t="str">
        <f>Filtered!I78</f>
        <v>Journal of Educational Psychology</v>
      </c>
      <c r="D86" t="str">
        <f>Filtered!J78</f>
        <v>Social Sciences</v>
      </c>
      <c r="E86" t="str">
        <f>Filtered!L78</f>
        <v>Double blind</v>
      </c>
      <c r="F86" t="b">
        <f t="shared" si="10"/>
        <v>0</v>
      </c>
      <c r="G86" t="b">
        <f t="shared" si="11"/>
        <v>0</v>
      </c>
      <c r="H86" t="b">
        <f t="shared" si="12"/>
        <v>0</v>
      </c>
      <c r="I86" t="b">
        <f t="shared" si="13"/>
        <v>0</v>
      </c>
      <c r="J86" t="b">
        <f t="shared" si="14"/>
        <v>0</v>
      </c>
      <c r="K86" t="b">
        <f t="shared" si="15"/>
        <v>0</v>
      </c>
      <c r="L86" t="b">
        <f t="shared" si="16"/>
        <v>0</v>
      </c>
      <c r="M86" t="b">
        <f t="shared" si="17"/>
        <v>1</v>
      </c>
      <c r="N86" s="535"/>
      <c r="O86" s="558"/>
      <c r="R86" s="535"/>
      <c r="S86" s="558"/>
      <c r="V86" s="535"/>
      <c r="W86" s="558"/>
      <c r="Z86" s="535"/>
      <c r="AA86" s="558"/>
      <c r="AD86" s="535"/>
      <c r="AE86" s="558"/>
      <c r="AH86" s="535"/>
      <c r="AI86" s="558"/>
      <c r="AL86" s="535"/>
      <c r="AP86" s="535"/>
    </row>
    <row r="87">
      <c r="A87" s="552"/>
      <c r="B87" s="552"/>
      <c r="C87" t="str">
        <f>Filtered!I79</f>
        <v>Journal of Financial Economics</v>
      </c>
      <c r="D87" t="str">
        <f>Filtered!J79</f>
        <v>Business, Economics &amp; Management</v>
      </c>
      <c r="E87" t="str">
        <f>Filtered!L79</f>
        <v>Unsure</v>
      </c>
      <c r="F87" t="b">
        <f t="shared" si="10"/>
        <v>1</v>
      </c>
      <c r="G87" t="b">
        <f t="shared" si="11"/>
        <v>0</v>
      </c>
      <c r="H87" t="b">
        <f t="shared" si="12"/>
        <v>0</v>
      </c>
      <c r="I87" t="b">
        <f t="shared" si="13"/>
        <v>0</v>
      </c>
      <c r="J87" t="b">
        <f t="shared" si="14"/>
        <v>0</v>
      </c>
      <c r="K87" t="b">
        <f t="shared" si="15"/>
        <v>0</v>
      </c>
      <c r="L87" t="b">
        <f t="shared" si="16"/>
        <v>0</v>
      </c>
      <c r="M87" t="b">
        <f t="shared" si="17"/>
        <v>0</v>
      </c>
      <c r="N87" s="535"/>
      <c r="O87" s="558"/>
      <c r="R87" s="535"/>
      <c r="S87" s="558"/>
      <c r="V87" s="535"/>
      <c r="W87" s="558"/>
      <c r="Z87" s="535"/>
      <c r="AA87" s="558"/>
      <c r="AD87" s="535"/>
      <c r="AE87" s="558"/>
      <c r="AH87" s="535"/>
      <c r="AI87" s="558"/>
      <c r="AL87" s="535"/>
      <c r="AP87" s="535"/>
    </row>
    <row r="88">
      <c r="A88" s="552"/>
      <c r="B88" s="552"/>
      <c r="C88" t="str">
        <f>Filtered!I80</f>
        <v>Journal of Geophysical Research</v>
      </c>
      <c r="D88" t="str">
        <f>Filtered!J80</f>
        <v>Physics &amp; Mathematics</v>
      </c>
      <c r="E88" t="str">
        <f>Filtered!L80</f>
        <v>Unsure</v>
      </c>
      <c r="F88" t="b">
        <f t="shared" si="10"/>
        <v>0</v>
      </c>
      <c r="G88" t="b">
        <f t="shared" si="11"/>
        <v>0</v>
      </c>
      <c r="H88" t="b">
        <f t="shared" si="12"/>
        <v>0</v>
      </c>
      <c r="I88" t="b">
        <f t="shared" si="13"/>
        <v>0</v>
      </c>
      <c r="J88" t="b">
        <f t="shared" si="14"/>
        <v>0</v>
      </c>
      <c r="K88" t="b">
        <f t="shared" si="15"/>
        <v>0</v>
      </c>
      <c r="L88" t="b">
        <f t="shared" si="16"/>
        <v>1</v>
      </c>
      <c r="M88" t="b">
        <f t="shared" si="17"/>
        <v>0</v>
      </c>
      <c r="N88" s="535"/>
      <c r="O88" s="558"/>
      <c r="R88" s="535"/>
      <c r="S88" s="558"/>
      <c r="V88" s="535"/>
      <c r="W88" s="558"/>
      <c r="Z88" s="535"/>
      <c r="AA88" s="558"/>
      <c r="AD88" s="535"/>
      <c r="AE88" s="558"/>
      <c r="AH88" s="535"/>
      <c r="AI88" s="558"/>
      <c r="AL88" s="535"/>
      <c r="AP88" s="535"/>
    </row>
    <row r="89">
      <c r="A89" s="552"/>
      <c r="B89" s="552"/>
      <c r="C89" t="str">
        <f>Filtered!I81</f>
        <v>Journal of Hepatology</v>
      </c>
      <c r="D89" t="str">
        <f>Filtered!J81</f>
        <v/>
      </c>
      <c r="E89" t="str">
        <f>Filtered!L81</f>
        <v>Unsure</v>
      </c>
      <c r="F89" t="b">
        <f t="shared" si="10"/>
        <v>0</v>
      </c>
      <c r="G89" t="b">
        <f t="shared" si="11"/>
        <v>0</v>
      </c>
      <c r="H89" t="b">
        <f t="shared" si="12"/>
        <v>0</v>
      </c>
      <c r="I89" t="b">
        <f t="shared" si="13"/>
        <v>0</v>
      </c>
      <c r="J89" t="b">
        <f t="shared" si="14"/>
        <v>0</v>
      </c>
      <c r="K89" t="b">
        <f t="shared" si="15"/>
        <v>0</v>
      </c>
      <c r="L89" t="b">
        <f t="shared" si="16"/>
        <v>0</v>
      </c>
      <c r="M89" t="b">
        <f t="shared" si="17"/>
        <v>0</v>
      </c>
      <c r="N89" s="535"/>
      <c r="O89" s="558"/>
      <c r="R89" s="535"/>
      <c r="S89" s="558"/>
      <c r="V89" s="535"/>
      <c r="W89" s="558"/>
      <c r="Z89" s="535"/>
      <c r="AA89" s="558"/>
      <c r="AD89" s="535"/>
      <c r="AE89" s="558"/>
      <c r="AH89" s="535"/>
      <c r="AI89" s="558"/>
      <c r="AL89" s="535"/>
      <c r="AP89" s="535"/>
    </row>
    <row r="90">
      <c r="A90" s="552"/>
      <c r="B90" s="552"/>
      <c r="C90" t="str">
        <f>Filtered!I82</f>
        <v>Journal of High Energy Physics</v>
      </c>
      <c r="D90" t="str">
        <f>Filtered!J82</f>
        <v>Physics &amp; Mathematics</v>
      </c>
      <c r="E90" t="str">
        <f>Filtered!L82</f>
        <v>Single-blind</v>
      </c>
      <c r="F90" t="b">
        <f t="shared" si="10"/>
        <v>0</v>
      </c>
      <c r="G90" t="b">
        <f t="shared" si="11"/>
        <v>0</v>
      </c>
      <c r="H90" t="b">
        <f t="shared" si="12"/>
        <v>0</v>
      </c>
      <c r="I90" t="b">
        <f t="shared" si="13"/>
        <v>0</v>
      </c>
      <c r="J90" t="b">
        <f t="shared" si="14"/>
        <v>0</v>
      </c>
      <c r="K90" t="b">
        <f t="shared" si="15"/>
        <v>0</v>
      </c>
      <c r="L90" t="b">
        <f t="shared" si="16"/>
        <v>1</v>
      </c>
      <c r="M90" t="b">
        <f t="shared" si="17"/>
        <v>0</v>
      </c>
      <c r="N90" s="535"/>
      <c r="O90" s="558"/>
      <c r="R90" s="535"/>
      <c r="S90" s="558"/>
      <c r="V90" s="535"/>
      <c r="W90" s="558"/>
      <c r="Z90" s="535"/>
      <c r="AA90" s="558"/>
      <c r="AD90" s="535"/>
      <c r="AE90" s="558"/>
      <c r="AH90" s="535"/>
      <c r="AI90" s="558"/>
      <c r="AL90" s="535"/>
      <c r="AP90" s="535"/>
    </row>
    <row r="91">
      <c r="A91" s="552"/>
      <c r="B91" s="552"/>
      <c r="C91" t="str">
        <f>Filtered!I83</f>
        <v>Journal of Management</v>
      </c>
      <c r="D91" t="str">
        <f>Filtered!J83</f>
        <v>Business, Economics &amp; Management</v>
      </c>
      <c r="E91" t="str">
        <f>Filtered!L83</f>
        <v>Double blind</v>
      </c>
      <c r="F91" t="b">
        <f t="shared" si="10"/>
        <v>1</v>
      </c>
      <c r="G91" t="b">
        <f t="shared" si="11"/>
        <v>0</v>
      </c>
      <c r="H91" t="b">
        <f t="shared" si="12"/>
        <v>0</v>
      </c>
      <c r="I91" t="b">
        <f t="shared" si="13"/>
        <v>0</v>
      </c>
      <c r="J91" t="b">
        <f t="shared" si="14"/>
        <v>0</v>
      </c>
      <c r="K91" t="b">
        <f t="shared" si="15"/>
        <v>0</v>
      </c>
      <c r="L91" t="b">
        <f t="shared" si="16"/>
        <v>0</v>
      </c>
      <c r="M91" t="b">
        <f t="shared" si="17"/>
        <v>0</v>
      </c>
      <c r="N91" s="535"/>
      <c r="O91" s="558"/>
      <c r="R91" s="535"/>
      <c r="S91" s="558"/>
      <c r="V91" s="535"/>
      <c r="W91" s="558"/>
      <c r="Z91" s="535"/>
      <c r="AA91" s="558"/>
      <c r="AD91" s="535"/>
      <c r="AE91" s="558"/>
      <c r="AH91" s="535"/>
      <c r="AI91" s="558"/>
      <c r="AL91" s="535"/>
      <c r="AP91" s="535"/>
    </row>
    <row r="92">
      <c r="A92" s="552"/>
      <c r="B92" s="552"/>
      <c r="C92" t="str">
        <f>Filtered!I84</f>
        <v>Journal of Materials Chemistry. A</v>
      </c>
      <c r="D92" t="str">
        <f>Filtered!J84</f>
        <v>Chemical &amp; Materials Sciences, Engineering &amp; Computer Science</v>
      </c>
      <c r="E92" t="str">
        <f>Filtered!L84</f>
        <v>Single blind</v>
      </c>
      <c r="F92" t="b">
        <f t="shared" si="10"/>
        <v>0</v>
      </c>
      <c r="G92" t="b">
        <f t="shared" si="11"/>
        <v>1</v>
      </c>
      <c r="H92" t="b">
        <f t="shared" si="12"/>
        <v>1</v>
      </c>
      <c r="I92" t="b">
        <f t="shared" si="13"/>
        <v>0</v>
      </c>
      <c r="J92" t="b">
        <f t="shared" si="14"/>
        <v>0</v>
      </c>
      <c r="K92" t="b">
        <f t="shared" si="15"/>
        <v>0</v>
      </c>
      <c r="L92" t="b">
        <f t="shared" si="16"/>
        <v>0</v>
      </c>
      <c r="M92" t="b">
        <f t="shared" si="17"/>
        <v>0</v>
      </c>
      <c r="N92" s="535"/>
      <c r="O92" s="558"/>
      <c r="R92" s="535"/>
      <c r="S92" s="558"/>
      <c r="V92" s="535"/>
      <c r="W92" s="558"/>
      <c r="Z92" s="535"/>
      <c r="AA92" s="558"/>
      <c r="AD92" s="535"/>
      <c r="AE92" s="558"/>
      <c r="AH92" s="535"/>
      <c r="AI92" s="558"/>
      <c r="AL92" s="535"/>
      <c r="AP92" s="535"/>
    </row>
    <row r="93">
      <c r="A93" s="552"/>
      <c r="B93" s="552"/>
      <c r="C93" t="str">
        <f>Filtered!I85</f>
        <v>Journal of Pragmatics</v>
      </c>
      <c r="D93" t="str">
        <f>Filtered!J85</f>
        <v>Humanities, Literature &amp; Arts</v>
      </c>
      <c r="E93" t="str">
        <f>Filtered!L85</f>
        <v>Double blind</v>
      </c>
      <c r="F93" t="b">
        <f t="shared" si="10"/>
        <v>0</v>
      </c>
      <c r="G93" t="b">
        <f t="shared" si="11"/>
        <v>0</v>
      </c>
      <c r="H93" t="b">
        <f t="shared" si="12"/>
        <v>0</v>
      </c>
      <c r="I93" t="b">
        <f t="shared" si="13"/>
        <v>0</v>
      </c>
      <c r="J93" t="b">
        <f t="shared" si="14"/>
        <v>1</v>
      </c>
      <c r="K93" t="b">
        <f t="shared" si="15"/>
        <v>0</v>
      </c>
      <c r="L93" t="b">
        <f t="shared" si="16"/>
        <v>0</v>
      </c>
      <c r="M93" t="b">
        <f t="shared" si="17"/>
        <v>0</v>
      </c>
      <c r="N93" s="535"/>
      <c r="O93" s="558"/>
      <c r="R93" s="535"/>
      <c r="S93" s="558"/>
      <c r="V93" s="535"/>
      <c r="W93" s="558"/>
      <c r="Z93" s="535"/>
      <c r="AA93" s="558"/>
      <c r="AD93" s="535"/>
      <c r="AE93" s="558"/>
      <c r="AH93" s="535"/>
      <c r="AI93" s="558"/>
      <c r="AL93" s="535"/>
      <c r="AP93" s="535"/>
    </row>
    <row r="94">
      <c r="A94" s="552"/>
      <c r="B94" s="552"/>
      <c r="C94" t="str">
        <f>Filtered!I86</f>
        <v>Journal of the American Chemical Society</v>
      </c>
      <c r="D94" t="str">
        <f>Filtered!J86</f>
        <v>Chemical &amp; Materials Sciences</v>
      </c>
      <c r="E94" t="str">
        <f>Filtered!L86</f>
        <v>Single blind</v>
      </c>
      <c r="F94" t="b">
        <f t="shared" si="10"/>
        <v>0</v>
      </c>
      <c r="G94" t="b">
        <f t="shared" si="11"/>
        <v>1</v>
      </c>
      <c r="H94" t="b">
        <f t="shared" si="12"/>
        <v>0</v>
      </c>
      <c r="I94" t="b">
        <f t="shared" si="13"/>
        <v>0</v>
      </c>
      <c r="J94" t="b">
        <f t="shared" si="14"/>
        <v>0</v>
      </c>
      <c r="K94" t="b">
        <f t="shared" si="15"/>
        <v>0</v>
      </c>
      <c r="L94" t="b">
        <f t="shared" si="16"/>
        <v>0</v>
      </c>
      <c r="M94" t="b">
        <f t="shared" si="17"/>
        <v>0</v>
      </c>
      <c r="N94" s="535"/>
      <c r="O94" s="558"/>
      <c r="R94" s="535"/>
      <c r="S94" s="558"/>
      <c r="V94" s="535"/>
      <c r="W94" s="558"/>
      <c r="Z94" s="535"/>
      <c r="AA94" s="558"/>
      <c r="AD94" s="535"/>
      <c r="AE94" s="558"/>
      <c r="AH94" s="535"/>
      <c r="AI94" s="558"/>
      <c r="AL94" s="535"/>
      <c r="AP94" s="535"/>
    </row>
    <row r="95">
      <c r="A95" s="552"/>
      <c r="B95" s="552"/>
      <c r="C95" t="str">
        <f>Filtered!I87</f>
        <v>Journal of the American College of Cardiology</v>
      </c>
      <c r="D95" t="str">
        <f>Filtered!J87</f>
        <v>Health &amp; Medical Sciences</v>
      </c>
      <c r="E95" t="str">
        <f>Filtered!L87</f>
        <v>Single blind</v>
      </c>
      <c r="F95" t="b">
        <f t="shared" si="10"/>
        <v>0</v>
      </c>
      <c r="G95" t="b">
        <f t="shared" si="11"/>
        <v>0</v>
      </c>
      <c r="H95" t="b">
        <f t="shared" si="12"/>
        <v>0</v>
      </c>
      <c r="I95" t="b">
        <f t="shared" si="13"/>
        <v>1</v>
      </c>
      <c r="J95" t="b">
        <f t="shared" si="14"/>
        <v>0</v>
      </c>
      <c r="K95" t="b">
        <f t="shared" si="15"/>
        <v>0</v>
      </c>
      <c r="L95" t="b">
        <f t="shared" si="16"/>
        <v>0</v>
      </c>
      <c r="M95" t="b">
        <f t="shared" si="17"/>
        <v>0</v>
      </c>
      <c r="N95" s="535"/>
      <c r="O95" s="558"/>
      <c r="R95" s="535"/>
      <c r="S95" s="558"/>
      <c r="V95" s="535"/>
      <c r="W95" s="558"/>
      <c r="Z95" s="535"/>
      <c r="AA95" s="558"/>
      <c r="AD95" s="535"/>
      <c r="AE95" s="558"/>
      <c r="AH95" s="535"/>
      <c r="AI95" s="558"/>
      <c r="AL95" s="535"/>
      <c r="AP95" s="535"/>
    </row>
    <row r="96">
      <c r="A96" s="552"/>
      <c r="B96" s="552"/>
      <c r="C96" t="str">
        <f>Filtered!I88</f>
        <v>Journal of Youth and Adolescence</v>
      </c>
      <c r="D96" t="str">
        <f>Filtered!J88</f>
        <v>Social Sciences</v>
      </c>
      <c r="E96" t="str">
        <f>Filtered!L88</f>
        <v>Double blind</v>
      </c>
      <c r="F96" t="b">
        <f t="shared" si="10"/>
        <v>0</v>
      </c>
      <c r="G96" t="b">
        <f t="shared" si="11"/>
        <v>0</v>
      </c>
      <c r="H96" t="b">
        <f t="shared" si="12"/>
        <v>0</v>
      </c>
      <c r="I96" t="b">
        <f t="shared" si="13"/>
        <v>0</v>
      </c>
      <c r="J96" t="b">
        <f t="shared" si="14"/>
        <v>0</v>
      </c>
      <c r="K96" t="b">
        <f t="shared" si="15"/>
        <v>0</v>
      </c>
      <c r="L96" t="b">
        <f t="shared" si="16"/>
        <v>0</v>
      </c>
      <c r="M96" t="b">
        <f t="shared" si="17"/>
        <v>1</v>
      </c>
      <c r="N96" s="535"/>
      <c r="O96" s="558"/>
      <c r="R96" s="535"/>
      <c r="S96" s="558"/>
      <c r="V96" s="535"/>
      <c r="W96" s="558"/>
      <c r="Z96" s="535"/>
      <c r="AA96" s="558"/>
      <c r="AD96" s="535"/>
      <c r="AE96" s="558"/>
      <c r="AH96" s="535"/>
      <c r="AI96" s="558"/>
      <c r="AL96" s="535"/>
      <c r="AP96" s="535"/>
    </row>
    <row r="97">
      <c r="A97" s="552"/>
      <c r="B97" s="552"/>
      <c r="C97" t="str">
        <f>Filtered!I89</f>
        <v>Journalism</v>
      </c>
      <c r="D97" t="str">
        <f>Filtered!J89</f>
        <v>Humanities, Literature &amp; Arts</v>
      </c>
      <c r="E97" t="str">
        <f>Filtered!L89</f>
        <v>Double blind</v>
      </c>
      <c r="F97" t="b">
        <f t="shared" si="10"/>
        <v>0</v>
      </c>
      <c r="G97" t="b">
        <f t="shared" si="11"/>
        <v>0</v>
      </c>
      <c r="H97" t="b">
        <f t="shared" si="12"/>
        <v>0</v>
      </c>
      <c r="I97" t="b">
        <f t="shared" si="13"/>
        <v>0</v>
      </c>
      <c r="J97" t="b">
        <f t="shared" si="14"/>
        <v>1</v>
      </c>
      <c r="K97" t="b">
        <f t="shared" si="15"/>
        <v>0</v>
      </c>
      <c r="L97" t="b">
        <f t="shared" si="16"/>
        <v>0</v>
      </c>
      <c r="M97" t="b">
        <f t="shared" si="17"/>
        <v>0</v>
      </c>
      <c r="N97" s="535"/>
      <c r="O97" s="558"/>
      <c r="R97" s="535"/>
      <c r="S97" s="558"/>
      <c r="V97" s="535"/>
      <c r="W97" s="558"/>
      <c r="Z97" s="535"/>
      <c r="AA97" s="558"/>
      <c r="AD97" s="535"/>
      <c r="AE97" s="558"/>
      <c r="AH97" s="535"/>
      <c r="AI97" s="558"/>
      <c r="AL97" s="535"/>
      <c r="AP97" s="535"/>
    </row>
    <row r="98">
      <c r="A98" s="552"/>
      <c r="B98" s="552"/>
      <c r="C98" t="str">
        <f>Filtered!I90</f>
        <v>Journalism Practice</v>
      </c>
      <c r="D98" t="str">
        <f>Filtered!J90</f>
        <v>Humanities, Literature &amp; Arts</v>
      </c>
      <c r="E98" t="str">
        <f>Filtered!L90</f>
        <v>Double blind</v>
      </c>
      <c r="F98" t="b">
        <f t="shared" si="10"/>
        <v>0</v>
      </c>
      <c r="G98" t="b">
        <f t="shared" si="11"/>
        <v>0</v>
      </c>
      <c r="H98" t="b">
        <f t="shared" si="12"/>
        <v>0</v>
      </c>
      <c r="I98" t="b">
        <f t="shared" si="13"/>
        <v>0</v>
      </c>
      <c r="J98" t="b">
        <f t="shared" si="14"/>
        <v>1</v>
      </c>
      <c r="K98" t="b">
        <f t="shared" si="15"/>
        <v>0</v>
      </c>
      <c r="L98" t="b">
        <f t="shared" si="16"/>
        <v>0</v>
      </c>
      <c r="M98" t="b">
        <f t="shared" si="17"/>
        <v>0</v>
      </c>
      <c r="N98" s="535"/>
      <c r="O98" s="558"/>
      <c r="R98" s="535"/>
      <c r="S98" s="558"/>
      <c r="V98" s="535"/>
      <c r="W98" s="558"/>
      <c r="Z98" s="535"/>
      <c r="AA98" s="558"/>
      <c r="AD98" s="535"/>
      <c r="AE98" s="558"/>
      <c r="AH98" s="535"/>
      <c r="AI98" s="558"/>
      <c r="AL98" s="535"/>
      <c r="AP98" s="535"/>
    </row>
    <row r="99">
      <c r="A99" s="552"/>
      <c r="B99" s="552"/>
      <c r="C99" t="str">
        <f>Filtered!I91</f>
        <v>Journalism Studies</v>
      </c>
      <c r="D99" t="str">
        <f>Filtered!J91</f>
        <v>Humanities, Literature &amp; Arts</v>
      </c>
      <c r="E99" t="str">
        <f>Filtered!L91</f>
        <v>Double blind</v>
      </c>
      <c r="F99" t="b">
        <f t="shared" si="10"/>
        <v>0</v>
      </c>
      <c r="G99" t="b">
        <f t="shared" si="11"/>
        <v>0</v>
      </c>
      <c r="H99" t="b">
        <f t="shared" si="12"/>
        <v>0</v>
      </c>
      <c r="I99" t="b">
        <f t="shared" si="13"/>
        <v>0</v>
      </c>
      <c r="J99" t="b">
        <f t="shared" si="14"/>
        <v>1</v>
      </c>
      <c r="K99" t="b">
        <f t="shared" si="15"/>
        <v>0</v>
      </c>
      <c r="L99" t="b">
        <f t="shared" si="16"/>
        <v>0</v>
      </c>
      <c r="M99" t="b">
        <f t="shared" si="17"/>
        <v>0</v>
      </c>
      <c r="N99" s="535"/>
      <c r="O99" s="558"/>
      <c r="R99" s="535"/>
      <c r="S99" s="558"/>
      <c r="V99" s="535"/>
      <c r="W99" s="558"/>
      <c r="Z99" s="535"/>
      <c r="AA99" s="558"/>
      <c r="AD99" s="535"/>
      <c r="AE99" s="558"/>
      <c r="AH99" s="535"/>
      <c r="AI99" s="558"/>
      <c r="AL99" s="535"/>
      <c r="AP99" s="535"/>
    </row>
    <row r="100">
      <c r="A100" s="552"/>
      <c r="B100" s="552"/>
      <c r="C100" t="str">
        <f>Filtered!I92</f>
        <v>Land Use Policy</v>
      </c>
      <c r="D100" t="str">
        <f>Filtered!J92</f>
        <v>Social Sciences</v>
      </c>
      <c r="E100" t="str">
        <f>Filtered!L92</f>
        <v>Double blind</v>
      </c>
      <c r="F100" t="b">
        <f t="shared" si="10"/>
        <v>0</v>
      </c>
      <c r="G100" t="b">
        <f t="shared" si="11"/>
        <v>0</v>
      </c>
      <c r="H100" t="b">
        <f t="shared" si="12"/>
        <v>0</v>
      </c>
      <c r="I100" t="b">
        <f t="shared" si="13"/>
        <v>0</v>
      </c>
      <c r="J100" t="b">
        <f t="shared" si="14"/>
        <v>0</v>
      </c>
      <c r="K100" t="b">
        <f t="shared" si="15"/>
        <v>0</v>
      </c>
      <c r="L100" t="b">
        <f t="shared" si="16"/>
        <v>0</v>
      </c>
      <c r="M100" t="b">
        <f t="shared" si="17"/>
        <v>1</v>
      </c>
      <c r="N100" s="535"/>
      <c r="O100" s="558"/>
      <c r="R100" s="535"/>
      <c r="S100" s="558"/>
      <c r="V100" s="535"/>
      <c r="W100" s="558"/>
      <c r="Z100" s="535"/>
      <c r="AA100" s="558"/>
      <c r="AD100" s="535"/>
      <c r="AE100" s="558"/>
      <c r="AH100" s="535"/>
      <c r="AI100" s="558"/>
      <c r="AL100" s="535"/>
      <c r="AP100" s="535"/>
    </row>
    <row r="101">
      <c r="A101" s="552"/>
      <c r="B101" s="552"/>
      <c r="C101" t="str">
        <f>Filtered!I93</f>
        <v>Language Learning</v>
      </c>
      <c r="D101" t="str">
        <f>Filtered!J93</f>
        <v>Humanities, Literature &amp; Arts</v>
      </c>
      <c r="E101" t="str">
        <f>Filtered!L93</f>
        <v>Other: author choice of single or double blind</v>
      </c>
      <c r="F101" t="b">
        <f t="shared" si="10"/>
        <v>0</v>
      </c>
      <c r="G101" t="b">
        <f t="shared" si="11"/>
        <v>0</v>
      </c>
      <c r="H101" t="b">
        <f t="shared" si="12"/>
        <v>0</v>
      </c>
      <c r="I101" t="b">
        <f t="shared" si="13"/>
        <v>0</v>
      </c>
      <c r="J101" t="b">
        <f t="shared" si="14"/>
        <v>1</v>
      </c>
      <c r="K101" t="b">
        <f t="shared" si="15"/>
        <v>0</v>
      </c>
      <c r="L101" t="b">
        <f t="shared" si="16"/>
        <v>0</v>
      </c>
      <c r="M101" t="b">
        <f t="shared" si="17"/>
        <v>0</v>
      </c>
      <c r="N101" s="535"/>
      <c r="O101" s="558"/>
      <c r="R101" s="535"/>
      <c r="S101" s="558"/>
      <c r="V101" s="535"/>
      <c r="W101" s="558"/>
      <c r="Z101" s="535"/>
      <c r="AA101" s="558"/>
      <c r="AD101" s="535"/>
      <c r="AE101" s="558"/>
      <c r="AH101" s="535"/>
      <c r="AI101" s="558"/>
      <c r="AL101" s="535"/>
      <c r="AP101" s="535"/>
    </row>
    <row r="102">
      <c r="A102" s="552"/>
      <c r="B102" s="552"/>
      <c r="C102" t="str">
        <f>Filtered!I94</f>
        <v>Lingua</v>
      </c>
      <c r="D102" t="str">
        <f>Filtered!J94</f>
        <v>Humanities, Literature &amp; Arts</v>
      </c>
      <c r="E102" t="str">
        <f>Filtered!L94</f>
        <v>Double blind</v>
      </c>
      <c r="F102" t="b">
        <f t="shared" si="10"/>
        <v>0</v>
      </c>
      <c r="G102" t="b">
        <f t="shared" si="11"/>
        <v>0</v>
      </c>
      <c r="H102" t="b">
        <f t="shared" si="12"/>
        <v>0</v>
      </c>
      <c r="I102" t="b">
        <f t="shared" si="13"/>
        <v>0</v>
      </c>
      <c r="J102" t="b">
        <f t="shared" si="14"/>
        <v>1</v>
      </c>
      <c r="K102" t="b">
        <f t="shared" si="15"/>
        <v>0</v>
      </c>
      <c r="L102" t="b">
        <f t="shared" si="16"/>
        <v>0</v>
      </c>
      <c r="M102" t="b">
        <f t="shared" si="17"/>
        <v>0</v>
      </c>
      <c r="N102" s="535"/>
      <c r="O102" s="558"/>
      <c r="R102" s="535"/>
      <c r="S102" s="558"/>
      <c r="V102" s="535"/>
      <c r="W102" s="558"/>
      <c r="Z102" s="535"/>
      <c r="AA102" s="558"/>
      <c r="AD102" s="535"/>
      <c r="AE102" s="558"/>
      <c r="AH102" s="535"/>
      <c r="AI102" s="558"/>
      <c r="AL102" s="535"/>
      <c r="AP102" s="535"/>
    </row>
    <row r="103">
      <c r="A103" s="552"/>
      <c r="B103" s="552"/>
      <c r="C103" t="str">
        <f>Filtered!I95</f>
        <v>Management Information Systems Quarterly</v>
      </c>
      <c r="D103" t="str">
        <f>Filtered!J95</f>
        <v>Business, Economics &amp; Management</v>
      </c>
      <c r="E103" t="str">
        <f>Filtered!L95</f>
        <v>Double-blind</v>
      </c>
      <c r="F103" t="b">
        <f t="shared" si="10"/>
        <v>1</v>
      </c>
      <c r="G103" t="b">
        <f t="shared" si="11"/>
        <v>0</v>
      </c>
      <c r="H103" t="b">
        <f t="shared" si="12"/>
        <v>0</v>
      </c>
      <c r="I103" t="b">
        <f t="shared" si="13"/>
        <v>0</v>
      </c>
      <c r="J103" t="b">
        <f t="shared" si="14"/>
        <v>0</v>
      </c>
      <c r="K103" t="b">
        <f t="shared" si="15"/>
        <v>0</v>
      </c>
      <c r="L103" t="b">
        <f t="shared" si="16"/>
        <v>0</v>
      </c>
      <c r="M103" t="b">
        <f t="shared" si="17"/>
        <v>0</v>
      </c>
      <c r="N103" s="535"/>
      <c r="O103" s="558"/>
      <c r="R103" s="535"/>
      <c r="S103" s="558"/>
      <c r="V103" s="535"/>
      <c r="W103" s="558"/>
      <c r="Z103" s="535"/>
      <c r="AA103" s="558"/>
      <c r="AD103" s="535"/>
      <c r="AE103" s="558"/>
      <c r="AH103" s="535"/>
      <c r="AI103" s="558"/>
      <c r="AL103" s="535"/>
      <c r="AP103" s="535"/>
    </row>
    <row r="104">
      <c r="A104" s="552"/>
      <c r="B104" s="552"/>
      <c r="C104" t="str">
        <f>Filtered!I96</f>
        <v>Management Science</v>
      </c>
      <c r="D104" t="str">
        <f>Filtered!J96</f>
        <v>Business, Economics &amp; Management</v>
      </c>
      <c r="E104" t="str">
        <f>Filtered!L96</f>
        <v>Double blind</v>
      </c>
      <c r="F104" t="b">
        <f t="shared" si="10"/>
        <v>1</v>
      </c>
      <c r="G104" t="b">
        <f t="shared" si="11"/>
        <v>0</v>
      </c>
      <c r="H104" t="b">
        <f t="shared" si="12"/>
        <v>0</v>
      </c>
      <c r="I104" t="b">
        <f t="shared" si="13"/>
        <v>0</v>
      </c>
      <c r="J104" t="b">
        <f t="shared" si="14"/>
        <v>0</v>
      </c>
      <c r="K104" t="b">
        <f t="shared" si="15"/>
        <v>0</v>
      </c>
      <c r="L104" t="b">
        <f t="shared" si="16"/>
        <v>0</v>
      </c>
      <c r="M104" t="b">
        <f t="shared" si="17"/>
        <v>0</v>
      </c>
      <c r="N104" s="535"/>
      <c r="O104" s="558"/>
      <c r="R104" s="535"/>
      <c r="S104" s="558"/>
      <c r="V104" s="535"/>
      <c r="W104" s="558"/>
      <c r="Z104" s="535"/>
      <c r="AA104" s="558"/>
      <c r="AD104" s="535"/>
      <c r="AE104" s="558"/>
      <c r="AH104" s="535"/>
      <c r="AI104" s="558"/>
      <c r="AL104" s="535"/>
      <c r="AP104" s="535"/>
    </row>
    <row r="105">
      <c r="A105" s="552"/>
      <c r="B105" s="552"/>
      <c r="C105" t="str">
        <f>Filtered!I97</f>
        <v>Media, Culture &amp; Society</v>
      </c>
      <c r="D105" t="str">
        <f>Filtered!J97</f>
        <v>Humanities, Literature &amp; Arts</v>
      </c>
      <c r="E105" t="str">
        <f>Filtered!L97</f>
        <v>Double blind</v>
      </c>
      <c r="F105" t="b">
        <f t="shared" si="10"/>
        <v>0</v>
      </c>
      <c r="G105" t="b">
        <f t="shared" si="11"/>
        <v>0</v>
      </c>
      <c r="H105" t="b">
        <f t="shared" si="12"/>
        <v>0</v>
      </c>
      <c r="I105" t="b">
        <f t="shared" si="13"/>
        <v>0</v>
      </c>
      <c r="J105" t="b">
        <f t="shared" si="14"/>
        <v>1</v>
      </c>
      <c r="K105" t="b">
        <f t="shared" si="15"/>
        <v>0</v>
      </c>
      <c r="L105" t="b">
        <f t="shared" si="16"/>
        <v>0</v>
      </c>
      <c r="M105" t="b">
        <f t="shared" si="17"/>
        <v>0</v>
      </c>
      <c r="N105" s="535"/>
      <c r="O105" s="558"/>
      <c r="R105" s="535"/>
      <c r="S105" s="558"/>
      <c r="V105" s="535"/>
      <c r="W105" s="558"/>
      <c r="Z105" s="535"/>
      <c r="AA105" s="558"/>
      <c r="AD105" s="535"/>
      <c r="AE105" s="558"/>
      <c r="AH105" s="535"/>
      <c r="AI105" s="558"/>
      <c r="AL105" s="535"/>
      <c r="AP105" s="535"/>
    </row>
    <row r="106">
      <c r="A106" s="552"/>
      <c r="B106" s="552"/>
      <c r="C106" t="str">
        <f>Filtered!I98</f>
        <v>Molecular Cell</v>
      </c>
      <c r="D106" t="str">
        <f>Filtered!J98</f>
        <v>Life Sciences &amp; Earth Sciences</v>
      </c>
      <c r="E106" t="str">
        <f>Filtered!L98</f>
        <v>Unsure</v>
      </c>
      <c r="F106" t="b">
        <f t="shared" si="10"/>
        <v>0</v>
      </c>
      <c r="G106" t="b">
        <f t="shared" si="11"/>
        <v>0</v>
      </c>
      <c r="H106" t="b">
        <f t="shared" si="12"/>
        <v>0</v>
      </c>
      <c r="I106" t="b">
        <f t="shared" si="13"/>
        <v>0</v>
      </c>
      <c r="J106" t="b">
        <f t="shared" si="14"/>
        <v>0</v>
      </c>
      <c r="K106" t="b">
        <f t="shared" si="15"/>
        <v>1</v>
      </c>
      <c r="L106" t="b">
        <f t="shared" si="16"/>
        <v>0</v>
      </c>
      <c r="M106" t="b">
        <f t="shared" si="17"/>
        <v>0</v>
      </c>
      <c r="N106" s="535"/>
      <c r="O106" s="558"/>
      <c r="R106" s="535"/>
      <c r="S106" s="558"/>
      <c r="V106" s="535"/>
      <c r="W106" s="558"/>
      <c r="Z106" s="535"/>
      <c r="AA106" s="558"/>
      <c r="AD106" s="535"/>
      <c r="AE106" s="558"/>
      <c r="AH106" s="535"/>
      <c r="AI106" s="558"/>
      <c r="AL106" s="535"/>
      <c r="AP106" s="535"/>
    </row>
    <row r="107">
      <c r="A107" s="552"/>
      <c r="B107" s="552"/>
      <c r="C107" t="str">
        <f>Filtered!I99</f>
        <v>Monthly Notices of the Royal Astronomical Society</v>
      </c>
      <c r="D107" t="str">
        <f>Filtered!J99</f>
        <v>Physics &amp; Mathematics</v>
      </c>
      <c r="E107" t="str">
        <f>Filtered!L99</f>
        <v>Single blind</v>
      </c>
      <c r="F107" t="b">
        <f t="shared" si="10"/>
        <v>0</v>
      </c>
      <c r="G107" t="b">
        <f t="shared" si="11"/>
        <v>0</v>
      </c>
      <c r="H107" t="b">
        <f t="shared" si="12"/>
        <v>0</v>
      </c>
      <c r="I107" t="b">
        <f t="shared" si="13"/>
        <v>0</v>
      </c>
      <c r="J107" t="b">
        <f t="shared" si="14"/>
        <v>0</v>
      </c>
      <c r="K107" t="b">
        <f t="shared" si="15"/>
        <v>0</v>
      </c>
      <c r="L107" t="b">
        <f t="shared" si="16"/>
        <v>1</v>
      </c>
      <c r="M107" t="b">
        <f t="shared" si="17"/>
        <v>0</v>
      </c>
      <c r="N107" s="535"/>
      <c r="O107" s="558"/>
      <c r="R107" s="535"/>
      <c r="S107" s="558"/>
      <c r="V107" s="535"/>
      <c r="W107" s="558"/>
      <c r="Z107" s="535"/>
      <c r="AA107" s="558"/>
      <c r="AD107" s="535"/>
      <c r="AE107" s="558"/>
      <c r="AH107" s="535"/>
      <c r="AI107" s="558"/>
      <c r="AL107" s="535"/>
      <c r="AP107" s="535"/>
    </row>
    <row r="108">
      <c r="A108" s="552"/>
      <c r="B108" s="552"/>
      <c r="C108" t="str">
        <f>Filtered!I100</f>
        <v>Nano Letters</v>
      </c>
      <c r="D108" t="str">
        <f>Filtered!J100</f>
        <v>Chemical &amp; Materials Sciences,
Engineering &amp; Computer Science</v>
      </c>
      <c r="E108" t="str">
        <f>Filtered!L100</f>
        <v>Unsure</v>
      </c>
      <c r="F108" t="b">
        <f t="shared" si="10"/>
        <v>0</v>
      </c>
      <c r="G108" t="b">
        <f t="shared" si="11"/>
        <v>1</v>
      </c>
      <c r="H108" t="b">
        <f t="shared" si="12"/>
        <v>1</v>
      </c>
      <c r="I108" t="b">
        <f t="shared" si="13"/>
        <v>0</v>
      </c>
      <c r="J108" t="b">
        <f t="shared" si="14"/>
        <v>0</v>
      </c>
      <c r="K108" t="b">
        <f t="shared" si="15"/>
        <v>0</v>
      </c>
      <c r="L108" t="b">
        <f t="shared" si="16"/>
        <v>0</v>
      </c>
      <c r="M108" t="b">
        <f t="shared" si="17"/>
        <v>0</v>
      </c>
      <c r="N108" s="535"/>
      <c r="O108" s="558"/>
      <c r="R108" s="535"/>
      <c r="S108" s="558"/>
      <c r="V108" s="535"/>
      <c r="W108" s="558"/>
      <c r="Z108" s="535"/>
      <c r="AA108" s="558"/>
      <c r="AD108" s="535"/>
      <c r="AE108" s="558"/>
      <c r="AH108" s="535"/>
      <c r="AI108" s="558"/>
      <c r="AL108" s="535"/>
      <c r="AP108" s="535"/>
    </row>
    <row r="109">
      <c r="A109" s="552"/>
      <c r="B109" s="552"/>
      <c r="C109" t="str">
        <f>Filtered!I101</f>
        <v>Nanoscale</v>
      </c>
      <c r="D109" t="str">
        <f>Filtered!J101</f>
        <v>Chemical &amp; Materials Sciences,
Engineering &amp; Computer Science</v>
      </c>
      <c r="E109" t="str">
        <f>Filtered!L101</f>
        <v>Unsure (at least single blind)</v>
      </c>
      <c r="F109" t="b">
        <f t="shared" si="10"/>
        <v>0</v>
      </c>
      <c r="G109" t="b">
        <f t="shared" si="11"/>
        <v>1</v>
      </c>
      <c r="H109" t="b">
        <f t="shared" si="12"/>
        <v>1</v>
      </c>
      <c r="I109" t="b">
        <f t="shared" si="13"/>
        <v>0</v>
      </c>
      <c r="J109" t="b">
        <f t="shared" si="14"/>
        <v>0</v>
      </c>
      <c r="K109" t="b">
        <f t="shared" si="15"/>
        <v>0</v>
      </c>
      <c r="L109" t="b">
        <f t="shared" si="16"/>
        <v>0</v>
      </c>
      <c r="M109" t="b">
        <f t="shared" si="17"/>
        <v>0</v>
      </c>
      <c r="N109" s="535"/>
      <c r="O109" s="558"/>
      <c r="R109" s="535"/>
      <c r="S109" s="558"/>
      <c r="V109" s="535"/>
      <c r="W109" s="558"/>
      <c r="Z109" s="535"/>
      <c r="AA109" s="558"/>
      <c r="AD109" s="535"/>
      <c r="AE109" s="558"/>
      <c r="AH109" s="535"/>
      <c r="AI109" s="558"/>
      <c r="AL109" s="535"/>
      <c r="AP109" s="535"/>
    </row>
    <row r="110">
      <c r="A110" s="552"/>
      <c r="B110" s="552"/>
      <c r="C110" t="str">
        <f>Filtered!I102</f>
        <v>Nature</v>
      </c>
      <c r="D110" t="str">
        <f>Filtered!J102</f>
        <v>Life Sciences &amp; Earth Sciences</v>
      </c>
      <c r="E110" t="str">
        <f>Filtered!L102</f>
        <v>Other: Single blind is standard (but authors can choose Double blind, and reviewers can sign their names if they wish)</v>
      </c>
      <c r="F110" t="b">
        <f t="shared" si="10"/>
        <v>0</v>
      </c>
      <c r="G110" t="b">
        <f t="shared" si="11"/>
        <v>0</v>
      </c>
      <c r="H110" t="b">
        <f t="shared" si="12"/>
        <v>0</v>
      </c>
      <c r="I110" t="b">
        <f t="shared" si="13"/>
        <v>0</v>
      </c>
      <c r="J110" t="b">
        <f t="shared" si="14"/>
        <v>0</v>
      </c>
      <c r="K110" t="b">
        <f t="shared" si="15"/>
        <v>1</v>
      </c>
      <c r="L110" t="b">
        <f t="shared" si="16"/>
        <v>0</v>
      </c>
      <c r="M110" t="b">
        <f t="shared" si="17"/>
        <v>0</v>
      </c>
      <c r="N110" s="535"/>
      <c r="O110" s="558"/>
      <c r="R110" s="535"/>
      <c r="S110" s="558"/>
      <c r="V110" s="535"/>
      <c r="W110" s="558"/>
      <c r="Z110" s="535"/>
      <c r="AA110" s="558"/>
      <c r="AD110" s="535"/>
      <c r="AE110" s="558"/>
      <c r="AH110" s="535"/>
      <c r="AI110" s="558"/>
      <c r="AL110" s="535"/>
      <c r="AP110" s="535"/>
    </row>
    <row r="111">
      <c r="A111" s="552"/>
      <c r="B111" s="552"/>
      <c r="C111" t="str">
        <f>Filtered!I103</f>
        <v>Nature Biotechnology</v>
      </c>
      <c r="D111" t="str">
        <f>Filtered!J103</f>
        <v>Life Sciences &amp; Earth Sciences</v>
      </c>
      <c r="E111" t="str">
        <f>Filtered!L103</f>
        <v>Other (Single blind is standard but authors can choose Double blind, and reviewers can sign their names if they wish)</v>
      </c>
      <c r="F111" t="b">
        <f t="shared" si="10"/>
        <v>0</v>
      </c>
      <c r="G111" t="b">
        <f t="shared" si="11"/>
        <v>0</v>
      </c>
      <c r="H111" t="b">
        <f t="shared" si="12"/>
        <v>0</v>
      </c>
      <c r="I111" t="b">
        <f t="shared" si="13"/>
        <v>0</v>
      </c>
      <c r="J111" t="b">
        <f t="shared" si="14"/>
        <v>0</v>
      </c>
      <c r="K111" t="b">
        <f t="shared" si="15"/>
        <v>1</v>
      </c>
      <c r="L111" t="b">
        <f t="shared" si="16"/>
        <v>0</v>
      </c>
      <c r="M111" t="b">
        <f t="shared" si="17"/>
        <v>0</v>
      </c>
      <c r="N111" s="535"/>
      <c r="O111" s="558"/>
      <c r="R111" s="535"/>
      <c r="S111" s="558"/>
      <c r="V111" s="535"/>
      <c r="W111" s="558"/>
      <c r="Z111" s="535"/>
      <c r="AA111" s="558"/>
      <c r="AD111" s="535"/>
      <c r="AE111" s="558"/>
      <c r="AH111" s="535"/>
      <c r="AI111" s="558"/>
      <c r="AL111" s="535"/>
      <c r="AP111" s="535"/>
    </row>
    <row r="112">
      <c r="A112" s="552"/>
      <c r="B112" s="552"/>
      <c r="C112" t="str">
        <f>Filtered!I104</f>
        <v>Nature Cell Biology</v>
      </c>
      <c r="D112" t="str">
        <f>Filtered!J104</f>
        <v>Life Sciences &amp; Earth Sciences</v>
      </c>
      <c r="E112" t="str">
        <f>Filtered!L104</f>
        <v>Other (Single blind is standard but authors can choose Double blind, and reviewers can sign their names if they wish)</v>
      </c>
      <c r="F112" t="b">
        <f t="shared" si="10"/>
        <v>0</v>
      </c>
      <c r="G112" t="b">
        <f t="shared" si="11"/>
        <v>0</v>
      </c>
      <c r="H112" t="b">
        <f t="shared" si="12"/>
        <v>0</v>
      </c>
      <c r="I112" t="b">
        <f t="shared" si="13"/>
        <v>0</v>
      </c>
      <c r="J112" t="b">
        <f t="shared" si="14"/>
        <v>0</v>
      </c>
      <c r="K112" t="b">
        <f t="shared" si="15"/>
        <v>1</v>
      </c>
      <c r="L112" t="b">
        <f t="shared" si="16"/>
        <v>0</v>
      </c>
      <c r="M112" t="b">
        <f t="shared" si="17"/>
        <v>0</v>
      </c>
      <c r="N112" s="535"/>
      <c r="O112" s="558"/>
      <c r="R112" s="535"/>
      <c r="S112" s="558"/>
      <c r="V112" s="535"/>
      <c r="W112" s="558"/>
      <c r="Z112" s="535"/>
      <c r="AA112" s="558"/>
      <c r="AD112" s="535"/>
      <c r="AE112" s="558"/>
      <c r="AH112" s="535"/>
      <c r="AI112" s="558"/>
      <c r="AL112" s="535"/>
      <c r="AP112" s="535"/>
    </row>
    <row r="113">
      <c r="A113" s="552"/>
      <c r="B113" s="552"/>
      <c r="C113" t="str">
        <f>Filtered!I105</f>
        <v>Nature Chemistry</v>
      </c>
      <c r="D113" t="str">
        <f>Filtered!J105</f>
        <v>Chemical &amp; Materials Sciences</v>
      </c>
      <c r="E113" t="str">
        <f>Filtered!L105</f>
        <v>Other (Single blind is standard but authors can choose Double blind, and reviewers can sign their names if they wish)</v>
      </c>
      <c r="F113" t="b">
        <f t="shared" si="10"/>
        <v>0</v>
      </c>
      <c r="G113" t="b">
        <f t="shared" si="11"/>
        <v>1</v>
      </c>
      <c r="H113" t="b">
        <f t="shared" si="12"/>
        <v>0</v>
      </c>
      <c r="I113" t="b">
        <f t="shared" si="13"/>
        <v>0</v>
      </c>
      <c r="J113" t="b">
        <f t="shared" si="14"/>
        <v>0</v>
      </c>
      <c r="K113" t="b">
        <f t="shared" si="15"/>
        <v>0</v>
      </c>
      <c r="L113" t="b">
        <f t="shared" si="16"/>
        <v>0</v>
      </c>
      <c r="M113" t="b">
        <f t="shared" si="17"/>
        <v>0</v>
      </c>
      <c r="N113" s="535"/>
      <c r="O113" s="558"/>
      <c r="R113" s="535"/>
      <c r="S113" s="558"/>
      <c r="V113" s="535"/>
      <c r="W113" s="558"/>
      <c r="Z113" s="535"/>
      <c r="AA113" s="558"/>
      <c r="AD113" s="535"/>
      <c r="AE113" s="558"/>
      <c r="AH113" s="535"/>
      <c r="AI113" s="558"/>
      <c r="AL113" s="535"/>
      <c r="AP113" s="535"/>
    </row>
    <row r="114">
      <c r="A114" s="552"/>
      <c r="B114" s="552"/>
      <c r="C114" t="str">
        <f>Filtered!I106</f>
        <v>Nature Climate Change</v>
      </c>
      <c r="D114" t="str">
        <f>Filtered!J106</f>
        <v>Life Sciences &amp; Earth Sciences</v>
      </c>
      <c r="E114" t="str">
        <f>Filtered!L106</f>
        <v>Other (Single blind is standard but authors can choose Double blind, and reviewers can sign their names if they wish)</v>
      </c>
      <c r="F114" t="b">
        <f t="shared" si="10"/>
        <v>0</v>
      </c>
      <c r="G114" t="b">
        <f t="shared" si="11"/>
        <v>0</v>
      </c>
      <c r="H114" t="b">
        <f t="shared" si="12"/>
        <v>0</v>
      </c>
      <c r="I114" t="b">
        <f t="shared" si="13"/>
        <v>0</v>
      </c>
      <c r="J114" t="b">
        <f t="shared" si="14"/>
        <v>0</v>
      </c>
      <c r="K114" t="b">
        <f t="shared" si="15"/>
        <v>1</v>
      </c>
      <c r="L114" t="b">
        <f t="shared" si="16"/>
        <v>0</v>
      </c>
      <c r="M114" t="b">
        <f t="shared" si="17"/>
        <v>0</v>
      </c>
      <c r="N114" s="535"/>
      <c r="O114" s="558"/>
      <c r="R114" s="535"/>
      <c r="S114" s="558"/>
      <c r="V114" s="535"/>
      <c r="W114" s="558"/>
      <c r="Z114" s="535"/>
      <c r="AA114" s="558"/>
      <c r="AD114" s="535"/>
      <c r="AE114" s="558"/>
      <c r="AH114" s="535"/>
      <c r="AI114" s="558"/>
      <c r="AL114" s="535"/>
      <c r="AP114" s="535"/>
    </row>
    <row r="115">
      <c r="A115" s="552"/>
      <c r="B115" s="552"/>
      <c r="C115" t="str">
        <f>Filtered!I107</f>
        <v>Nature Communications</v>
      </c>
      <c r="D115" t="str">
        <f>Filtered!J107</f>
        <v>Life Sciences &amp; Earth Sciences</v>
      </c>
      <c r="E115" t="str">
        <f>Filtered!L107</f>
        <v>Other (Single blind is standard but authors can choose Double blind, and reviewers can sign their names if they wish)</v>
      </c>
      <c r="F115" t="b">
        <f t="shared" si="10"/>
        <v>0</v>
      </c>
      <c r="G115" t="b">
        <f t="shared" si="11"/>
        <v>0</v>
      </c>
      <c r="H115" t="b">
        <f t="shared" si="12"/>
        <v>0</v>
      </c>
      <c r="I115" t="b">
        <f t="shared" si="13"/>
        <v>0</v>
      </c>
      <c r="J115" t="b">
        <f t="shared" si="14"/>
        <v>0</v>
      </c>
      <c r="K115" t="b">
        <f t="shared" si="15"/>
        <v>1</v>
      </c>
      <c r="L115" t="b">
        <f t="shared" si="16"/>
        <v>0</v>
      </c>
      <c r="M115" t="b">
        <f t="shared" si="17"/>
        <v>0</v>
      </c>
      <c r="N115" s="535"/>
      <c r="O115" s="558"/>
      <c r="R115" s="535"/>
      <c r="S115" s="558"/>
      <c r="V115" s="535"/>
      <c r="W115" s="558"/>
      <c r="Z115" s="535"/>
      <c r="AA115" s="558"/>
      <c r="AD115" s="535"/>
      <c r="AE115" s="558"/>
      <c r="AH115" s="535"/>
      <c r="AI115" s="558"/>
      <c r="AL115" s="535"/>
      <c r="AP115" s="535"/>
    </row>
    <row r="116">
      <c r="A116" s="552"/>
      <c r="B116" s="552"/>
      <c r="C116" t="str">
        <f>Filtered!I108</f>
        <v>Nature Genetics</v>
      </c>
      <c r="D116" t="str">
        <f>Filtered!J108</f>
        <v>Health &amp; Medical Sciences,
Life Sciences &amp; Earth Sciences</v>
      </c>
      <c r="E116" t="str">
        <f>Filtered!L108</f>
        <v>Other (Single blind is standard but authors can choose Double blind, and reviewers can sign their names if they wish)</v>
      </c>
      <c r="F116" t="b">
        <f t="shared" si="10"/>
        <v>0</v>
      </c>
      <c r="G116" t="b">
        <f t="shared" si="11"/>
        <v>0</v>
      </c>
      <c r="H116" t="b">
        <f t="shared" si="12"/>
        <v>0</v>
      </c>
      <c r="I116" t="b">
        <f t="shared" si="13"/>
        <v>1</v>
      </c>
      <c r="J116" t="b">
        <f t="shared" si="14"/>
        <v>0</v>
      </c>
      <c r="K116" t="b">
        <f t="shared" si="15"/>
        <v>1</v>
      </c>
      <c r="L116" t="b">
        <f t="shared" si="16"/>
        <v>0</v>
      </c>
      <c r="M116" t="b">
        <f t="shared" si="17"/>
        <v>0</v>
      </c>
      <c r="N116" s="535"/>
      <c r="O116" s="558"/>
      <c r="R116" s="535"/>
      <c r="S116" s="558"/>
      <c r="V116" s="535"/>
      <c r="W116" s="558"/>
      <c r="Z116" s="535"/>
      <c r="AA116" s="558"/>
      <c r="AD116" s="535"/>
      <c r="AE116" s="558"/>
      <c r="AH116" s="535"/>
      <c r="AI116" s="558"/>
      <c r="AL116" s="535"/>
      <c r="AP116" s="535"/>
    </row>
    <row r="117">
      <c r="A117" s="552"/>
      <c r="B117" s="552"/>
      <c r="C117" t="str">
        <f>Filtered!I109</f>
        <v>Nature Immunology</v>
      </c>
      <c r="D117" t="str">
        <f>Filtered!J109</f>
        <v/>
      </c>
      <c r="E117" t="str">
        <f>Filtered!L109</f>
        <v>Other (Single blind is standard but authors can choose Double blind, and reviewers can sign their names if they wish)</v>
      </c>
      <c r="F117" t="b">
        <f t="shared" si="10"/>
        <v>0</v>
      </c>
      <c r="G117" t="b">
        <f t="shared" si="11"/>
        <v>0</v>
      </c>
      <c r="H117" t="b">
        <f t="shared" si="12"/>
        <v>0</v>
      </c>
      <c r="I117" t="b">
        <f t="shared" si="13"/>
        <v>0</v>
      </c>
      <c r="J117" t="b">
        <f t="shared" si="14"/>
        <v>0</v>
      </c>
      <c r="K117" t="b">
        <f t="shared" si="15"/>
        <v>0</v>
      </c>
      <c r="L117" t="b">
        <f t="shared" si="16"/>
        <v>0</v>
      </c>
      <c r="M117" t="b">
        <f t="shared" si="17"/>
        <v>0</v>
      </c>
      <c r="N117" s="535"/>
      <c r="O117" s="558"/>
      <c r="R117" s="535"/>
      <c r="S117" s="558"/>
      <c r="V117" s="535"/>
      <c r="W117" s="558"/>
      <c r="Z117" s="535"/>
      <c r="AA117" s="558"/>
      <c r="AD117" s="535"/>
      <c r="AE117" s="558"/>
      <c r="AH117" s="535"/>
      <c r="AI117" s="558"/>
      <c r="AL117" s="535"/>
      <c r="AP117" s="535"/>
    </row>
    <row r="118">
      <c r="A118" s="552"/>
      <c r="B118" s="552"/>
      <c r="C118" t="str">
        <f>Filtered!I110</f>
        <v>Nature Materials</v>
      </c>
      <c r="D118" t="str">
        <f>Filtered!J110</f>
        <v>Chemical &amp; Materials Sciences,
Engineering &amp; Computer Science</v>
      </c>
      <c r="E118" t="str">
        <f>Filtered!L110</f>
        <v>Other (Single blind is standard but authors can choose Double blind, and reviewers can sign their names if they wish)</v>
      </c>
      <c r="F118" t="b">
        <f t="shared" si="10"/>
        <v>0</v>
      </c>
      <c r="G118" t="b">
        <f t="shared" si="11"/>
        <v>1</v>
      </c>
      <c r="H118" t="b">
        <f t="shared" si="12"/>
        <v>1</v>
      </c>
      <c r="I118" t="b">
        <f t="shared" si="13"/>
        <v>0</v>
      </c>
      <c r="J118" t="b">
        <f t="shared" si="14"/>
        <v>0</v>
      </c>
      <c r="K118" t="b">
        <f t="shared" si="15"/>
        <v>0</v>
      </c>
      <c r="L118" t="b">
        <f t="shared" si="16"/>
        <v>0</v>
      </c>
      <c r="M118" t="b">
        <f t="shared" si="17"/>
        <v>0</v>
      </c>
      <c r="N118" s="535"/>
      <c r="O118" s="558"/>
      <c r="R118" s="535"/>
      <c r="S118" s="558"/>
      <c r="V118" s="535"/>
      <c r="W118" s="558"/>
      <c r="Z118" s="535"/>
      <c r="AA118" s="558"/>
      <c r="AD118" s="535"/>
      <c r="AE118" s="558"/>
      <c r="AH118" s="535"/>
      <c r="AI118" s="558"/>
      <c r="AL118" s="535"/>
      <c r="AP118" s="535"/>
    </row>
    <row r="119">
      <c r="A119" s="552"/>
      <c r="B119" s="552"/>
      <c r="C119" t="str">
        <f>Filtered!I111</f>
        <v>Nature Medicine</v>
      </c>
      <c r="D119" t="str">
        <f>Filtered!J111</f>
        <v>Health &amp; Medical Sciences</v>
      </c>
      <c r="E119" t="str">
        <f>Filtered!L111</f>
        <v>Other (Single blind is standard but authors can choose Double blind, and reviewers can sign their names if they wish)</v>
      </c>
      <c r="F119" t="b">
        <f t="shared" si="10"/>
        <v>0</v>
      </c>
      <c r="G119" t="b">
        <f t="shared" si="11"/>
        <v>0</v>
      </c>
      <c r="H119" t="b">
        <f t="shared" si="12"/>
        <v>0</v>
      </c>
      <c r="I119" t="b">
        <f t="shared" si="13"/>
        <v>1</v>
      </c>
      <c r="J119" t="b">
        <f t="shared" si="14"/>
        <v>0</v>
      </c>
      <c r="K119" t="b">
        <f t="shared" si="15"/>
        <v>0</v>
      </c>
      <c r="L119" t="b">
        <f t="shared" si="16"/>
        <v>0</v>
      </c>
      <c r="M119" t="b">
        <f t="shared" si="17"/>
        <v>0</v>
      </c>
      <c r="N119" s="535"/>
      <c r="O119" s="558"/>
      <c r="R119" s="535"/>
      <c r="S119" s="558"/>
      <c r="V119" s="535"/>
      <c r="W119" s="558"/>
      <c r="Z119" s="535"/>
      <c r="AA119" s="558"/>
      <c r="AD119" s="535"/>
      <c r="AE119" s="558"/>
      <c r="AH119" s="535"/>
      <c r="AI119" s="558"/>
      <c r="AL119" s="535"/>
      <c r="AP119" s="535"/>
    </row>
    <row r="120">
      <c r="A120" s="552"/>
      <c r="B120" s="552"/>
      <c r="C120" t="str">
        <f>Filtered!I112</f>
        <v>Nature Methods</v>
      </c>
      <c r="D120" t="str">
        <f>Filtered!J112</f>
        <v>Life Sciences &amp; Earth Sciences</v>
      </c>
      <c r="E120" t="str">
        <f>Filtered!L112</f>
        <v>Other (Single blind is standard but authors can choose Double blind, and reviewers can sign their names if they wish)</v>
      </c>
      <c r="F120" t="b">
        <f t="shared" si="10"/>
        <v>0</v>
      </c>
      <c r="G120" t="b">
        <f t="shared" si="11"/>
        <v>0</v>
      </c>
      <c r="H120" t="b">
        <f t="shared" si="12"/>
        <v>0</v>
      </c>
      <c r="I120" t="b">
        <f t="shared" si="13"/>
        <v>0</v>
      </c>
      <c r="J120" t="b">
        <f t="shared" si="14"/>
        <v>0</v>
      </c>
      <c r="K120" t="b">
        <f t="shared" si="15"/>
        <v>1</v>
      </c>
      <c r="L120" t="b">
        <f t="shared" si="16"/>
        <v>0</v>
      </c>
      <c r="M120" t="b">
        <f t="shared" si="17"/>
        <v>0</v>
      </c>
      <c r="N120" s="535"/>
      <c r="O120" s="558"/>
      <c r="R120" s="535"/>
      <c r="S120" s="558"/>
      <c r="V120" s="535"/>
      <c r="W120" s="558"/>
      <c r="Z120" s="535"/>
      <c r="AA120" s="558"/>
      <c r="AD120" s="535"/>
      <c r="AE120" s="558"/>
      <c r="AH120" s="535"/>
      <c r="AI120" s="558"/>
      <c r="AL120" s="535"/>
      <c r="AP120" s="535"/>
    </row>
    <row r="121">
      <c r="A121" s="552"/>
      <c r="B121" s="552"/>
      <c r="C121" t="str">
        <f>Filtered!I113</f>
        <v>Nature Nanotechnology</v>
      </c>
      <c r="D121" t="str">
        <f>Filtered!J113</f>
        <v>Chemical &amp; Materials Sciences,
Engineering &amp; Computer Science</v>
      </c>
      <c r="E121" t="str">
        <f>Filtered!L113</f>
        <v>Other (Single blind is standard but authors can choose Double blind, and reviewers can sign their names if they wish)</v>
      </c>
      <c r="F121" t="b">
        <f t="shared" si="10"/>
        <v>0</v>
      </c>
      <c r="G121" t="b">
        <f t="shared" si="11"/>
        <v>1</v>
      </c>
      <c r="H121" t="b">
        <f t="shared" si="12"/>
        <v>1</v>
      </c>
      <c r="I121" t="b">
        <f t="shared" si="13"/>
        <v>0</v>
      </c>
      <c r="J121" t="b">
        <f t="shared" si="14"/>
        <v>0</v>
      </c>
      <c r="K121" t="b">
        <f t="shared" si="15"/>
        <v>0</v>
      </c>
      <c r="L121" t="b">
        <f t="shared" si="16"/>
        <v>0</v>
      </c>
      <c r="M121" t="b">
        <f t="shared" si="17"/>
        <v>0</v>
      </c>
      <c r="N121" s="535"/>
      <c r="O121" s="558"/>
      <c r="R121" s="535"/>
      <c r="S121" s="558"/>
      <c r="V121" s="535"/>
      <c r="W121" s="558"/>
      <c r="Z121" s="535"/>
      <c r="AA121" s="558"/>
      <c r="AD121" s="535"/>
      <c r="AE121" s="558"/>
      <c r="AH121" s="535"/>
      <c r="AI121" s="558"/>
      <c r="AL121" s="535"/>
      <c r="AP121" s="535"/>
    </row>
    <row r="122">
      <c r="A122" s="552"/>
      <c r="B122" s="552"/>
      <c r="C122" t="str">
        <f>Filtered!I114</f>
        <v>Nature Neuroscience</v>
      </c>
      <c r="D122" t="str">
        <f>Filtered!J114</f>
        <v>Health &amp; Medical Sciences</v>
      </c>
      <c r="E122" t="str">
        <f>Filtered!L114</f>
        <v>Other (Single blind is standard but authors can choose Double blind, and reviewers can sign their names if they wish)</v>
      </c>
      <c r="F122" t="b">
        <f t="shared" si="10"/>
        <v>0</v>
      </c>
      <c r="G122" t="b">
        <f t="shared" si="11"/>
        <v>0</v>
      </c>
      <c r="H122" t="b">
        <f t="shared" si="12"/>
        <v>0</v>
      </c>
      <c r="I122" t="b">
        <f t="shared" si="13"/>
        <v>1</v>
      </c>
      <c r="J122" t="b">
        <f t="shared" si="14"/>
        <v>0</v>
      </c>
      <c r="K122" t="b">
        <f t="shared" si="15"/>
        <v>0</v>
      </c>
      <c r="L122" t="b">
        <f t="shared" si="16"/>
        <v>0</v>
      </c>
      <c r="M122" t="b">
        <f t="shared" si="17"/>
        <v>0</v>
      </c>
      <c r="N122" s="535"/>
      <c r="O122" s="558"/>
      <c r="R122" s="535"/>
      <c r="S122" s="558"/>
      <c r="V122" s="535"/>
      <c r="W122" s="558"/>
      <c r="Z122" s="535"/>
      <c r="AA122" s="558"/>
      <c r="AD122" s="535"/>
      <c r="AE122" s="558"/>
      <c r="AH122" s="535"/>
      <c r="AI122" s="558"/>
      <c r="AL122" s="535"/>
      <c r="AP122" s="535"/>
    </row>
    <row r="123">
      <c r="A123" s="552"/>
      <c r="B123" s="552"/>
      <c r="C123" t="str">
        <f>Filtered!I115</f>
        <v>Nature Photonics</v>
      </c>
      <c r="D123" t="str">
        <f>Filtered!J115</f>
        <v>Engineering &amp; Computer Science,
Physics &amp; Mathematics</v>
      </c>
      <c r="E123" t="str">
        <f>Filtered!L115</f>
        <v>Other (Single blind is standard but authors can choose Double blind, and reviewers can sign their names if they wish)</v>
      </c>
      <c r="F123" t="b">
        <f t="shared" si="10"/>
        <v>0</v>
      </c>
      <c r="G123" t="b">
        <f t="shared" si="11"/>
        <v>0</v>
      </c>
      <c r="H123" t="b">
        <f t="shared" si="12"/>
        <v>1</v>
      </c>
      <c r="I123" t="b">
        <f t="shared" si="13"/>
        <v>0</v>
      </c>
      <c r="J123" t="b">
        <f t="shared" si="14"/>
        <v>0</v>
      </c>
      <c r="K123" t="b">
        <f t="shared" si="15"/>
        <v>0</v>
      </c>
      <c r="L123" t="b">
        <f t="shared" si="16"/>
        <v>1</v>
      </c>
      <c r="M123" t="b">
        <f t="shared" si="17"/>
        <v>0</v>
      </c>
      <c r="N123" s="535"/>
      <c r="O123" s="558"/>
      <c r="R123" s="535"/>
      <c r="S123" s="558"/>
      <c r="V123" s="535"/>
      <c r="W123" s="558"/>
      <c r="Z123" s="535"/>
      <c r="AA123" s="558"/>
      <c r="AD123" s="535"/>
      <c r="AE123" s="558"/>
      <c r="AH123" s="535"/>
      <c r="AI123" s="558"/>
      <c r="AL123" s="535"/>
      <c r="AP123" s="535"/>
    </row>
    <row r="124">
      <c r="A124" s="552"/>
      <c r="B124" s="552"/>
      <c r="C124" t="str">
        <f>Filtered!I116</f>
        <v>Nature Physics</v>
      </c>
      <c r="D124" t="str">
        <f>Filtered!J116</f>
        <v>Physics &amp; Mathematics</v>
      </c>
      <c r="E124" t="str">
        <f>Filtered!L116</f>
        <v>Other (Single blind is standard but authors can choose Double blind, and reviewers can sign their names if they wish)</v>
      </c>
      <c r="F124" t="b">
        <f t="shared" si="10"/>
        <v>0</v>
      </c>
      <c r="G124" t="b">
        <f t="shared" si="11"/>
        <v>0</v>
      </c>
      <c r="H124" t="b">
        <f t="shared" si="12"/>
        <v>0</v>
      </c>
      <c r="I124" t="b">
        <f t="shared" si="13"/>
        <v>0</v>
      </c>
      <c r="J124" t="b">
        <f t="shared" si="14"/>
        <v>0</v>
      </c>
      <c r="K124" t="b">
        <f t="shared" si="15"/>
        <v>0</v>
      </c>
      <c r="L124" t="b">
        <f t="shared" si="16"/>
        <v>1</v>
      </c>
      <c r="M124" t="b">
        <f t="shared" si="17"/>
        <v>0</v>
      </c>
      <c r="N124" s="535"/>
      <c r="O124" s="558"/>
      <c r="R124" s="535"/>
      <c r="S124" s="558"/>
      <c r="V124" s="535"/>
      <c r="W124" s="558"/>
      <c r="Z124" s="535"/>
      <c r="AA124" s="558"/>
      <c r="AD124" s="535"/>
      <c r="AE124" s="558"/>
      <c r="AH124" s="535"/>
      <c r="AI124" s="558"/>
      <c r="AL124" s="535"/>
      <c r="AP124" s="535"/>
    </row>
    <row r="125">
      <c r="A125" s="552"/>
      <c r="B125" s="552"/>
      <c r="C125" t="str">
        <f>Filtered!I117</f>
        <v>Nature Reviews Cancer</v>
      </c>
      <c r="D125" t="str">
        <f>Filtered!J117</f>
        <v/>
      </c>
      <c r="E125" t="str">
        <f>Filtered!L117</f>
        <v>Unsure</v>
      </c>
      <c r="F125" t="b">
        <f t="shared" si="10"/>
        <v>0</v>
      </c>
      <c r="G125" t="b">
        <f t="shared" si="11"/>
        <v>0</v>
      </c>
      <c r="H125" t="b">
        <f t="shared" si="12"/>
        <v>0</v>
      </c>
      <c r="I125" t="b">
        <f t="shared" si="13"/>
        <v>0</v>
      </c>
      <c r="J125" t="b">
        <f t="shared" si="14"/>
        <v>0</v>
      </c>
      <c r="K125" t="b">
        <f t="shared" si="15"/>
        <v>0</v>
      </c>
      <c r="L125" t="b">
        <f t="shared" si="16"/>
        <v>0</v>
      </c>
      <c r="M125" t="b">
        <f t="shared" si="17"/>
        <v>0</v>
      </c>
      <c r="N125" s="535"/>
      <c r="O125" s="558"/>
      <c r="R125" s="535"/>
      <c r="S125" s="558"/>
      <c r="V125" s="535"/>
      <c r="W125" s="558"/>
      <c r="Z125" s="535"/>
      <c r="AA125" s="558"/>
      <c r="AD125" s="535"/>
      <c r="AE125" s="558"/>
      <c r="AH125" s="535"/>
      <c r="AI125" s="558"/>
      <c r="AL125" s="535"/>
      <c r="AP125" s="535"/>
    </row>
    <row r="126">
      <c r="A126" s="552"/>
      <c r="B126" s="552"/>
      <c r="C126" t="str">
        <f>Filtered!I118</f>
        <v>Nature Reviews Genetics</v>
      </c>
      <c r="D126" t="str">
        <f>Filtered!J118</f>
        <v>Life Sciences &amp; Earth Sciences</v>
      </c>
      <c r="E126" t="str">
        <f>Filtered!L118</f>
        <v>Unsure</v>
      </c>
      <c r="F126" t="b">
        <f t="shared" si="10"/>
        <v>0</v>
      </c>
      <c r="G126" t="b">
        <f t="shared" si="11"/>
        <v>0</v>
      </c>
      <c r="H126" t="b">
        <f t="shared" si="12"/>
        <v>0</v>
      </c>
      <c r="I126" t="b">
        <f t="shared" si="13"/>
        <v>0</v>
      </c>
      <c r="J126" t="b">
        <f t="shared" si="14"/>
        <v>0</v>
      </c>
      <c r="K126" t="b">
        <f t="shared" si="15"/>
        <v>1</v>
      </c>
      <c r="L126" t="b">
        <f t="shared" si="16"/>
        <v>0</v>
      </c>
      <c r="M126" t="b">
        <f t="shared" si="17"/>
        <v>0</v>
      </c>
      <c r="N126" s="535"/>
      <c r="O126" s="558"/>
      <c r="R126" s="535"/>
      <c r="S126" s="558"/>
      <c r="V126" s="535"/>
      <c r="W126" s="558"/>
      <c r="Z126" s="535"/>
      <c r="AA126" s="558"/>
      <c r="AD126" s="535"/>
      <c r="AE126" s="558"/>
      <c r="AH126" s="535"/>
      <c r="AI126" s="558"/>
      <c r="AL126" s="535"/>
      <c r="AP126" s="535"/>
    </row>
    <row r="127">
      <c r="A127" s="552"/>
      <c r="B127" s="552"/>
      <c r="C127" t="str">
        <f>Filtered!I119</f>
        <v>Nature Reviews Immunology</v>
      </c>
      <c r="D127" t="str">
        <f>Filtered!J119</f>
        <v/>
      </c>
      <c r="E127" t="str">
        <f>Filtered!L119</f>
        <v>Unsure</v>
      </c>
      <c r="F127" t="b">
        <f t="shared" si="10"/>
        <v>0</v>
      </c>
      <c r="G127" t="b">
        <f t="shared" si="11"/>
        <v>0</v>
      </c>
      <c r="H127" t="b">
        <f t="shared" si="12"/>
        <v>0</v>
      </c>
      <c r="I127" t="b">
        <f t="shared" si="13"/>
        <v>0</v>
      </c>
      <c r="J127" t="b">
        <f t="shared" si="14"/>
        <v>0</v>
      </c>
      <c r="K127" t="b">
        <f t="shared" si="15"/>
        <v>0</v>
      </c>
      <c r="L127" t="b">
        <f t="shared" si="16"/>
        <v>0</v>
      </c>
      <c r="M127" t="b">
        <f t="shared" si="17"/>
        <v>0</v>
      </c>
      <c r="N127" s="535"/>
      <c r="O127" s="558"/>
      <c r="R127" s="535"/>
      <c r="S127" s="558"/>
      <c r="V127" s="535"/>
      <c r="W127" s="558"/>
      <c r="Z127" s="535"/>
      <c r="AA127" s="558"/>
      <c r="AD127" s="535"/>
      <c r="AE127" s="558"/>
      <c r="AH127" s="535"/>
      <c r="AI127" s="558"/>
      <c r="AL127" s="535"/>
      <c r="AP127" s="535"/>
    </row>
    <row r="128">
      <c r="A128" s="552"/>
      <c r="B128" s="552"/>
      <c r="C128" t="str">
        <f>Filtered!I120</f>
        <v>Nature Reviews Neuroscience</v>
      </c>
      <c r="D128" t="str">
        <f>Filtered!J120</f>
        <v/>
      </c>
      <c r="E128" t="str">
        <f>Filtered!L120</f>
        <v>Unsure</v>
      </c>
      <c r="F128" t="b">
        <f t="shared" si="10"/>
        <v>0</v>
      </c>
      <c r="G128" t="b">
        <f t="shared" si="11"/>
        <v>0</v>
      </c>
      <c r="H128" t="b">
        <f t="shared" si="12"/>
        <v>0</v>
      </c>
      <c r="I128" t="b">
        <f t="shared" si="13"/>
        <v>0</v>
      </c>
      <c r="J128" t="b">
        <f t="shared" si="14"/>
        <v>0</v>
      </c>
      <c r="K128" t="b">
        <f t="shared" si="15"/>
        <v>0</v>
      </c>
      <c r="L128" t="b">
        <f t="shared" si="16"/>
        <v>0</v>
      </c>
      <c r="M128" t="b">
        <f t="shared" si="17"/>
        <v>0</v>
      </c>
      <c r="N128" s="535"/>
      <c r="O128" s="558"/>
      <c r="R128" s="535"/>
      <c r="S128" s="558"/>
      <c r="V128" s="535"/>
      <c r="W128" s="558"/>
      <c r="Z128" s="535"/>
      <c r="AA128" s="558"/>
      <c r="AD128" s="535"/>
      <c r="AE128" s="558"/>
      <c r="AH128" s="535"/>
      <c r="AI128" s="558"/>
      <c r="AL128" s="535"/>
      <c r="AP128" s="535"/>
    </row>
    <row r="129">
      <c r="A129" s="552"/>
      <c r="B129" s="552"/>
      <c r="C129" t="str">
        <f>Filtered!I121</f>
        <v>Nature Reviews. Drug Discovery</v>
      </c>
      <c r="D129" t="str">
        <f>Filtered!J121</f>
        <v/>
      </c>
      <c r="E129" t="str">
        <f>Filtered!L121</f>
        <v>Unsure</v>
      </c>
      <c r="F129" t="b">
        <f t="shared" si="10"/>
        <v>0</v>
      </c>
      <c r="G129" t="b">
        <f t="shared" si="11"/>
        <v>0</v>
      </c>
      <c r="H129" t="b">
        <f t="shared" si="12"/>
        <v>0</v>
      </c>
      <c r="I129" t="b">
        <f t="shared" si="13"/>
        <v>0</v>
      </c>
      <c r="J129" t="b">
        <f t="shared" si="14"/>
        <v>0</v>
      </c>
      <c r="K129" t="b">
        <f t="shared" si="15"/>
        <v>0</v>
      </c>
      <c r="L129" t="b">
        <f t="shared" si="16"/>
        <v>0</v>
      </c>
      <c r="M129" t="b">
        <f t="shared" si="17"/>
        <v>0</v>
      </c>
      <c r="N129" s="535"/>
      <c r="O129" s="558"/>
      <c r="R129" s="535"/>
      <c r="S129" s="558"/>
      <c r="V129" s="535"/>
      <c r="W129" s="558"/>
      <c r="Z129" s="535"/>
      <c r="AA129" s="558"/>
      <c r="AD129" s="535"/>
      <c r="AE129" s="558"/>
      <c r="AH129" s="535"/>
      <c r="AI129" s="558"/>
      <c r="AL129" s="535"/>
      <c r="AP129" s="535"/>
    </row>
    <row r="130">
      <c r="A130" s="552"/>
      <c r="B130" s="552"/>
      <c r="C130" t="str">
        <f>Filtered!I122</f>
        <v>Nature Reviews. Molecular Cell Biology</v>
      </c>
      <c r="D130" t="str">
        <f>Filtered!J122</f>
        <v>Life Sciences &amp; Earth Sciences</v>
      </c>
      <c r="E130" t="str">
        <f>Filtered!L122</f>
        <v>Unsure</v>
      </c>
      <c r="F130" t="b">
        <f t="shared" si="10"/>
        <v>0</v>
      </c>
      <c r="G130" t="b">
        <f t="shared" si="11"/>
        <v>0</v>
      </c>
      <c r="H130" t="b">
        <f t="shared" si="12"/>
        <v>0</v>
      </c>
      <c r="I130" t="b">
        <f t="shared" si="13"/>
        <v>0</v>
      </c>
      <c r="J130" t="b">
        <f t="shared" si="14"/>
        <v>0</v>
      </c>
      <c r="K130" t="b">
        <f t="shared" si="15"/>
        <v>1</v>
      </c>
      <c r="L130" t="b">
        <f t="shared" si="16"/>
        <v>0</v>
      </c>
      <c r="M130" t="b">
        <f t="shared" si="17"/>
        <v>0</v>
      </c>
      <c r="N130" s="535"/>
      <c r="O130" s="558"/>
      <c r="R130" s="535"/>
      <c r="S130" s="558"/>
      <c r="V130" s="535"/>
      <c r="W130" s="558"/>
      <c r="Z130" s="535"/>
      <c r="AA130" s="558"/>
      <c r="AD130" s="535"/>
      <c r="AE130" s="558"/>
      <c r="AH130" s="535"/>
      <c r="AI130" s="558"/>
      <c r="AL130" s="535"/>
      <c r="AP130" s="535"/>
    </row>
    <row r="131">
      <c r="A131" s="552"/>
      <c r="B131" s="552"/>
      <c r="C131" t="str">
        <f>Filtered!I123</f>
        <v>Neural Information Processing Systems (NIPS)</v>
      </c>
      <c r="D131" t="str">
        <f>Filtered!J123</f>
        <v>Engineering &amp; Computer Science</v>
      </c>
      <c r="E131" t="str">
        <f>Filtered!L123</f>
        <v>Double blind</v>
      </c>
      <c r="F131" t="b">
        <f t="shared" si="10"/>
        <v>0</v>
      </c>
      <c r="G131" t="b">
        <f t="shared" si="11"/>
        <v>0</v>
      </c>
      <c r="H131" t="b">
        <f t="shared" si="12"/>
        <v>1</v>
      </c>
      <c r="I131" t="b">
        <f t="shared" si="13"/>
        <v>0</v>
      </c>
      <c r="J131" t="b">
        <f t="shared" si="14"/>
        <v>0</v>
      </c>
      <c r="K131" t="b">
        <f t="shared" si="15"/>
        <v>0</v>
      </c>
      <c r="L131" t="b">
        <f t="shared" si="16"/>
        <v>0</v>
      </c>
      <c r="M131" t="b">
        <f t="shared" si="17"/>
        <v>0</v>
      </c>
      <c r="N131" s="535"/>
      <c r="O131" s="558"/>
      <c r="R131" s="535"/>
      <c r="S131" s="558"/>
      <c r="V131" s="535"/>
      <c r="W131" s="558"/>
      <c r="Z131" s="535"/>
      <c r="AA131" s="558"/>
      <c r="AD131" s="535"/>
      <c r="AE131" s="558"/>
      <c r="AH131" s="535"/>
      <c r="AI131" s="558"/>
      <c r="AL131" s="535"/>
      <c r="AP131" s="535"/>
    </row>
    <row r="132">
      <c r="A132" s="552"/>
      <c r="B132" s="552"/>
      <c r="C132" t="str">
        <f>Filtered!I124</f>
        <v>NeuroImage</v>
      </c>
      <c r="D132" t="str">
        <f>Filtered!J124</f>
        <v/>
      </c>
      <c r="E132" t="str">
        <f>Filtered!L124</f>
        <v>Single blind</v>
      </c>
      <c r="F132" t="b">
        <f t="shared" si="10"/>
        <v>0</v>
      </c>
      <c r="G132" t="b">
        <f t="shared" si="11"/>
        <v>0</v>
      </c>
      <c r="H132" t="b">
        <f t="shared" si="12"/>
        <v>0</v>
      </c>
      <c r="I132" t="b">
        <f t="shared" si="13"/>
        <v>0</v>
      </c>
      <c r="J132" t="b">
        <f t="shared" si="14"/>
        <v>0</v>
      </c>
      <c r="K132" t="b">
        <f t="shared" si="15"/>
        <v>0</v>
      </c>
      <c r="L132" t="b">
        <f t="shared" si="16"/>
        <v>0</v>
      </c>
      <c r="M132" t="b">
        <f t="shared" si="17"/>
        <v>0</v>
      </c>
      <c r="N132" s="535"/>
      <c r="O132" s="558"/>
      <c r="R132" s="535"/>
      <c r="S132" s="558"/>
      <c r="V132" s="535"/>
      <c r="W132" s="558"/>
      <c r="Z132" s="535"/>
      <c r="AA132" s="558"/>
      <c r="AD132" s="535"/>
      <c r="AE132" s="558"/>
      <c r="AH132" s="535"/>
      <c r="AI132" s="558"/>
      <c r="AL132" s="535"/>
      <c r="AP132" s="535"/>
    </row>
    <row r="133">
      <c r="A133" s="552"/>
      <c r="B133" s="552"/>
      <c r="C133" t="str">
        <f>Filtered!I125</f>
        <v>Neuron</v>
      </c>
      <c r="D133" t="str">
        <f>Filtered!J125</f>
        <v>Health &amp; Medical Sciences,
Life Sciences &amp; Earth Sciences</v>
      </c>
      <c r="E133" t="str">
        <f>Filtered!L125</f>
        <v>Single blind</v>
      </c>
      <c r="F133" t="b">
        <f t="shared" si="10"/>
        <v>0</v>
      </c>
      <c r="G133" t="b">
        <f t="shared" si="11"/>
        <v>0</v>
      </c>
      <c r="H133" t="b">
        <f t="shared" si="12"/>
        <v>0</v>
      </c>
      <c r="I133" t="b">
        <f t="shared" si="13"/>
        <v>1</v>
      </c>
      <c r="J133" t="b">
        <f t="shared" si="14"/>
        <v>0</v>
      </c>
      <c r="K133" t="b">
        <f t="shared" si="15"/>
        <v>1</v>
      </c>
      <c r="L133" t="b">
        <f t="shared" si="16"/>
        <v>0</v>
      </c>
      <c r="M133" t="b">
        <f t="shared" si="17"/>
        <v>0</v>
      </c>
      <c r="N133" s="535"/>
      <c r="O133" s="558"/>
      <c r="R133" s="535"/>
      <c r="S133" s="558"/>
      <c r="V133" s="535"/>
      <c r="W133" s="558"/>
      <c r="Z133" s="535"/>
      <c r="AA133" s="558"/>
      <c r="AD133" s="535"/>
      <c r="AE133" s="558"/>
      <c r="AH133" s="535"/>
      <c r="AI133" s="558"/>
      <c r="AL133" s="535"/>
      <c r="AP133" s="535"/>
    </row>
    <row r="134">
      <c r="A134" s="552"/>
      <c r="B134" s="552"/>
      <c r="C134" t="str">
        <f>Filtered!I126</f>
        <v>New Media and Society</v>
      </c>
      <c r="D134" t="str">
        <f>Filtered!J126</f>
        <v>Social Sciences</v>
      </c>
      <c r="E134" t="str">
        <f>Filtered!L126</f>
        <v>Double blind</v>
      </c>
      <c r="F134" t="b">
        <f t="shared" si="10"/>
        <v>0</v>
      </c>
      <c r="G134" t="b">
        <f t="shared" si="11"/>
        <v>0</v>
      </c>
      <c r="H134" t="b">
        <f t="shared" si="12"/>
        <v>0</v>
      </c>
      <c r="I134" t="b">
        <f t="shared" si="13"/>
        <v>0</v>
      </c>
      <c r="J134" t="b">
        <f t="shared" si="14"/>
        <v>0</v>
      </c>
      <c r="K134" t="b">
        <f t="shared" si="15"/>
        <v>0</v>
      </c>
      <c r="L134" t="b">
        <f t="shared" si="16"/>
        <v>0</v>
      </c>
      <c r="M134" t="b">
        <f t="shared" si="17"/>
        <v>1</v>
      </c>
      <c r="N134" s="535"/>
      <c r="O134" s="558"/>
      <c r="R134" s="535"/>
      <c r="S134" s="558"/>
      <c r="V134" s="535"/>
      <c r="W134" s="558"/>
      <c r="Z134" s="535"/>
      <c r="AA134" s="558"/>
      <c r="AD134" s="535"/>
      <c r="AE134" s="558"/>
      <c r="AH134" s="535"/>
      <c r="AI134" s="558"/>
      <c r="AL134" s="535"/>
      <c r="AP134" s="535"/>
    </row>
    <row r="135">
      <c r="A135" s="552"/>
      <c r="B135" s="552"/>
      <c r="C135" t="str">
        <f>Filtered!I127</f>
        <v>Noûs</v>
      </c>
      <c r="D135" t="str">
        <f>Filtered!J127</f>
        <v>Social Sciences, Humanities, Literature &amp; Arts</v>
      </c>
      <c r="E135" t="str">
        <f>Filtered!L127</f>
        <v>Other (Triple blind)</v>
      </c>
      <c r="F135" t="b">
        <f t="shared" si="10"/>
        <v>0</v>
      </c>
      <c r="G135" t="b">
        <f t="shared" si="11"/>
        <v>0</v>
      </c>
      <c r="H135" t="b">
        <f t="shared" si="12"/>
        <v>0</v>
      </c>
      <c r="I135" t="b">
        <f t="shared" si="13"/>
        <v>0</v>
      </c>
      <c r="J135" t="b">
        <f t="shared" si="14"/>
        <v>1</v>
      </c>
      <c r="K135" t="b">
        <f t="shared" si="15"/>
        <v>0</v>
      </c>
      <c r="L135" t="b">
        <f t="shared" si="16"/>
        <v>0</v>
      </c>
      <c r="M135" t="b">
        <f t="shared" si="17"/>
        <v>1</v>
      </c>
      <c r="N135" s="535"/>
      <c r="O135" s="558"/>
      <c r="R135" s="535"/>
      <c r="S135" s="558"/>
      <c r="V135" s="535"/>
      <c r="W135" s="558"/>
      <c r="Z135" s="535"/>
      <c r="AA135" s="558"/>
      <c r="AD135" s="535"/>
      <c r="AE135" s="558"/>
      <c r="AH135" s="535"/>
      <c r="AI135" s="558"/>
      <c r="AL135" s="535"/>
      <c r="AP135" s="535"/>
    </row>
    <row r="136">
      <c r="A136" s="552"/>
      <c r="B136" s="552"/>
      <c r="C136" t="str">
        <f>Filtered!I128</f>
        <v>Nucleic Acids Research</v>
      </c>
      <c r="D136" t="str">
        <f>Filtered!J128</f>
        <v>Life Sciences &amp; Earth Sciences</v>
      </c>
      <c r="E136" t="str">
        <f>Filtered!L128</f>
        <v>Unsure</v>
      </c>
      <c r="F136" t="b">
        <f t="shared" si="10"/>
        <v>0</v>
      </c>
      <c r="G136" t="b">
        <f t="shared" si="11"/>
        <v>0</v>
      </c>
      <c r="H136" t="b">
        <f t="shared" si="12"/>
        <v>0</v>
      </c>
      <c r="I136" t="b">
        <f t="shared" si="13"/>
        <v>0</v>
      </c>
      <c r="J136" t="b">
        <f t="shared" si="14"/>
        <v>0</v>
      </c>
      <c r="K136" t="b">
        <f t="shared" si="15"/>
        <v>1</v>
      </c>
      <c r="L136" t="b">
        <f t="shared" si="16"/>
        <v>0</v>
      </c>
      <c r="M136" t="b">
        <f t="shared" si="17"/>
        <v>0</v>
      </c>
      <c r="N136" s="535"/>
      <c r="O136" s="558"/>
      <c r="R136" s="535"/>
      <c r="S136" s="558"/>
      <c r="V136" s="535"/>
      <c r="W136" s="558"/>
      <c r="Z136" s="535"/>
      <c r="AA136" s="558"/>
      <c r="AD136" s="535"/>
      <c r="AE136" s="558"/>
      <c r="AH136" s="535"/>
      <c r="AI136" s="558"/>
      <c r="AL136" s="535"/>
      <c r="AP136" s="535"/>
    </row>
    <row r="137">
      <c r="A137" s="552"/>
      <c r="B137" s="552"/>
      <c r="C137" t="str">
        <f>Filtered!I129</f>
        <v>Obstetrical &amp; Gynecological Survey</v>
      </c>
      <c r="D137" t="str">
        <f>Filtered!J129</f>
        <v/>
      </c>
      <c r="E137" t="str">
        <f>Filtered!L129</f>
        <v>Unsure</v>
      </c>
      <c r="F137" t="b">
        <f t="shared" si="10"/>
        <v>0</v>
      </c>
      <c r="G137" t="b">
        <f t="shared" si="11"/>
        <v>0</v>
      </c>
      <c r="H137" t="b">
        <f t="shared" si="12"/>
        <v>0</v>
      </c>
      <c r="I137" t="b">
        <f t="shared" si="13"/>
        <v>0</v>
      </c>
      <c r="J137" t="b">
        <f t="shared" si="14"/>
        <v>0</v>
      </c>
      <c r="K137" t="b">
        <f t="shared" si="15"/>
        <v>0</v>
      </c>
      <c r="L137" t="b">
        <f t="shared" si="16"/>
        <v>0</v>
      </c>
      <c r="M137" t="b">
        <f t="shared" si="17"/>
        <v>0</v>
      </c>
      <c r="N137" s="535"/>
      <c r="O137" s="558"/>
      <c r="R137" s="535"/>
      <c r="S137" s="558"/>
      <c r="V137" s="535"/>
      <c r="W137" s="558"/>
      <c r="Z137" s="535"/>
      <c r="AA137" s="558"/>
      <c r="AD137" s="535"/>
      <c r="AE137" s="558"/>
      <c r="AH137" s="535"/>
      <c r="AI137" s="558"/>
      <c r="AL137" s="535"/>
      <c r="AP137" s="535"/>
    </row>
    <row r="138">
      <c r="A138" s="552"/>
      <c r="B138" s="552"/>
      <c r="C138" t="str">
        <f>Filtered!I130</f>
        <v>Optics Express</v>
      </c>
      <c r="D138" t="str">
        <f>Filtered!J130</f>
        <v>Physics &amp; Mathematics</v>
      </c>
      <c r="E138" t="str">
        <f>Filtered!L130</f>
        <v>Single blind</v>
      </c>
      <c r="F138" t="b">
        <f t="shared" si="10"/>
        <v>0</v>
      </c>
      <c r="G138" t="b">
        <f t="shared" si="11"/>
        <v>0</v>
      </c>
      <c r="H138" t="b">
        <f t="shared" si="12"/>
        <v>0</v>
      </c>
      <c r="I138" t="b">
        <f t="shared" si="13"/>
        <v>0</v>
      </c>
      <c r="J138" t="b">
        <f t="shared" si="14"/>
        <v>0</v>
      </c>
      <c r="K138" t="b">
        <f t="shared" si="15"/>
        <v>0</v>
      </c>
      <c r="L138" t="b">
        <f t="shared" si="16"/>
        <v>1</v>
      </c>
      <c r="M138" t="b">
        <f t="shared" si="17"/>
        <v>0</v>
      </c>
      <c r="N138" s="535"/>
      <c r="O138" s="558"/>
      <c r="R138" s="535"/>
      <c r="S138" s="558"/>
      <c r="V138" s="535"/>
      <c r="W138" s="558"/>
      <c r="Z138" s="535"/>
      <c r="AA138" s="558"/>
      <c r="AD138" s="535"/>
      <c r="AE138" s="558"/>
      <c r="AH138" s="535"/>
      <c r="AI138" s="558"/>
      <c r="AL138" s="535"/>
      <c r="AP138" s="535"/>
    </row>
    <row r="139">
      <c r="A139" s="552"/>
      <c r="B139" s="552"/>
      <c r="C139" t="str">
        <f>Filtered!I131</f>
        <v>Pediatrics</v>
      </c>
      <c r="D139" t="str">
        <f>Filtered!J131</f>
        <v/>
      </c>
      <c r="E139" t="str">
        <f>Filtered!L131</f>
        <v>Unsure (reviewers anon, but not clear if author anon or not)</v>
      </c>
      <c r="F139" t="b">
        <f t="shared" si="10"/>
        <v>0</v>
      </c>
      <c r="G139" t="b">
        <f t="shared" si="11"/>
        <v>0</v>
      </c>
      <c r="H139" t="b">
        <f t="shared" si="12"/>
        <v>0</v>
      </c>
      <c r="I139" t="b">
        <f t="shared" si="13"/>
        <v>0</v>
      </c>
      <c r="J139" t="b">
        <f t="shared" si="14"/>
        <v>0</v>
      </c>
      <c r="K139" t="b">
        <f t="shared" si="15"/>
        <v>0</v>
      </c>
      <c r="L139" t="b">
        <f t="shared" si="16"/>
        <v>0</v>
      </c>
      <c r="M139" t="b">
        <f t="shared" si="17"/>
        <v>0</v>
      </c>
      <c r="N139" s="535"/>
      <c r="O139" s="558"/>
      <c r="R139" s="535"/>
      <c r="S139" s="558"/>
      <c r="V139" s="535"/>
      <c r="W139" s="558"/>
      <c r="Z139" s="535"/>
      <c r="AA139" s="558"/>
      <c r="AD139" s="535"/>
      <c r="AE139" s="558"/>
      <c r="AH139" s="535"/>
      <c r="AI139" s="558"/>
      <c r="AL139" s="535"/>
      <c r="AP139" s="535"/>
    </row>
    <row r="140">
      <c r="A140" s="552"/>
      <c r="B140" s="552"/>
      <c r="C140" t="str">
        <f>Filtered!I132</f>
        <v>Philosophical Studies</v>
      </c>
      <c r="D140" t="str">
        <f>Filtered!J132</f>
        <v>Humanities, Literature &amp; Arts</v>
      </c>
      <c r="E140" t="str">
        <f>Filtered!L132</f>
        <v>Double blind</v>
      </c>
      <c r="F140" t="b">
        <f t="shared" si="10"/>
        <v>0</v>
      </c>
      <c r="G140" t="b">
        <f t="shared" si="11"/>
        <v>0</v>
      </c>
      <c r="H140" t="b">
        <f t="shared" si="12"/>
        <v>0</v>
      </c>
      <c r="I140" t="b">
        <f t="shared" si="13"/>
        <v>0</v>
      </c>
      <c r="J140" t="b">
        <f t="shared" si="14"/>
        <v>1</v>
      </c>
      <c r="K140" t="b">
        <f t="shared" si="15"/>
        <v>0</v>
      </c>
      <c r="L140" t="b">
        <f t="shared" si="16"/>
        <v>0</v>
      </c>
      <c r="M140" t="b">
        <f t="shared" si="17"/>
        <v>0</v>
      </c>
      <c r="N140" s="535"/>
      <c r="O140" s="558"/>
      <c r="R140" s="535"/>
      <c r="S140" s="558"/>
      <c r="V140" s="535"/>
      <c r="W140" s="558"/>
      <c r="Z140" s="535"/>
      <c r="AA140" s="558"/>
      <c r="AD140" s="535"/>
      <c r="AE140" s="558"/>
      <c r="AH140" s="535"/>
      <c r="AI140" s="558"/>
      <c r="AL140" s="535"/>
      <c r="AP140" s="535"/>
    </row>
    <row r="141">
      <c r="A141" s="552"/>
      <c r="B141" s="552"/>
      <c r="C141" t="str">
        <f>Filtered!I133</f>
        <v>Physical Review B</v>
      </c>
      <c r="D141" t="str">
        <f>Filtered!J133</f>
        <v>Physics &amp; Mathematics</v>
      </c>
      <c r="E141" t="str">
        <f>Filtered!L133</f>
        <v>Single blind</v>
      </c>
      <c r="F141" t="b">
        <f t="shared" si="10"/>
        <v>0</v>
      </c>
      <c r="G141" t="b">
        <f t="shared" si="11"/>
        <v>0</v>
      </c>
      <c r="H141" t="b">
        <f t="shared" si="12"/>
        <v>0</v>
      </c>
      <c r="I141" t="b">
        <f t="shared" si="13"/>
        <v>0</v>
      </c>
      <c r="J141" t="b">
        <f t="shared" si="14"/>
        <v>0</v>
      </c>
      <c r="K141" t="b">
        <f t="shared" si="15"/>
        <v>0</v>
      </c>
      <c r="L141" t="b">
        <f t="shared" si="16"/>
        <v>1</v>
      </c>
      <c r="M141" t="b">
        <f t="shared" si="17"/>
        <v>0</v>
      </c>
      <c r="N141" s="535"/>
      <c r="O141" s="558"/>
      <c r="R141" s="535"/>
      <c r="S141" s="558"/>
      <c r="V141" s="535"/>
      <c r="W141" s="558"/>
      <c r="Z141" s="535"/>
      <c r="AA141" s="558"/>
      <c r="AD141" s="535"/>
      <c r="AE141" s="558"/>
      <c r="AH141" s="535"/>
      <c r="AI141" s="558"/>
      <c r="AL141" s="535"/>
      <c r="AP141" s="535"/>
    </row>
    <row r="142">
      <c r="A142" s="552"/>
      <c r="B142" s="552"/>
      <c r="C142" t="str">
        <f>Filtered!I134</f>
        <v>Physical Review D</v>
      </c>
      <c r="D142" t="str">
        <f>Filtered!J134</f>
        <v>Physics &amp; Mathematics</v>
      </c>
      <c r="E142" t="str">
        <f>Filtered!L134</f>
        <v>Single blind</v>
      </c>
      <c r="F142" t="b">
        <f t="shared" si="10"/>
        <v>0</v>
      </c>
      <c r="G142" t="b">
        <f t="shared" si="11"/>
        <v>0</v>
      </c>
      <c r="H142" t="b">
        <f t="shared" si="12"/>
        <v>0</v>
      </c>
      <c r="I142" t="b">
        <f t="shared" si="13"/>
        <v>0</v>
      </c>
      <c r="J142" t="b">
        <f t="shared" si="14"/>
        <v>0</v>
      </c>
      <c r="K142" t="b">
        <f t="shared" si="15"/>
        <v>0</v>
      </c>
      <c r="L142" t="b">
        <f t="shared" si="16"/>
        <v>1</v>
      </c>
      <c r="M142" t="b">
        <f t="shared" si="17"/>
        <v>0</v>
      </c>
      <c r="N142" s="535"/>
      <c r="O142" s="558"/>
      <c r="R142" s="535"/>
      <c r="S142" s="558"/>
      <c r="V142" s="535"/>
      <c r="W142" s="558"/>
      <c r="Z142" s="535"/>
      <c r="AA142" s="558"/>
      <c r="AD142" s="535"/>
      <c r="AE142" s="558"/>
      <c r="AH142" s="535"/>
      <c r="AI142" s="558"/>
      <c r="AL142" s="535"/>
      <c r="AP142" s="535"/>
    </row>
    <row r="143">
      <c r="A143" s="552"/>
      <c r="B143" s="552"/>
      <c r="C143" t="str">
        <f>Filtered!I135</f>
        <v>Physical Review Letters</v>
      </c>
      <c r="D143" t="str">
        <f>Filtered!J135</f>
        <v>Physics &amp; Mathematics</v>
      </c>
      <c r="E143" t="str">
        <f>Filtered!L135</f>
        <v>Single blind</v>
      </c>
      <c r="F143" t="b">
        <f t="shared" si="10"/>
        <v>0</v>
      </c>
      <c r="G143" t="b">
        <f t="shared" si="11"/>
        <v>0</v>
      </c>
      <c r="H143" t="b">
        <f t="shared" si="12"/>
        <v>0</v>
      </c>
      <c r="I143" t="b">
        <f t="shared" si="13"/>
        <v>0</v>
      </c>
      <c r="J143" t="b">
        <f t="shared" si="14"/>
        <v>0</v>
      </c>
      <c r="K143" t="b">
        <f t="shared" si="15"/>
        <v>0</v>
      </c>
      <c r="L143" t="b">
        <f t="shared" si="16"/>
        <v>1</v>
      </c>
      <c r="M143" t="b">
        <f t="shared" si="17"/>
        <v>0</v>
      </c>
      <c r="N143" s="535"/>
      <c r="O143" s="558"/>
      <c r="R143" s="535"/>
      <c r="S143" s="558"/>
      <c r="V143" s="535"/>
      <c r="W143" s="558"/>
      <c r="Z143" s="535"/>
      <c r="AA143" s="558"/>
      <c r="AD143" s="535"/>
      <c r="AE143" s="558"/>
      <c r="AH143" s="535"/>
      <c r="AI143" s="558"/>
      <c r="AL143" s="535"/>
      <c r="AP143" s="535"/>
    </row>
    <row r="144">
      <c r="A144" s="552"/>
      <c r="B144" s="552"/>
      <c r="C144" t="str">
        <f>Filtered!I136</f>
        <v>Physical Review X</v>
      </c>
      <c r="D144" t="str">
        <f>Filtered!J136</f>
        <v>Physics &amp; Mathematics</v>
      </c>
      <c r="E144" t="str">
        <f>Filtered!L136</f>
        <v>Single blind</v>
      </c>
      <c r="F144" t="b">
        <f t="shared" si="10"/>
        <v>0</v>
      </c>
      <c r="G144" t="b">
        <f t="shared" si="11"/>
        <v>0</v>
      </c>
      <c r="H144" t="b">
        <f t="shared" si="12"/>
        <v>0</v>
      </c>
      <c r="I144" t="b">
        <f t="shared" si="13"/>
        <v>0</v>
      </c>
      <c r="J144" t="b">
        <f t="shared" si="14"/>
        <v>0</v>
      </c>
      <c r="K144" t="b">
        <f t="shared" si="15"/>
        <v>0</v>
      </c>
      <c r="L144" t="b">
        <f t="shared" si="16"/>
        <v>1</v>
      </c>
      <c r="M144" t="b">
        <f t="shared" si="17"/>
        <v>0</v>
      </c>
      <c r="N144" s="535"/>
      <c r="O144" s="558"/>
      <c r="R144" s="535"/>
      <c r="S144" s="558"/>
      <c r="V144" s="535"/>
      <c r="W144" s="558"/>
      <c r="Z144" s="535"/>
      <c r="AA144" s="558"/>
      <c r="AD144" s="535"/>
      <c r="AE144" s="558"/>
      <c r="AH144" s="535"/>
      <c r="AI144" s="558"/>
      <c r="AL144" s="535"/>
      <c r="AP144" s="535"/>
    </row>
    <row r="145">
      <c r="A145" s="552"/>
      <c r="B145" s="552"/>
      <c r="C145" t="str">
        <f>Filtered!I137</f>
        <v>Physics Letters B</v>
      </c>
      <c r="D145" t="str">
        <f>Filtered!J137</f>
        <v>Physics &amp; Mathematics</v>
      </c>
      <c r="E145" t="str">
        <f>Filtered!L137</f>
        <v>Single blind</v>
      </c>
      <c r="F145" t="b">
        <f t="shared" si="10"/>
        <v>0</v>
      </c>
      <c r="G145" t="b">
        <f t="shared" si="11"/>
        <v>0</v>
      </c>
      <c r="H145" t="b">
        <f t="shared" si="12"/>
        <v>0</v>
      </c>
      <c r="I145" t="b">
        <f t="shared" si="13"/>
        <v>0</v>
      </c>
      <c r="J145" t="b">
        <f t="shared" si="14"/>
        <v>0</v>
      </c>
      <c r="K145" t="b">
        <f t="shared" si="15"/>
        <v>0</v>
      </c>
      <c r="L145" t="b">
        <f t="shared" si="16"/>
        <v>1</v>
      </c>
      <c r="M145" t="b">
        <f t="shared" si="17"/>
        <v>0</v>
      </c>
      <c r="N145" s="535"/>
      <c r="O145" s="558"/>
      <c r="R145" s="535"/>
      <c r="S145" s="558"/>
      <c r="V145" s="535"/>
      <c r="W145" s="558"/>
      <c r="Z145" s="535"/>
      <c r="AA145" s="558"/>
      <c r="AD145" s="535"/>
      <c r="AE145" s="558"/>
      <c r="AH145" s="535"/>
      <c r="AI145" s="558"/>
      <c r="AL145" s="535"/>
      <c r="AP145" s="535"/>
    </row>
    <row r="146">
      <c r="A146" s="552"/>
      <c r="B146" s="552"/>
      <c r="C146" t="str">
        <f>Filtered!I138</f>
        <v>PLoS One</v>
      </c>
      <c r="D146" t="str">
        <f>Filtered!J138</f>
        <v>Health &amp; Medical Sciences,
Life Sciences &amp; Earth Sciences</v>
      </c>
      <c r="E146" t="str">
        <f>Filtered!L138</f>
        <v>Single blind</v>
      </c>
      <c r="F146" t="b">
        <f t="shared" si="10"/>
        <v>0</v>
      </c>
      <c r="G146" t="b">
        <f t="shared" si="11"/>
        <v>0</v>
      </c>
      <c r="H146" t="b">
        <f t="shared" si="12"/>
        <v>0</v>
      </c>
      <c r="I146" t="b">
        <f t="shared" si="13"/>
        <v>1</v>
      </c>
      <c r="J146" t="b">
        <f t="shared" si="14"/>
        <v>0</v>
      </c>
      <c r="K146" t="b">
        <f t="shared" si="15"/>
        <v>1</v>
      </c>
      <c r="L146" t="b">
        <f t="shared" si="16"/>
        <v>0</v>
      </c>
      <c r="M146" t="b">
        <f t="shared" si="17"/>
        <v>0</v>
      </c>
      <c r="N146" s="535"/>
      <c r="O146" s="558"/>
      <c r="R146" s="535"/>
      <c r="S146" s="558"/>
      <c r="V146" s="535"/>
      <c r="W146" s="558"/>
      <c r="Z146" s="535"/>
      <c r="AA146" s="558"/>
      <c r="AD146" s="535"/>
      <c r="AE146" s="558"/>
      <c r="AH146" s="535"/>
      <c r="AI146" s="558"/>
      <c r="AL146" s="535"/>
      <c r="AP146" s="535"/>
    </row>
    <row r="147">
      <c r="A147" s="552"/>
      <c r="B147" s="552"/>
      <c r="C147" t="str">
        <f>Filtered!I139</f>
        <v>Proceedings of the National Academy of Sciences</v>
      </c>
      <c r="D147" t="str">
        <f>Filtered!J139</f>
        <v>Health &amp; Medical Sciences,
Life Sciences &amp; Earth Sciences</v>
      </c>
      <c r="E147" t="str">
        <f>Filtered!L139</f>
        <v>Single blind (Single blind peer review inferred: referee must disclose COI based on author relationship (knows identity) but typically referee identity is not disclosed)</v>
      </c>
      <c r="F147" t="b">
        <f t="shared" si="10"/>
        <v>0</v>
      </c>
      <c r="G147" t="b">
        <f t="shared" si="11"/>
        <v>0</v>
      </c>
      <c r="H147" t="b">
        <f t="shared" si="12"/>
        <v>0</v>
      </c>
      <c r="I147" t="b">
        <f t="shared" si="13"/>
        <v>1</v>
      </c>
      <c r="J147" t="b">
        <f t="shared" si="14"/>
        <v>0</v>
      </c>
      <c r="K147" t="b">
        <f t="shared" si="15"/>
        <v>1</v>
      </c>
      <c r="L147" t="b">
        <f t="shared" si="16"/>
        <v>0</v>
      </c>
      <c r="M147" t="b">
        <f t="shared" si="17"/>
        <v>0</v>
      </c>
      <c r="N147" s="535"/>
      <c r="O147" s="558"/>
      <c r="R147" s="535"/>
      <c r="S147" s="558"/>
      <c r="V147" s="535"/>
      <c r="W147" s="558"/>
      <c r="Z147" s="535"/>
      <c r="AA147" s="558"/>
      <c r="AD147" s="535"/>
      <c r="AE147" s="558"/>
      <c r="AH147" s="535"/>
      <c r="AI147" s="558"/>
      <c r="AL147" s="535"/>
      <c r="AP147" s="535"/>
    </row>
    <row r="148">
      <c r="A148" s="552"/>
      <c r="B148" s="552"/>
      <c r="C148" t="str">
        <f>Filtered!I140</f>
        <v>Progress in Human Geography</v>
      </c>
      <c r="D148" t="str">
        <f>Filtered!J140</f>
        <v>Social Sciences</v>
      </c>
      <c r="E148" t="str">
        <f>Filtered!L140</f>
        <v>Double blind</v>
      </c>
      <c r="F148" t="b">
        <f t="shared" si="10"/>
        <v>0</v>
      </c>
      <c r="G148" t="b">
        <f t="shared" si="11"/>
        <v>0</v>
      </c>
      <c r="H148" t="b">
        <f t="shared" si="12"/>
        <v>0</v>
      </c>
      <c r="I148" t="b">
        <f t="shared" si="13"/>
        <v>0</v>
      </c>
      <c r="J148" t="b">
        <f t="shared" si="14"/>
        <v>0</v>
      </c>
      <c r="K148" t="b">
        <f t="shared" si="15"/>
        <v>0</v>
      </c>
      <c r="L148" t="b">
        <f t="shared" si="16"/>
        <v>0</v>
      </c>
      <c r="M148" t="b">
        <f t="shared" si="17"/>
        <v>1</v>
      </c>
      <c r="N148" s="535"/>
      <c r="O148" s="558"/>
      <c r="R148" s="535"/>
      <c r="S148" s="558"/>
      <c r="V148" s="535"/>
      <c r="W148" s="558"/>
      <c r="Z148" s="535"/>
      <c r="AA148" s="558"/>
      <c r="AD148" s="535"/>
      <c r="AE148" s="558"/>
      <c r="AH148" s="535"/>
      <c r="AI148" s="558"/>
      <c r="AL148" s="535"/>
      <c r="AP148" s="535"/>
    </row>
    <row r="149">
      <c r="A149" s="552"/>
      <c r="B149" s="552"/>
      <c r="C149" t="str">
        <f>Filtered!I141</f>
        <v>Public Opinion Quarterly</v>
      </c>
      <c r="D149" t="str">
        <f>Filtered!J141</f>
        <v>Humanities, Literature &amp; Arts</v>
      </c>
      <c r="E149" t="str">
        <f>Filtered!L141</f>
        <v>Double blind</v>
      </c>
      <c r="F149" t="b">
        <f t="shared" si="10"/>
        <v>0</v>
      </c>
      <c r="G149" t="b">
        <f t="shared" si="11"/>
        <v>0</v>
      </c>
      <c r="H149" t="b">
        <f t="shared" si="12"/>
        <v>0</v>
      </c>
      <c r="I149" t="b">
        <f t="shared" si="13"/>
        <v>0</v>
      </c>
      <c r="J149" t="b">
        <f t="shared" si="14"/>
        <v>1</v>
      </c>
      <c r="K149" t="b">
        <f t="shared" si="15"/>
        <v>0</v>
      </c>
      <c r="L149" t="b">
        <f t="shared" si="16"/>
        <v>0</v>
      </c>
      <c r="M149" t="b">
        <f t="shared" si="17"/>
        <v>0</v>
      </c>
      <c r="N149" s="535"/>
      <c r="O149" s="558"/>
      <c r="R149" s="535"/>
      <c r="S149" s="558"/>
      <c r="V149" s="535"/>
      <c r="W149" s="558"/>
      <c r="Z149" s="535"/>
      <c r="AA149" s="558"/>
      <c r="AD149" s="535"/>
      <c r="AE149" s="558"/>
      <c r="AH149" s="535"/>
      <c r="AI149" s="558"/>
      <c r="AL149" s="535"/>
      <c r="AP149" s="535"/>
    </row>
    <row r="150">
      <c r="A150" s="552"/>
      <c r="B150" s="552"/>
      <c r="C150" t="str">
        <f>Filtered!I142</f>
        <v>Regional Studies</v>
      </c>
      <c r="D150" t="str">
        <f>Filtered!J142</f>
        <v>Social Sciences</v>
      </c>
      <c r="E150" t="str">
        <f>Filtered!L142</f>
        <v>Double blind</v>
      </c>
      <c r="F150" t="b">
        <f t="shared" si="10"/>
        <v>0</v>
      </c>
      <c r="G150" t="b">
        <f t="shared" si="11"/>
        <v>0</v>
      </c>
      <c r="H150" t="b">
        <f t="shared" si="12"/>
        <v>0</v>
      </c>
      <c r="I150" t="b">
        <f t="shared" si="13"/>
        <v>0</v>
      </c>
      <c r="J150" t="b">
        <f t="shared" si="14"/>
        <v>0</v>
      </c>
      <c r="K150" t="b">
        <f t="shared" si="15"/>
        <v>0</v>
      </c>
      <c r="L150" t="b">
        <f t="shared" si="16"/>
        <v>0</v>
      </c>
      <c r="M150" t="b">
        <f t="shared" si="17"/>
        <v>1</v>
      </c>
      <c r="N150" s="535"/>
      <c r="O150" s="558"/>
      <c r="R150" s="535"/>
      <c r="S150" s="558"/>
      <c r="V150" s="535"/>
      <c r="W150" s="558"/>
      <c r="Z150" s="535"/>
      <c r="AA150" s="558"/>
      <c r="AD150" s="535"/>
      <c r="AE150" s="558"/>
      <c r="AH150" s="535"/>
      <c r="AI150" s="558"/>
      <c r="AL150" s="535"/>
      <c r="AP150" s="535"/>
    </row>
    <row r="151">
      <c r="A151" s="552"/>
      <c r="B151" s="552"/>
      <c r="C151" t="str">
        <f>Filtered!I143</f>
        <v>Renewable and Sustainable Energy Reviews</v>
      </c>
      <c r="D151" t="str">
        <f>Filtered!J143</f>
        <v>Engineering &amp; Computer Science</v>
      </c>
      <c r="E151" t="str">
        <f>Filtered!L143</f>
        <v>Single blind</v>
      </c>
      <c r="F151" t="b">
        <f t="shared" si="10"/>
        <v>0</v>
      </c>
      <c r="G151" t="b">
        <f t="shared" si="11"/>
        <v>0</v>
      </c>
      <c r="H151" t="b">
        <f t="shared" si="12"/>
        <v>1</v>
      </c>
      <c r="I151" t="b">
        <f t="shared" si="13"/>
        <v>0</v>
      </c>
      <c r="J151" t="b">
        <f t="shared" si="14"/>
        <v>0</v>
      </c>
      <c r="K151" t="b">
        <f t="shared" si="15"/>
        <v>0</v>
      </c>
      <c r="L151" t="b">
        <f t="shared" si="16"/>
        <v>0</v>
      </c>
      <c r="M151" t="b">
        <f t="shared" si="17"/>
        <v>0</v>
      </c>
      <c r="N151" s="535"/>
      <c r="O151" s="558"/>
      <c r="R151" s="535"/>
      <c r="S151" s="558"/>
      <c r="V151" s="535"/>
      <c r="W151" s="558"/>
      <c r="Z151" s="535"/>
      <c r="AA151" s="558"/>
      <c r="AD151" s="535"/>
      <c r="AE151" s="558"/>
      <c r="AH151" s="535"/>
      <c r="AI151" s="558"/>
      <c r="AL151" s="535"/>
      <c r="AP151" s="535"/>
    </row>
    <row r="152">
      <c r="A152" s="552"/>
      <c r="B152" s="552"/>
      <c r="C152" t="str">
        <f>Filtered!I144</f>
        <v>Research Policy</v>
      </c>
      <c r="D152" t="str">
        <f>Filtered!J144</f>
        <v>Social Sciences</v>
      </c>
      <c r="E152" t="str">
        <f>Filtered!L144</f>
        <v>Double blind</v>
      </c>
      <c r="F152" t="b">
        <f t="shared" si="10"/>
        <v>0</v>
      </c>
      <c r="G152" t="b">
        <f t="shared" si="11"/>
        <v>0</v>
      </c>
      <c r="H152" t="b">
        <f t="shared" si="12"/>
        <v>0</v>
      </c>
      <c r="I152" t="b">
        <f t="shared" si="13"/>
        <v>0</v>
      </c>
      <c r="J152" t="b">
        <f t="shared" si="14"/>
        <v>0</v>
      </c>
      <c r="K152" t="b">
        <f t="shared" si="15"/>
        <v>0</v>
      </c>
      <c r="L152" t="b">
        <f t="shared" si="16"/>
        <v>0</v>
      </c>
      <c r="M152" t="b">
        <f t="shared" si="17"/>
        <v>1</v>
      </c>
      <c r="N152" s="535"/>
      <c r="O152" s="558"/>
      <c r="R152" s="535"/>
      <c r="S152" s="558"/>
      <c r="V152" s="535"/>
      <c r="W152" s="558"/>
      <c r="Z152" s="535"/>
      <c r="AA152" s="558"/>
      <c r="AD152" s="535"/>
      <c r="AE152" s="558"/>
      <c r="AH152" s="535"/>
      <c r="AI152" s="558"/>
      <c r="AL152" s="535"/>
      <c r="AP152" s="535"/>
    </row>
    <row r="153">
      <c r="A153" s="552"/>
      <c r="B153" s="552"/>
      <c r="C153" t="str">
        <f>Filtered!I145</f>
        <v>Review of Economics and Statistics</v>
      </c>
      <c r="D153" t="str">
        <f>Filtered!J145</f>
        <v>Business, Economics &amp; Management</v>
      </c>
      <c r="E153" t="str">
        <f>Filtered!L145</f>
        <v>Unsure</v>
      </c>
      <c r="F153" t="b">
        <f t="shared" si="10"/>
        <v>1</v>
      </c>
      <c r="G153" t="b">
        <f t="shared" si="11"/>
        <v>0</v>
      </c>
      <c r="H153" t="b">
        <f t="shared" si="12"/>
        <v>0</v>
      </c>
      <c r="I153" t="b">
        <f t="shared" si="13"/>
        <v>0</v>
      </c>
      <c r="J153" t="b">
        <f t="shared" si="14"/>
        <v>0</v>
      </c>
      <c r="K153" t="b">
        <f t="shared" si="15"/>
        <v>0</v>
      </c>
      <c r="L153" t="b">
        <f t="shared" si="16"/>
        <v>0</v>
      </c>
      <c r="M153" t="b">
        <f t="shared" si="17"/>
        <v>0</v>
      </c>
      <c r="N153" s="535"/>
      <c r="O153" s="558"/>
      <c r="R153" s="535"/>
      <c r="S153" s="558"/>
      <c r="V153" s="535"/>
      <c r="W153" s="558"/>
      <c r="Z153" s="535"/>
      <c r="AA153" s="558"/>
      <c r="AD153" s="535"/>
      <c r="AE153" s="558"/>
      <c r="AH153" s="535"/>
      <c r="AI153" s="558"/>
      <c r="AL153" s="535"/>
      <c r="AP153" s="535"/>
    </row>
    <row r="154">
      <c r="A154" s="552"/>
      <c r="B154" s="552"/>
      <c r="C154" t="str">
        <f>Filtered!I146</f>
        <v>Reviews of Modern Physics</v>
      </c>
      <c r="D154" t="str">
        <f>Filtered!J146</f>
        <v>Physics &amp; Mathematics</v>
      </c>
      <c r="E154" t="str">
        <f>Filtered!L146</f>
        <v>Single blind</v>
      </c>
      <c r="F154" t="b">
        <f t="shared" si="10"/>
        <v>0</v>
      </c>
      <c r="G154" t="b">
        <f t="shared" si="11"/>
        <v>0</v>
      </c>
      <c r="H154" t="b">
        <f t="shared" si="12"/>
        <v>0</v>
      </c>
      <c r="I154" t="b">
        <f t="shared" si="13"/>
        <v>0</v>
      </c>
      <c r="J154" t="b">
        <f t="shared" si="14"/>
        <v>0</v>
      </c>
      <c r="K154" t="b">
        <f t="shared" si="15"/>
        <v>0</v>
      </c>
      <c r="L154" t="b">
        <f t="shared" si="16"/>
        <v>1</v>
      </c>
      <c r="M154" t="b">
        <f t="shared" si="17"/>
        <v>0</v>
      </c>
      <c r="N154" s="535"/>
      <c r="O154" s="558"/>
      <c r="R154" s="535"/>
      <c r="S154" s="558"/>
      <c r="V154" s="535"/>
      <c r="W154" s="558"/>
      <c r="Z154" s="535"/>
      <c r="AA154" s="558"/>
      <c r="AD154" s="535"/>
      <c r="AE154" s="558"/>
      <c r="AH154" s="535"/>
      <c r="AI154" s="558"/>
      <c r="AL154" s="535"/>
      <c r="AP154" s="535"/>
    </row>
    <row r="155">
      <c r="A155" s="552"/>
      <c r="B155" s="552"/>
      <c r="C155" t="str">
        <f>Filtered!I147</f>
        <v>Science</v>
      </c>
      <c r="D155" t="str">
        <f>Filtered!J147</f>
        <v>Life Sciences &amp; Earth Sciences</v>
      </c>
      <c r="E155" t="str">
        <f>Filtered!L147</f>
        <v>Unsure</v>
      </c>
      <c r="F155" t="b">
        <f t="shared" si="10"/>
        <v>0</v>
      </c>
      <c r="G155" t="b">
        <f t="shared" si="11"/>
        <v>0</v>
      </c>
      <c r="H155" t="b">
        <f t="shared" si="12"/>
        <v>0</v>
      </c>
      <c r="I155" t="b">
        <f t="shared" si="13"/>
        <v>0</v>
      </c>
      <c r="J155" t="b">
        <f t="shared" si="14"/>
        <v>0</v>
      </c>
      <c r="K155" t="b">
        <f t="shared" si="15"/>
        <v>1</v>
      </c>
      <c r="L155" t="b">
        <f t="shared" si="16"/>
        <v>0</v>
      </c>
      <c r="M155" t="b">
        <f t="shared" si="17"/>
        <v>0</v>
      </c>
      <c r="N155" s="535"/>
      <c r="O155" s="558"/>
      <c r="R155" s="535"/>
      <c r="S155" s="558"/>
      <c r="V155" s="535"/>
      <c r="W155" s="558"/>
      <c r="Z155" s="535"/>
      <c r="AA155" s="558"/>
      <c r="AD155" s="535"/>
      <c r="AE155" s="558"/>
      <c r="AH155" s="535"/>
      <c r="AI155" s="558"/>
      <c r="AL155" s="535"/>
      <c r="AP155" s="535"/>
    </row>
    <row r="156">
      <c r="A156" s="552"/>
      <c r="B156" s="552"/>
      <c r="C156" t="str">
        <f>Filtered!I148</f>
        <v>Science Translational Medicine</v>
      </c>
      <c r="D156" t="str">
        <f>Filtered!J148</f>
        <v/>
      </c>
      <c r="E156" t="str">
        <f>Filtered!L148</f>
        <v>Unsure</v>
      </c>
      <c r="F156" t="b">
        <f t="shared" si="10"/>
        <v>0</v>
      </c>
      <c r="G156" t="b">
        <f t="shared" si="11"/>
        <v>0</v>
      </c>
      <c r="H156" t="b">
        <f t="shared" si="12"/>
        <v>0</v>
      </c>
      <c r="I156" t="b">
        <f t="shared" si="13"/>
        <v>0</v>
      </c>
      <c r="J156" t="b">
        <f t="shared" si="14"/>
        <v>0</v>
      </c>
      <c r="K156" t="b">
        <f t="shared" si="15"/>
        <v>0</v>
      </c>
      <c r="L156" t="b">
        <f t="shared" si="16"/>
        <v>0</v>
      </c>
      <c r="M156" t="b">
        <f t="shared" si="17"/>
        <v>0</v>
      </c>
      <c r="N156" s="535"/>
      <c r="O156" s="558"/>
      <c r="R156" s="535"/>
      <c r="S156" s="558"/>
      <c r="V156" s="535"/>
      <c r="W156" s="558"/>
      <c r="Z156" s="535"/>
      <c r="AA156" s="558"/>
      <c r="AD156" s="535"/>
      <c r="AE156" s="558"/>
      <c r="AH156" s="535"/>
      <c r="AI156" s="558"/>
      <c r="AL156" s="535"/>
      <c r="AP156" s="535"/>
    </row>
    <row r="157">
      <c r="A157" s="552"/>
      <c r="B157" s="552"/>
      <c r="C157" t="str">
        <f>Filtered!I149</f>
        <v>Scientific Reports</v>
      </c>
      <c r="D157" t="str">
        <f>Filtered!J149</f>
        <v>Life Sciences &amp; Earth Sciences</v>
      </c>
      <c r="E157" t="str">
        <f>Filtered!L149</f>
        <v>Single blind</v>
      </c>
      <c r="F157" t="b">
        <f t="shared" si="10"/>
        <v>0</v>
      </c>
      <c r="G157" t="b">
        <f t="shared" si="11"/>
        <v>0</v>
      </c>
      <c r="H157" t="b">
        <f t="shared" si="12"/>
        <v>0</v>
      </c>
      <c r="I157" t="b">
        <f t="shared" si="13"/>
        <v>0</v>
      </c>
      <c r="J157" t="b">
        <f t="shared" si="14"/>
        <v>0</v>
      </c>
      <c r="K157" t="b">
        <f t="shared" si="15"/>
        <v>1</v>
      </c>
      <c r="L157" t="b">
        <f t="shared" si="16"/>
        <v>0</v>
      </c>
      <c r="M157" t="b">
        <f t="shared" si="17"/>
        <v>0</v>
      </c>
      <c r="N157" s="535"/>
      <c r="O157" s="558"/>
      <c r="R157" s="535"/>
      <c r="S157" s="558"/>
      <c r="V157" s="535"/>
      <c r="W157" s="558"/>
      <c r="Z157" s="535"/>
      <c r="AA157" s="558"/>
      <c r="AD157" s="535"/>
      <c r="AE157" s="558"/>
      <c r="AH157" s="535"/>
      <c r="AI157" s="558"/>
      <c r="AL157" s="535"/>
      <c r="AP157" s="535"/>
    </row>
    <row r="158">
      <c r="A158" s="552"/>
      <c r="B158" s="552"/>
      <c r="C158" t="str">
        <f>Filtered!I150</f>
        <v>Social Science &amp; Medicine</v>
      </c>
      <c r="D158" t="str">
        <f>Filtered!J150</f>
        <v>Social Sciences</v>
      </c>
      <c r="E158" t="str">
        <f>Filtered!L150</f>
        <v>Double blind</v>
      </c>
      <c r="F158" t="b">
        <f t="shared" si="10"/>
        <v>0</v>
      </c>
      <c r="G158" t="b">
        <f t="shared" si="11"/>
        <v>0</v>
      </c>
      <c r="H158" t="b">
        <f t="shared" si="12"/>
        <v>0</v>
      </c>
      <c r="I158" t="b">
        <f t="shared" si="13"/>
        <v>0</v>
      </c>
      <c r="J158" t="b">
        <f t="shared" si="14"/>
        <v>0</v>
      </c>
      <c r="K158" t="b">
        <f t="shared" si="15"/>
        <v>0</v>
      </c>
      <c r="L158" t="b">
        <f t="shared" si="16"/>
        <v>0</v>
      </c>
      <c r="M158" t="b">
        <f t="shared" si="17"/>
        <v>1</v>
      </c>
      <c r="N158" s="535"/>
      <c r="O158" s="558"/>
      <c r="R158" s="535"/>
      <c r="S158" s="558"/>
      <c r="V158" s="535"/>
      <c r="W158" s="558"/>
      <c r="Z158" s="535"/>
      <c r="AA158" s="558"/>
      <c r="AD158" s="535"/>
      <c r="AE158" s="558"/>
      <c r="AH158" s="535"/>
      <c r="AI158" s="558"/>
      <c r="AL158" s="535"/>
      <c r="AP158" s="535"/>
    </row>
    <row r="159">
      <c r="A159" s="552"/>
      <c r="B159" s="552"/>
      <c r="C159" t="str">
        <f>Filtered!I151</f>
        <v>Strategic Management Journal</v>
      </c>
      <c r="D159" t="str">
        <f>Filtered!J151</f>
        <v>Business, Economics &amp; Management</v>
      </c>
      <c r="E159" t="str">
        <f>Filtered!L151</f>
        <v>Unsure</v>
      </c>
      <c r="F159" t="b">
        <f t="shared" si="10"/>
        <v>1</v>
      </c>
      <c r="G159" t="b">
        <f t="shared" si="11"/>
        <v>0</v>
      </c>
      <c r="H159" t="b">
        <f t="shared" si="12"/>
        <v>0</v>
      </c>
      <c r="I159" t="b">
        <f t="shared" si="13"/>
        <v>0</v>
      </c>
      <c r="J159" t="b">
        <f t="shared" si="14"/>
        <v>0</v>
      </c>
      <c r="K159" t="b">
        <f t="shared" si="15"/>
        <v>0</v>
      </c>
      <c r="L159" t="b">
        <f t="shared" si="16"/>
        <v>0</v>
      </c>
      <c r="M159" t="b">
        <f t="shared" si="17"/>
        <v>0</v>
      </c>
      <c r="N159" s="535"/>
      <c r="O159" s="558"/>
      <c r="R159" s="535"/>
      <c r="S159" s="558"/>
      <c r="V159" s="535"/>
      <c r="W159" s="558"/>
      <c r="Z159" s="535"/>
      <c r="AA159" s="558"/>
      <c r="AD159" s="535"/>
      <c r="AE159" s="558"/>
      <c r="AH159" s="535"/>
      <c r="AI159" s="558"/>
      <c r="AL159" s="535"/>
      <c r="AP159" s="535"/>
    </row>
    <row r="160">
      <c r="A160" s="552"/>
      <c r="B160" s="552"/>
      <c r="C160" t="str">
        <f>Filtered!I152</f>
        <v>Synthese</v>
      </c>
      <c r="D160" t="str">
        <f>Filtered!J152</f>
        <v>Humanities, Literature &amp; Arts</v>
      </c>
      <c r="E160" t="str">
        <f>Filtered!L152</f>
        <v>Double blind</v>
      </c>
      <c r="F160" t="b">
        <f t="shared" si="10"/>
        <v>0</v>
      </c>
      <c r="G160" t="b">
        <f t="shared" si="11"/>
        <v>0</v>
      </c>
      <c r="H160" t="b">
        <f t="shared" si="12"/>
        <v>0</v>
      </c>
      <c r="I160" t="b">
        <f t="shared" si="13"/>
        <v>0</v>
      </c>
      <c r="J160" t="b">
        <f t="shared" si="14"/>
        <v>1</v>
      </c>
      <c r="K160" t="b">
        <f t="shared" si="15"/>
        <v>0</v>
      </c>
      <c r="L160" t="b">
        <f t="shared" si="16"/>
        <v>0</v>
      </c>
      <c r="M160" t="b">
        <f t="shared" si="17"/>
        <v>0</v>
      </c>
      <c r="N160" s="535"/>
      <c r="O160" s="558"/>
      <c r="R160" s="535"/>
      <c r="S160" s="558"/>
      <c r="V160" s="535"/>
      <c r="W160" s="558"/>
      <c r="Z160" s="535"/>
      <c r="AA160" s="558"/>
      <c r="AD160" s="535"/>
      <c r="AE160" s="558"/>
      <c r="AH160" s="535"/>
      <c r="AI160" s="558"/>
      <c r="AL160" s="535"/>
      <c r="AP160" s="535"/>
    </row>
    <row r="161">
      <c r="A161" s="552"/>
      <c r="B161" s="552"/>
      <c r="C161" t="str">
        <f>Filtered!I153</f>
        <v>System</v>
      </c>
      <c r="D161" t="str">
        <f>Filtered!J153</f>
        <v>Humanities, Literature &amp; Arts</v>
      </c>
      <c r="E161" t="str">
        <f>Filtered!L153</f>
        <v>Double blind</v>
      </c>
      <c r="F161" t="b">
        <f t="shared" si="10"/>
        <v>0</v>
      </c>
      <c r="G161" t="b">
        <f t="shared" si="11"/>
        <v>0</v>
      </c>
      <c r="H161" t="b">
        <f t="shared" si="12"/>
        <v>0</v>
      </c>
      <c r="I161" t="b">
        <f t="shared" si="13"/>
        <v>0</v>
      </c>
      <c r="J161" t="b">
        <f t="shared" si="14"/>
        <v>1</v>
      </c>
      <c r="K161" t="b">
        <f t="shared" si="15"/>
        <v>0</v>
      </c>
      <c r="L161" t="b">
        <f t="shared" si="16"/>
        <v>0</v>
      </c>
      <c r="M161" t="b">
        <f t="shared" si="17"/>
        <v>0</v>
      </c>
      <c r="N161" s="535"/>
      <c r="O161" s="558"/>
      <c r="R161" s="535"/>
      <c r="S161" s="558"/>
      <c r="V161" s="535"/>
      <c r="W161" s="558"/>
      <c r="Z161" s="535"/>
      <c r="AA161" s="558"/>
      <c r="AD161" s="535"/>
      <c r="AE161" s="558"/>
      <c r="AH161" s="535"/>
      <c r="AI161" s="558"/>
      <c r="AL161" s="535"/>
      <c r="AP161" s="535"/>
    </row>
    <row r="162">
      <c r="A162" s="552"/>
      <c r="B162" s="552"/>
      <c r="C162" t="str">
        <f>Filtered!I154</f>
        <v>Teaching and Teacher Education</v>
      </c>
      <c r="D162" t="str">
        <f>Filtered!J154</f>
        <v>Social Sciences</v>
      </c>
      <c r="E162" t="str">
        <f>Filtered!L154</f>
        <v>Double blind</v>
      </c>
      <c r="F162" t="b">
        <f t="shared" si="10"/>
        <v>0</v>
      </c>
      <c r="G162" t="b">
        <f t="shared" si="11"/>
        <v>0</v>
      </c>
      <c r="H162" t="b">
        <f t="shared" si="12"/>
        <v>0</v>
      </c>
      <c r="I162" t="b">
        <f t="shared" si="13"/>
        <v>0</v>
      </c>
      <c r="J162" t="b">
        <f t="shared" si="14"/>
        <v>0</v>
      </c>
      <c r="K162" t="b">
        <f t="shared" si="15"/>
        <v>0</v>
      </c>
      <c r="L162" t="b">
        <f t="shared" si="16"/>
        <v>0</v>
      </c>
      <c r="M162" t="b">
        <f t="shared" si="17"/>
        <v>1</v>
      </c>
      <c r="N162" s="535"/>
      <c r="O162" s="558"/>
      <c r="R162" s="535"/>
      <c r="S162" s="558"/>
      <c r="V162" s="535"/>
      <c r="W162" s="558"/>
      <c r="Z162" s="535"/>
      <c r="AA162" s="558"/>
      <c r="AD162" s="535"/>
      <c r="AE162" s="558"/>
      <c r="AH162" s="535"/>
      <c r="AI162" s="558"/>
      <c r="AL162" s="535"/>
      <c r="AP162" s="535"/>
    </row>
    <row r="163">
      <c r="A163" s="552"/>
      <c r="B163" s="552"/>
      <c r="C163" t="str">
        <f>Filtered!I155</f>
        <v>TESOL Quarterly</v>
      </c>
      <c r="D163" t="str">
        <f>Filtered!J155</f>
        <v>Humanities, Literature &amp; Arts</v>
      </c>
      <c r="E163" t="str">
        <f>Filtered!L155</f>
        <v>Unsure - but possibly double blinded as instructions to authors say "If you cite your own work in your paper, please do not blind that citation so that the reviewers can better assess what literature you are reviewing."</v>
      </c>
      <c r="F163" t="b">
        <f t="shared" si="10"/>
        <v>0</v>
      </c>
      <c r="G163" t="b">
        <f t="shared" si="11"/>
        <v>0</v>
      </c>
      <c r="H163" t="b">
        <f t="shared" si="12"/>
        <v>0</v>
      </c>
      <c r="I163" t="b">
        <f t="shared" si="13"/>
        <v>0</v>
      </c>
      <c r="J163" t="b">
        <f t="shared" si="14"/>
        <v>1</v>
      </c>
      <c r="K163" t="b">
        <f t="shared" si="15"/>
        <v>0</v>
      </c>
      <c r="L163" t="b">
        <f t="shared" si="16"/>
        <v>0</v>
      </c>
      <c r="M163" t="b">
        <f t="shared" si="17"/>
        <v>0</v>
      </c>
      <c r="N163" s="535"/>
      <c r="O163" s="558"/>
      <c r="R163" s="535"/>
      <c r="S163" s="558"/>
      <c r="V163" s="535"/>
      <c r="W163" s="558"/>
      <c r="Z163" s="535"/>
      <c r="AA163" s="558"/>
      <c r="AD163" s="535"/>
      <c r="AE163" s="558"/>
      <c r="AH163" s="535"/>
      <c r="AI163" s="558"/>
      <c r="AL163" s="535"/>
      <c r="AP163" s="535"/>
    </row>
    <row r="164">
      <c r="A164" s="552"/>
      <c r="B164" s="552"/>
      <c r="C164" t="str">
        <f>Filtered!I156</f>
        <v>The Astrophysical Journal</v>
      </c>
      <c r="D164" t="str">
        <f>Filtered!J156</f>
        <v>Physics &amp; Mathematics</v>
      </c>
      <c r="E164" t="str">
        <f>Filtered!L156</f>
        <v>Unsure</v>
      </c>
      <c r="F164" t="b">
        <f t="shared" si="10"/>
        <v>0</v>
      </c>
      <c r="G164" t="b">
        <f t="shared" si="11"/>
        <v>0</v>
      </c>
      <c r="H164" t="b">
        <f t="shared" si="12"/>
        <v>0</v>
      </c>
      <c r="I164" t="b">
        <f t="shared" si="13"/>
        <v>0</v>
      </c>
      <c r="J164" t="b">
        <f t="shared" si="14"/>
        <v>0</v>
      </c>
      <c r="K164" t="b">
        <f t="shared" si="15"/>
        <v>0</v>
      </c>
      <c r="L164" t="b">
        <f t="shared" si="16"/>
        <v>1</v>
      </c>
      <c r="M164" t="b">
        <f t="shared" si="17"/>
        <v>0</v>
      </c>
      <c r="N164" s="535"/>
      <c r="O164" s="558"/>
      <c r="R164" s="535"/>
      <c r="S164" s="558"/>
      <c r="V164" s="535"/>
      <c r="W164" s="558"/>
      <c r="Z164" s="535"/>
      <c r="AA164" s="558"/>
      <c r="AD164" s="535"/>
      <c r="AE164" s="558"/>
      <c r="AH164" s="535"/>
      <c r="AI164" s="558"/>
      <c r="AL164" s="535"/>
      <c r="AP164" s="535"/>
    </row>
    <row r="165">
      <c r="A165" s="552"/>
      <c r="B165" s="552"/>
      <c r="C165" t="str">
        <f>Filtered!I157</f>
        <v>The China Quarterly</v>
      </c>
      <c r="D165" t="str">
        <f>Filtered!J157</f>
        <v>Humanities, Literature &amp; Arts</v>
      </c>
      <c r="E165" t="str">
        <f>Filtered!L157</f>
        <v>Double blind </v>
      </c>
      <c r="F165" t="b">
        <f t="shared" si="10"/>
        <v>0</v>
      </c>
      <c r="G165" t="b">
        <f t="shared" si="11"/>
        <v>0</v>
      </c>
      <c r="H165" t="b">
        <f t="shared" si="12"/>
        <v>0</v>
      </c>
      <c r="I165" t="b">
        <f t="shared" si="13"/>
        <v>0</v>
      </c>
      <c r="J165" t="b">
        <f t="shared" si="14"/>
        <v>1</v>
      </c>
      <c r="K165" t="b">
        <f t="shared" si="15"/>
        <v>0</v>
      </c>
      <c r="L165" t="b">
        <f t="shared" si="16"/>
        <v>0</v>
      </c>
      <c r="M165" t="b">
        <f t="shared" si="17"/>
        <v>0</v>
      </c>
      <c r="N165" s="535"/>
      <c r="O165" s="558"/>
      <c r="R165" s="535"/>
      <c r="S165" s="558"/>
      <c r="V165" s="535"/>
      <c r="W165" s="558"/>
      <c r="Z165" s="535"/>
      <c r="AA165" s="558"/>
      <c r="AD165" s="535"/>
      <c r="AE165" s="558"/>
      <c r="AH165" s="535"/>
      <c r="AI165" s="558"/>
      <c r="AL165" s="535"/>
      <c r="AP165" s="535"/>
    </row>
    <row r="166">
      <c r="A166" s="552"/>
      <c r="B166" s="552"/>
      <c r="C166" t="str">
        <f>Filtered!I158</f>
        <v>The Cochrane Database of Systematic Reviews</v>
      </c>
      <c r="D166" t="str">
        <f>Filtered!J158</f>
        <v>Health &amp; Medical Sciences</v>
      </c>
      <c r="E166" t="str">
        <f>Filtered!L158</f>
        <v>Not blinded</v>
      </c>
      <c r="F166" t="b">
        <f t="shared" si="10"/>
        <v>0</v>
      </c>
      <c r="G166" t="b">
        <f t="shared" si="11"/>
        <v>0</v>
      </c>
      <c r="H166" t="b">
        <f t="shared" si="12"/>
        <v>0</v>
      </c>
      <c r="I166" t="b">
        <f t="shared" si="13"/>
        <v>1</v>
      </c>
      <c r="J166" t="b">
        <f t="shared" si="14"/>
        <v>0</v>
      </c>
      <c r="K166" t="b">
        <f t="shared" si="15"/>
        <v>0</v>
      </c>
      <c r="L166" t="b">
        <f t="shared" si="16"/>
        <v>0</v>
      </c>
      <c r="M166" t="b">
        <f t="shared" si="17"/>
        <v>0</v>
      </c>
      <c r="N166" s="535"/>
      <c r="O166" s="558"/>
      <c r="R166" s="535"/>
      <c r="S166" s="558"/>
      <c r="V166" s="535"/>
      <c r="W166" s="558"/>
      <c r="Z166" s="535"/>
      <c r="AA166" s="558"/>
      <c r="AD166" s="535"/>
      <c r="AE166" s="558"/>
      <c r="AH166" s="535"/>
      <c r="AI166" s="558"/>
      <c r="AL166" s="535"/>
      <c r="AP166" s="535"/>
    </row>
    <row r="167">
      <c r="A167" s="552"/>
      <c r="B167" s="552"/>
      <c r="C167" t="str">
        <f>Filtered!I159</f>
        <v>The European Physical Journal C</v>
      </c>
      <c r="D167" t="str">
        <f>Filtered!J159</f>
        <v>Physics &amp; Mathematics</v>
      </c>
      <c r="E167" t="str">
        <f>Filtered!L159</f>
        <v>Single blind</v>
      </c>
      <c r="F167" t="b">
        <f t="shared" si="10"/>
        <v>0</v>
      </c>
      <c r="G167" t="b">
        <f t="shared" si="11"/>
        <v>0</v>
      </c>
      <c r="H167" t="b">
        <f t="shared" si="12"/>
        <v>0</v>
      </c>
      <c r="I167" t="b">
        <f t="shared" si="13"/>
        <v>0</v>
      </c>
      <c r="J167" t="b">
        <f t="shared" si="14"/>
        <v>0</v>
      </c>
      <c r="K167" t="b">
        <f t="shared" si="15"/>
        <v>0</v>
      </c>
      <c r="L167" t="b">
        <f t="shared" si="16"/>
        <v>1</v>
      </c>
      <c r="M167" t="b">
        <f t="shared" si="17"/>
        <v>0</v>
      </c>
      <c r="N167" s="535"/>
      <c r="O167" s="558"/>
      <c r="R167" s="535"/>
      <c r="S167" s="558"/>
      <c r="V167" s="535"/>
      <c r="W167" s="558"/>
      <c r="Z167" s="535"/>
      <c r="AA167" s="558"/>
      <c r="AD167" s="535"/>
      <c r="AE167" s="558"/>
      <c r="AH167" s="535"/>
      <c r="AI167" s="558"/>
      <c r="AL167" s="535"/>
      <c r="AP167" s="535"/>
    </row>
    <row r="168">
      <c r="A168" s="552"/>
      <c r="B168" s="552"/>
      <c r="C168" t="str">
        <f>Filtered!I160</f>
        <v>The Journal of Clinical Investigation</v>
      </c>
      <c r="D168" t="str">
        <f>Filtered!J160</f>
        <v/>
      </c>
      <c r="E168" t="str">
        <f>Filtered!L160</f>
        <v>Unsure</v>
      </c>
      <c r="F168" t="b">
        <f t="shared" si="10"/>
        <v>0</v>
      </c>
      <c r="G168" t="b">
        <f t="shared" si="11"/>
        <v>0</v>
      </c>
      <c r="H168" t="b">
        <f t="shared" si="12"/>
        <v>0</v>
      </c>
      <c r="I168" t="b">
        <f t="shared" si="13"/>
        <v>0</v>
      </c>
      <c r="J168" t="b">
        <f t="shared" si="14"/>
        <v>0</v>
      </c>
      <c r="K168" t="b">
        <f t="shared" si="15"/>
        <v>0</v>
      </c>
      <c r="L168" t="b">
        <f t="shared" si="16"/>
        <v>0</v>
      </c>
      <c r="M168" t="b">
        <f t="shared" si="17"/>
        <v>0</v>
      </c>
      <c r="N168" s="535"/>
      <c r="O168" s="558"/>
      <c r="R168" s="535"/>
      <c r="S168" s="558"/>
      <c r="V168" s="535"/>
      <c r="W168" s="558"/>
      <c r="Z168" s="535"/>
      <c r="AA168" s="558"/>
      <c r="AD168" s="535"/>
      <c r="AE168" s="558"/>
      <c r="AH168" s="535"/>
      <c r="AI168" s="558"/>
      <c r="AL168" s="535"/>
      <c r="AP168" s="535"/>
    </row>
    <row r="169">
      <c r="A169" s="552"/>
      <c r="B169" s="552"/>
      <c r="C169" t="str">
        <f>Filtered!I161</f>
        <v>The Journal of Finance</v>
      </c>
      <c r="D169" t="str">
        <f>Filtered!J161</f>
        <v>Business, Economics &amp; Management</v>
      </c>
      <c r="E169" t="str">
        <f>Filtered!L161</f>
        <v>Unsure</v>
      </c>
      <c r="F169" t="b">
        <f t="shared" si="10"/>
        <v>1</v>
      </c>
      <c r="G169" t="b">
        <f t="shared" si="11"/>
        <v>0</v>
      </c>
      <c r="H169" t="b">
        <f t="shared" si="12"/>
        <v>0</v>
      </c>
      <c r="I169" t="b">
        <f t="shared" si="13"/>
        <v>0</v>
      </c>
      <c r="J169" t="b">
        <f t="shared" si="14"/>
        <v>0</v>
      </c>
      <c r="K169" t="b">
        <f t="shared" si="15"/>
        <v>0</v>
      </c>
      <c r="L169" t="b">
        <f t="shared" si="16"/>
        <v>0</v>
      </c>
      <c r="M169" t="b">
        <f t="shared" si="17"/>
        <v>0</v>
      </c>
      <c r="N169" s="535"/>
      <c r="O169" s="558"/>
      <c r="R169" s="535"/>
      <c r="S169" s="558"/>
      <c r="V169" s="535"/>
      <c r="W169" s="558"/>
      <c r="Z169" s="535"/>
      <c r="AA169" s="558"/>
      <c r="AD169" s="535"/>
      <c r="AE169" s="558"/>
      <c r="AH169" s="535"/>
      <c r="AI169" s="558"/>
      <c r="AL169" s="535"/>
      <c r="AP169" s="535"/>
    </row>
    <row r="170">
      <c r="A170" s="552"/>
      <c r="B170" s="552"/>
      <c r="C170" t="str">
        <f>Filtered!I162</f>
        <v>The Journal of Physical Chemistry Letters</v>
      </c>
      <c r="D170" t="str">
        <f>Filtered!J162</f>
        <v>Physics &amp; Mathematics, Chemical &amp; Materials Sciences</v>
      </c>
      <c r="E170" t="str">
        <f>Filtered!L162</f>
        <v>Single blind</v>
      </c>
      <c r="F170" t="b">
        <f t="shared" si="10"/>
        <v>0</v>
      </c>
      <c r="G170" t="b">
        <f t="shared" si="11"/>
        <v>1</v>
      </c>
      <c r="H170" t="b">
        <f t="shared" si="12"/>
        <v>0</v>
      </c>
      <c r="I170" t="b">
        <f t="shared" si="13"/>
        <v>0</v>
      </c>
      <c r="J170" t="b">
        <f t="shared" si="14"/>
        <v>0</v>
      </c>
      <c r="K170" t="b">
        <f t="shared" si="15"/>
        <v>0</v>
      </c>
      <c r="L170" t="b">
        <f t="shared" si="16"/>
        <v>1</v>
      </c>
      <c r="M170" t="b">
        <f t="shared" si="17"/>
        <v>0</v>
      </c>
      <c r="N170" s="535"/>
      <c r="O170" s="558"/>
      <c r="R170" s="535"/>
      <c r="S170" s="558"/>
      <c r="V170" s="535"/>
      <c r="W170" s="558"/>
      <c r="Z170" s="535"/>
      <c r="AA170" s="558"/>
      <c r="AD170" s="535"/>
      <c r="AE170" s="558"/>
      <c r="AH170" s="535"/>
      <c r="AI170" s="558"/>
      <c r="AL170" s="535"/>
      <c r="AP170" s="535"/>
    </row>
    <row r="171">
      <c r="A171" s="552"/>
      <c r="B171" s="552"/>
      <c r="C171" t="str">
        <f>Filtered!I163</f>
        <v>The Lancet</v>
      </c>
      <c r="D171" t="str">
        <f>Filtered!J163</f>
        <v>Health &amp; Medical Sciences</v>
      </c>
      <c r="E171" t="str">
        <f>Filtered!L163</f>
        <v>Unsure</v>
      </c>
      <c r="F171" t="b">
        <f t="shared" si="10"/>
        <v>0</v>
      </c>
      <c r="G171" t="b">
        <f t="shared" si="11"/>
        <v>0</v>
      </c>
      <c r="H171" t="b">
        <f t="shared" si="12"/>
        <v>0</v>
      </c>
      <c r="I171" t="b">
        <f t="shared" si="13"/>
        <v>1</v>
      </c>
      <c r="J171" t="b">
        <f t="shared" si="14"/>
        <v>0</v>
      </c>
      <c r="K171" t="b">
        <f t="shared" si="15"/>
        <v>0</v>
      </c>
      <c r="L171" t="b">
        <f t="shared" si="16"/>
        <v>0</v>
      </c>
      <c r="M171" t="b">
        <f t="shared" si="17"/>
        <v>0</v>
      </c>
      <c r="N171" s="535"/>
      <c r="O171" s="558"/>
      <c r="R171" s="535"/>
      <c r="S171" s="558"/>
      <c r="V171" s="535"/>
      <c r="W171" s="558"/>
      <c r="Z171" s="535"/>
      <c r="AA171" s="558"/>
      <c r="AD171" s="535"/>
      <c r="AE171" s="558"/>
      <c r="AH171" s="535"/>
      <c r="AI171" s="558"/>
      <c r="AL171" s="535"/>
      <c r="AP171" s="535"/>
    </row>
    <row r="172">
      <c r="A172" s="552"/>
      <c r="B172" s="552"/>
      <c r="C172" t="str">
        <f>Filtered!I164</f>
        <v>The Lancet Neurology</v>
      </c>
      <c r="D172" t="str">
        <f>Filtered!J164</f>
        <v/>
      </c>
      <c r="E172" t="str">
        <f>Filtered!L164</f>
        <v>Unsure</v>
      </c>
      <c r="F172" t="b">
        <f t="shared" si="10"/>
        <v>0</v>
      </c>
      <c r="G172" t="b">
        <f t="shared" si="11"/>
        <v>0</v>
      </c>
      <c r="H172" t="b">
        <f t="shared" si="12"/>
        <v>0</v>
      </c>
      <c r="I172" t="b">
        <f t="shared" si="13"/>
        <v>0</v>
      </c>
      <c r="J172" t="b">
        <f t="shared" si="14"/>
        <v>0</v>
      </c>
      <c r="K172" t="b">
        <f t="shared" si="15"/>
        <v>0</v>
      </c>
      <c r="L172" t="b">
        <f t="shared" si="16"/>
        <v>0</v>
      </c>
      <c r="M172" t="b">
        <f t="shared" si="17"/>
        <v>0</v>
      </c>
      <c r="N172" s="535"/>
      <c r="O172" s="558"/>
      <c r="R172" s="535"/>
      <c r="S172" s="558"/>
      <c r="V172" s="535"/>
      <c r="W172" s="558"/>
      <c r="Z172" s="535"/>
      <c r="AA172" s="558"/>
      <c r="AD172" s="535"/>
      <c r="AE172" s="558"/>
      <c r="AH172" s="535"/>
      <c r="AI172" s="558"/>
      <c r="AL172" s="535"/>
      <c r="AP172" s="535"/>
    </row>
    <row r="173">
      <c r="A173" s="552"/>
      <c r="B173" s="552"/>
      <c r="C173" t="str">
        <f>Filtered!I165</f>
        <v>The Lancet Oncology</v>
      </c>
      <c r="D173" t="str">
        <f>Filtered!J165</f>
        <v>Health &amp; Medical Sciences</v>
      </c>
      <c r="E173" t="str">
        <f>Filtered!L165</f>
        <v>Unsure</v>
      </c>
      <c r="F173" t="b">
        <f t="shared" si="10"/>
        <v>0</v>
      </c>
      <c r="G173" t="b">
        <f t="shared" si="11"/>
        <v>0</v>
      </c>
      <c r="H173" t="b">
        <f t="shared" si="12"/>
        <v>0</v>
      </c>
      <c r="I173" t="b">
        <f t="shared" si="13"/>
        <v>1</v>
      </c>
      <c r="J173" t="b">
        <f t="shared" si="14"/>
        <v>0</v>
      </c>
      <c r="K173" t="b">
        <f t="shared" si="15"/>
        <v>0</v>
      </c>
      <c r="L173" t="b">
        <f t="shared" si="16"/>
        <v>0</v>
      </c>
      <c r="M173" t="b">
        <f t="shared" si="17"/>
        <v>0</v>
      </c>
      <c r="N173" s="535"/>
      <c r="O173" s="558"/>
      <c r="R173" s="535"/>
      <c r="S173" s="558"/>
      <c r="V173" s="535"/>
      <c r="W173" s="558"/>
      <c r="Z173" s="535"/>
      <c r="AA173" s="558"/>
      <c r="AD173" s="535"/>
      <c r="AE173" s="558"/>
      <c r="AH173" s="535"/>
      <c r="AI173" s="558"/>
      <c r="AL173" s="535"/>
      <c r="AP173" s="535"/>
    </row>
    <row r="174">
      <c r="A174" s="552"/>
      <c r="B174" s="552"/>
      <c r="C174" t="str">
        <f>Filtered!I166</f>
        <v>The Modern Language Journal</v>
      </c>
      <c r="D174" t="str">
        <f>Filtered!J166</f>
        <v>Humanities, Literature &amp; Arts</v>
      </c>
      <c r="E174" t="str">
        <f>Filtered!L166</f>
        <v>Double blind</v>
      </c>
      <c r="F174" t="b">
        <f t="shared" si="10"/>
        <v>0</v>
      </c>
      <c r="G174" t="b">
        <f t="shared" si="11"/>
        <v>0</v>
      </c>
      <c r="H174" t="b">
        <f t="shared" si="12"/>
        <v>0</v>
      </c>
      <c r="I174" t="b">
        <f t="shared" si="13"/>
        <v>0</v>
      </c>
      <c r="J174" t="b">
        <f t="shared" si="14"/>
        <v>1</v>
      </c>
      <c r="K174" t="b">
        <f t="shared" si="15"/>
        <v>0</v>
      </c>
      <c r="L174" t="b">
        <f t="shared" si="16"/>
        <v>0</v>
      </c>
      <c r="M174" t="b">
        <f t="shared" si="17"/>
        <v>0</v>
      </c>
      <c r="N174" s="535"/>
      <c r="O174" s="558"/>
      <c r="R174" s="535"/>
      <c r="S174" s="558"/>
      <c r="V174" s="535"/>
      <c r="W174" s="558"/>
      <c r="Z174" s="535"/>
      <c r="AA174" s="558"/>
      <c r="AD174" s="535"/>
      <c r="AE174" s="558"/>
      <c r="AH174" s="535"/>
      <c r="AI174" s="558"/>
      <c r="AL174" s="535"/>
      <c r="AP174" s="535"/>
    </row>
    <row r="175">
      <c r="A175" s="552"/>
      <c r="B175" s="552"/>
      <c r="C175" t="str">
        <f>Filtered!I167</f>
        <v>The New England Journal of Medicine</v>
      </c>
      <c r="D175" t="str">
        <f>Filtered!J167</f>
        <v>Health &amp; Medical Sciences</v>
      </c>
      <c r="E175" t="str">
        <f>Filtered!L167</f>
        <v>Single blind (inferred; reviewers see author identity to know COI)</v>
      </c>
      <c r="F175" t="b">
        <f t="shared" si="10"/>
        <v>0</v>
      </c>
      <c r="G175" t="b">
        <f t="shared" si="11"/>
        <v>0</v>
      </c>
      <c r="H175" t="b">
        <f t="shared" si="12"/>
        <v>0</v>
      </c>
      <c r="I175" t="b">
        <f t="shared" si="13"/>
        <v>1</v>
      </c>
      <c r="J175" t="b">
        <f t="shared" si="14"/>
        <v>0</v>
      </c>
      <c r="K175" t="b">
        <f t="shared" si="15"/>
        <v>0</v>
      </c>
      <c r="L175" t="b">
        <f t="shared" si="16"/>
        <v>0</v>
      </c>
      <c r="M175" t="b">
        <f t="shared" si="17"/>
        <v>0</v>
      </c>
      <c r="N175" s="535"/>
      <c r="O175" s="558"/>
      <c r="R175" s="535"/>
      <c r="S175" s="558"/>
      <c r="V175" s="535"/>
      <c r="W175" s="558"/>
      <c r="Z175" s="535"/>
      <c r="AA175" s="558"/>
      <c r="AD175" s="535"/>
      <c r="AE175" s="558"/>
      <c r="AH175" s="535"/>
      <c r="AI175" s="558"/>
      <c r="AL175" s="535"/>
      <c r="AP175" s="535"/>
    </row>
    <row r="176">
      <c r="A176" s="552"/>
      <c r="B176" s="552"/>
      <c r="C176" t="str">
        <f>Filtered!I168</f>
        <v>The Quarterly Journal of Economics</v>
      </c>
      <c r="D176" t="str">
        <f>Filtered!J168</f>
        <v>Business, Economics &amp; Management</v>
      </c>
      <c r="E176" t="str">
        <f>Filtered!L168</f>
        <v>Unsure</v>
      </c>
      <c r="F176" t="b">
        <f t="shared" si="10"/>
        <v>1</v>
      </c>
      <c r="G176" t="b">
        <f t="shared" si="11"/>
        <v>0</v>
      </c>
      <c r="H176" t="b">
        <f t="shared" si="12"/>
        <v>0</v>
      </c>
      <c r="I176" t="b">
        <f t="shared" si="13"/>
        <v>0</v>
      </c>
      <c r="J176" t="b">
        <f t="shared" si="14"/>
        <v>0</v>
      </c>
      <c r="K176" t="b">
        <f t="shared" si="15"/>
        <v>0</v>
      </c>
      <c r="L176" t="b">
        <f t="shared" si="16"/>
        <v>0</v>
      </c>
      <c r="M176" t="b">
        <f t="shared" si="17"/>
        <v>0</v>
      </c>
      <c r="N176" s="535"/>
      <c r="O176" s="558"/>
      <c r="R176" s="535"/>
      <c r="S176" s="558"/>
      <c r="V176" s="535"/>
      <c r="W176" s="558"/>
      <c r="Z176" s="535"/>
      <c r="AA176" s="558"/>
      <c r="AD176" s="535"/>
      <c r="AE176" s="558"/>
      <c r="AH176" s="535"/>
      <c r="AI176" s="558"/>
      <c r="AL176" s="535"/>
      <c r="AP176" s="535"/>
    </row>
    <row r="177">
      <c r="A177" s="552"/>
      <c r="B177" s="552"/>
      <c r="C177" t="str">
        <f>Filtered!I169</f>
        <v>The Review of Economic Studies</v>
      </c>
      <c r="D177" t="str">
        <f>Filtered!J169</f>
        <v>Business, Economics &amp; Management</v>
      </c>
      <c r="E177" t="str">
        <f>Filtered!L169</f>
        <v>Unsure</v>
      </c>
      <c r="F177" t="b">
        <f t="shared" si="10"/>
        <v>1</v>
      </c>
      <c r="G177" t="b">
        <f t="shared" si="11"/>
        <v>0</v>
      </c>
      <c r="H177" t="b">
        <f t="shared" si="12"/>
        <v>0</v>
      </c>
      <c r="I177" t="b">
        <f t="shared" si="13"/>
        <v>0</v>
      </c>
      <c r="J177" t="b">
        <f t="shared" si="14"/>
        <v>0</v>
      </c>
      <c r="K177" t="b">
        <f t="shared" si="15"/>
        <v>0</v>
      </c>
      <c r="L177" t="b">
        <f t="shared" si="16"/>
        <v>0</v>
      </c>
      <c r="M177" t="b">
        <f t="shared" si="17"/>
        <v>0</v>
      </c>
      <c r="N177" s="535"/>
      <c r="O177" s="558"/>
      <c r="R177" s="535"/>
      <c r="S177" s="558"/>
      <c r="V177" s="535"/>
      <c r="W177" s="558"/>
      <c r="Z177" s="535"/>
      <c r="AA177" s="558"/>
      <c r="AD177" s="535"/>
      <c r="AE177" s="558"/>
      <c r="AH177" s="535"/>
      <c r="AI177" s="558"/>
      <c r="AL177" s="535"/>
      <c r="AP177" s="535"/>
    </row>
    <row r="178">
      <c r="A178" s="552"/>
      <c r="B178" s="552"/>
      <c r="C178" t="str">
        <f>Filtered!I170</f>
        <v>The Review of Financial Studies</v>
      </c>
      <c r="D178" t="str">
        <f>Filtered!J170</f>
        <v>Business, Economics &amp; Management</v>
      </c>
      <c r="E178" t="str">
        <f>Filtered!L170</f>
        <v>Unsure</v>
      </c>
      <c r="F178" t="b">
        <f t="shared" si="10"/>
        <v>1</v>
      </c>
      <c r="G178" t="b">
        <f t="shared" si="11"/>
        <v>0</v>
      </c>
      <c r="H178" t="b">
        <f t="shared" si="12"/>
        <v>0</v>
      </c>
      <c r="I178" t="b">
        <f t="shared" si="13"/>
        <v>0</v>
      </c>
      <c r="J178" t="b">
        <f t="shared" si="14"/>
        <v>0</v>
      </c>
      <c r="K178" t="b">
        <f t="shared" si="15"/>
        <v>0</v>
      </c>
      <c r="L178" t="b">
        <f t="shared" si="16"/>
        <v>0</v>
      </c>
      <c r="M178" t="b">
        <f t="shared" si="17"/>
        <v>0</v>
      </c>
      <c r="N178" s="535"/>
      <c r="O178" s="558"/>
      <c r="R178" s="535"/>
      <c r="S178" s="558"/>
      <c r="V178" s="535"/>
      <c r="W178" s="558"/>
      <c r="Z178" s="535"/>
      <c r="AA178" s="558"/>
      <c r="AD178" s="535"/>
      <c r="AE178" s="558"/>
      <c r="AH178" s="535"/>
      <c r="AI178" s="558"/>
      <c r="AL178" s="535"/>
      <c r="AP178" s="535"/>
    </row>
    <row r="179">
      <c r="A179" s="552"/>
      <c r="B179" s="552"/>
      <c r="C179" t="str">
        <f>Filtered!I171</f>
        <v>Tourism Management</v>
      </c>
      <c r="D179" t="str">
        <f>Filtered!J171</f>
        <v>Business, Economics &amp; Management</v>
      </c>
      <c r="E179" t="str">
        <f>Filtered!L171</f>
        <v>Double blind</v>
      </c>
      <c r="F179" t="b">
        <f t="shared" si="10"/>
        <v>1</v>
      </c>
      <c r="G179" t="b">
        <f t="shared" si="11"/>
        <v>0</v>
      </c>
      <c r="H179" t="b">
        <f t="shared" si="12"/>
        <v>0</v>
      </c>
      <c r="I179" t="b">
        <f t="shared" si="13"/>
        <v>0</v>
      </c>
      <c r="J179" t="b">
        <f t="shared" si="14"/>
        <v>0</v>
      </c>
      <c r="K179" t="b">
        <f t="shared" si="15"/>
        <v>0</v>
      </c>
      <c r="L179" t="b">
        <f t="shared" si="16"/>
        <v>0</v>
      </c>
      <c r="M179" t="b">
        <f t="shared" si="17"/>
        <v>0</v>
      </c>
      <c r="N179" s="535"/>
      <c r="O179" s="558"/>
      <c r="R179" s="535"/>
      <c r="S179" s="558"/>
      <c r="V179" s="535"/>
      <c r="W179" s="558"/>
      <c r="Z179" s="535"/>
      <c r="AA179" s="558"/>
      <c r="AD179" s="535"/>
      <c r="AE179" s="558"/>
      <c r="AH179" s="535"/>
      <c r="AI179" s="558"/>
      <c r="AL179" s="535"/>
      <c r="AP179" s="535"/>
    </row>
    <row r="180">
      <c r="A180" s="552"/>
      <c r="B180" s="552"/>
      <c r="C180" t="str">
        <f>Filtered!I172</f>
        <v>World Development</v>
      </c>
      <c r="D180" t="str">
        <f>Filtered!J172</f>
        <v>Business, Economics &amp; Management</v>
      </c>
      <c r="E180" t="str">
        <f>Filtered!L172</f>
        <v>Double blind</v>
      </c>
      <c r="F180" t="b">
        <f t="shared" si="10"/>
        <v>1</v>
      </c>
      <c r="G180" t="b">
        <f t="shared" si="11"/>
        <v>0</v>
      </c>
      <c r="H180" t="b">
        <f t="shared" si="12"/>
        <v>0</v>
      </c>
      <c r="I180" t="b">
        <f t="shared" si="13"/>
        <v>0</v>
      </c>
      <c r="J180" t="b">
        <f t="shared" si="14"/>
        <v>0</v>
      </c>
      <c r="K180" t="b">
        <f t="shared" si="15"/>
        <v>0</v>
      </c>
      <c r="L180" t="b">
        <f t="shared" si="16"/>
        <v>0</v>
      </c>
      <c r="M180" t="b">
        <f t="shared" si="17"/>
        <v>0</v>
      </c>
      <c r="N180" s="535"/>
      <c r="O180" s="558"/>
      <c r="R180" s="535"/>
      <c r="S180" s="558"/>
      <c r="V180" s="535"/>
      <c r="W180" s="558"/>
      <c r="Z180" s="535"/>
      <c r="AA180" s="558"/>
      <c r="AD180" s="535"/>
      <c r="AE180" s="558"/>
      <c r="AH180" s="535"/>
      <c r="AI180" s="558"/>
      <c r="AL180" s="535"/>
      <c r="AP180" s="535"/>
    </row>
    <row r="181">
      <c r="A181" s="552"/>
      <c r="B181" s="552"/>
      <c r="C181" t="str">
        <f>Filtered!I173</f>
        <v/>
      </c>
      <c r="D181" t="str">
        <f>Filtered!J173</f>
        <v/>
      </c>
      <c r="E181" t="str">
        <f>Filtered!L173</f>
        <v/>
      </c>
      <c r="N181" s="535"/>
      <c r="O181" s="558"/>
      <c r="R181" s="535"/>
      <c r="S181" s="558"/>
      <c r="V181" s="535"/>
      <c r="W181" s="558"/>
      <c r="Z181" s="535"/>
      <c r="AA181" s="558"/>
      <c r="AD181" s="535"/>
      <c r="AE181" s="558"/>
      <c r="AH181" s="535"/>
      <c r="AI181" s="558"/>
      <c r="AL181" s="535"/>
      <c r="AP181" s="535"/>
    </row>
    <row r="182">
      <c r="A182" s="552"/>
      <c r="B182" s="552"/>
      <c r="C182" t="str">
        <f>Filtered!I174</f>
        <v/>
      </c>
      <c r="D182" t="str">
        <f>Filtered!J174</f>
        <v/>
      </c>
      <c r="E182" t="str">
        <f>Filtered!L174</f>
        <v/>
      </c>
      <c r="N182" s="535"/>
      <c r="O182" s="558"/>
      <c r="R182" s="535"/>
      <c r="S182" s="558"/>
      <c r="V182" s="535"/>
      <c r="W182" s="558"/>
      <c r="Z182" s="535"/>
      <c r="AA182" s="558"/>
      <c r="AD182" s="535"/>
      <c r="AE182" s="558"/>
      <c r="AH182" s="535"/>
      <c r="AI182" s="558"/>
      <c r="AL182" s="535"/>
      <c r="AP182" s="535"/>
    </row>
    <row r="183">
      <c r="A183" s="552"/>
      <c r="B183" s="552"/>
      <c r="C183" t="str">
        <f>Filtered!I175</f>
        <v/>
      </c>
      <c r="D183" t="str">
        <f>Filtered!J175</f>
        <v/>
      </c>
      <c r="E183" t="str">
        <f>Filtered!L175</f>
        <v/>
      </c>
      <c r="N183" s="535"/>
      <c r="O183" s="558"/>
      <c r="R183" s="535"/>
      <c r="S183" s="558"/>
      <c r="V183" s="535"/>
      <c r="W183" s="558"/>
      <c r="Z183" s="535"/>
      <c r="AA183" s="558"/>
      <c r="AD183" s="535"/>
      <c r="AE183" s="558"/>
      <c r="AH183" s="535"/>
      <c r="AI183" s="558"/>
      <c r="AL183" s="535"/>
      <c r="AP183" s="535"/>
    </row>
    <row r="184">
      <c r="A184" s="552"/>
      <c r="B184" s="552"/>
      <c r="C184" t="str">
        <f>Filtered!I176</f>
        <v/>
      </c>
      <c r="D184" t="str">
        <f>Filtered!J176</f>
        <v/>
      </c>
      <c r="E184" t="str">
        <f>Filtered!L176</f>
        <v/>
      </c>
      <c r="N184" s="535"/>
      <c r="O184" s="558"/>
      <c r="R184" s="535"/>
      <c r="S184" s="558"/>
      <c r="V184" s="535"/>
      <c r="W184" s="558"/>
      <c r="Z184" s="535"/>
      <c r="AA184" s="558"/>
      <c r="AD184" s="535"/>
      <c r="AE184" s="558"/>
      <c r="AH184" s="535"/>
      <c r="AI184" s="558"/>
      <c r="AL184" s="535"/>
      <c r="AP184" s="535"/>
    </row>
    <row r="185">
      <c r="A185" s="552"/>
      <c r="B185" s="552"/>
      <c r="C185" t="str">
        <f>Filtered!I177</f>
        <v/>
      </c>
      <c r="D185" t="str">
        <f>Filtered!J177</f>
        <v/>
      </c>
      <c r="E185" t="str">
        <f>Filtered!L177</f>
        <v/>
      </c>
      <c r="N185" s="535"/>
      <c r="O185" s="558"/>
      <c r="R185" s="535"/>
      <c r="S185" s="558"/>
      <c r="V185" s="535"/>
      <c r="W185" s="558"/>
      <c r="Z185" s="535"/>
      <c r="AA185" s="558"/>
      <c r="AD185" s="535"/>
      <c r="AE185" s="558"/>
      <c r="AH185" s="535"/>
      <c r="AI185" s="558"/>
      <c r="AL185" s="535"/>
      <c r="AP185" s="535"/>
    </row>
    <row r="186">
      <c r="A186" s="552"/>
      <c r="B186" s="552"/>
      <c r="C186" t="str">
        <f>Filtered!I178</f>
        <v/>
      </c>
      <c r="D186" t="str">
        <f>Filtered!J178</f>
        <v/>
      </c>
      <c r="E186" t="str">
        <f>Filtered!L178</f>
        <v/>
      </c>
      <c r="N186" s="535"/>
      <c r="O186" s="558"/>
      <c r="R186" s="535"/>
      <c r="S186" s="558"/>
      <c r="V186" s="535"/>
      <c r="W186" s="558"/>
      <c r="Z186" s="535"/>
      <c r="AA186" s="558"/>
      <c r="AD186" s="535"/>
      <c r="AE186" s="558"/>
      <c r="AH186" s="535"/>
      <c r="AI186" s="558"/>
      <c r="AL186" s="535"/>
      <c r="AP186" s="535"/>
    </row>
    <row r="187">
      <c r="A187" s="552"/>
      <c r="B187" s="552"/>
      <c r="C187" t="str">
        <f>Filtered!I179</f>
        <v/>
      </c>
      <c r="D187" t="str">
        <f>Filtered!J179</f>
        <v/>
      </c>
      <c r="E187" t="str">
        <f>Filtered!L179</f>
        <v/>
      </c>
      <c r="N187" s="535"/>
      <c r="O187" s="558"/>
      <c r="R187" s="535"/>
      <c r="S187" s="558"/>
      <c r="V187" s="535"/>
      <c r="W187" s="558"/>
      <c r="Z187" s="535"/>
      <c r="AA187" s="558"/>
      <c r="AD187" s="535"/>
      <c r="AE187" s="558"/>
      <c r="AH187" s="535"/>
      <c r="AI187" s="558"/>
      <c r="AL187" s="535"/>
      <c r="AP187" s="535"/>
    </row>
    <row r="188">
      <c r="A188" s="552"/>
      <c r="B188" s="552"/>
      <c r="C188" t="str">
        <f>Filtered!I180</f>
        <v/>
      </c>
      <c r="D188" t="str">
        <f>Filtered!J180</f>
        <v/>
      </c>
      <c r="E188" t="str">
        <f>Filtered!L180</f>
        <v/>
      </c>
      <c r="N188" s="535"/>
      <c r="O188" s="558"/>
      <c r="R188" s="535"/>
      <c r="S188" s="558"/>
      <c r="V188" s="535"/>
      <c r="W188" s="558"/>
      <c r="Z188" s="535"/>
      <c r="AA188" s="558"/>
      <c r="AD188" s="535"/>
      <c r="AE188" s="558"/>
      <c r="AH188" s="535"/>
      <c r="AI188" s="558"/>
      <c r="AL188" s="535"/>
      <c r="AP188" s="535"/>
    </row>
    <row r="189">
      <c r="A189" s="552"/>
      <c r="B189" s="552"/>
      <c r="C189" t="str">
        <f>Filtered!I181</f>
        <v/>
      </c>
      <c r="D189" t="str">
        <f>Filtered!J181</f>
        <v/>
      </c>
      <c r="E189" t="str">
        <f>Filtered!L181</f>
        <v/>
      </c>
      <c r="N189" s="535"/>
      <c r="O189" s="558"/>
      <c r="R189" s="535"/>
      <c r="S189" s="558"/>
      <c r="V189" s="535"/>
      <c r="W189" s="558"/>
      <c r="Z189" s="535"/>
      <c r="AA189" s="558"/>
      <c r="AD189" s="535"/>
      <c r="AE189" s="558"/>
      <c r="AH189" s="535"/>
      <c r="AI189" s="558"/>
      <c r="AL189" s="535"/>
      <c r="AP189" s="535"/>
    </row>
    <row r="190">
      <c r="A190" s="552"/>
      <c r="B190" s="552"/>
      <c r="C190" t="str">
        <f>Filtered!I182</f>
        <v/>
      </c>
      <c r="D190" t="str">
        <f>Filtered!J182</f>
        <v/>
      </c>
      <c r="E190" t="str">
        <f>Filtered!L182</f>
        <v/>
      </c>
      <c r="N190" s="535"/>
      <c r="O190" s="558"/>
      <c r="R190" s="535"/>
      <c r="S190" s="558"/>
      <c r="V190" s="535"/>
      <c r="W190" s="558"/>
      <c r="Z190" s="535"/>
      <c r="AA190" s="558"/>
      <c r="AD190" s="535"/>
      <c r="AE190" s="558"/>
      <c r="AH190" s="535"/>
      <c r="AI190" s="558"/>
      <c r="AL190" s="535"/>
      <c r="AP190" s="535"/>
    </row>
    <row r="191">
      <c r="A191" s="552"/>
      <c r="B191" s="552"/>
      <c r="C191" t="str">
        <f>Filtered!I183</f>
        <v/>
      </c>
      <c r="D191" t="str">
        <f>Filtered!J183</f>
        <v/>
      </c>
      <c r="E191" t="str">
        <f>Filtered!L183</f>
        <v/>
      </c>
      <c r="N191" s="535"/>
      <c r="O191" s="558"/>
      <c r="R191" s="535"/>
      <c r="S191" s="558"/>
      <c r="V191" s="535"/>
      <c r="W191" s="558"/>
      <c r="Z191" s="535"/>
      <c r="AA191" s="558"/>
      <c r="AD191" s="535"/>
      <c r="AE191" s="558"/>
      <c r="AH191" s="535"/>
      <c r="AI191" s="558"/>
      <c r="AL191" s="535"/>
      <c r="AP191" s="535"/>
    </row>
    <row r="192">
      <c r="A192" s="552"/>
      <c r="B192" s="552"/>
      <c r="C192" t="str">
        <f>Filtered!I184</f>
        <v/>
      </c>
      <c r="D192" t="str">
        <f>Filtered!J184</f>
        <v/>
      </c>
      <c r="E192" t="str">
        <f>Filtered!L184</f>
        <v/>
      </c>
      <c r="N192" s="535"/>
      <c r="O192" s="558"/>
      <c r="R192" s="535"/>
      <c r="S192" s="558"/>
      <c r="V192" s="535"/>
      <c r="W192" s="558"/>
      <c r="Z192" s="535"/>
      <c r="AA192" s="558"/>
      <c r="AD192" s="535"/>
      <c r="AE192" s="558"/>
      <c r="AH192" s="535"/>
      <c r="AI192" s="558"/>
      <c r="AL192" s="535"/>
      <c r="AP192" s="535"/>
    </row>
    <row r="193">
      <c r="A193" s="552"/>
      <c r="B193" s="552"/>
      <c r="C193" t="str">
        <f>Filtered!I185</f>
        <v/>
      </c>
      <c r="D193" t="str">
        <f>Filtered!J185</f>
        <v/>
      </c>
      <c r="E193" t="str">
        <f>Filtered!L185</f>
        <v/>
      </c>
      <c r="N193" s="535"/>
      <c r="O193" s="558"/>
      <c r="R193" s="535"/>
      <c r="S193" s="558"/>
      <c r="V193" s="535"/>
      <c r="W193" s="558"/>
      <c r="Z193" s="535"/>
      <c r="AA193" s="558"/>
      <c r="AD193" s="535"/>
      <c r="AE193" s="558"/>
      <c r="AH193" s="535"/>
      <c r="AI193" s="558"/>
      <c r="AL193" s="535"/>
      <c r="AP193" s="535"/>
    </row>
    <row r="194">
      <c r="A194" s="552"/>
      <c r="B194" s="552"/>
      <c r="C194" t="str">
        <f>Filtered!I186</f>
        <v/>
      </c>
      <c r="D194" t="str">
        <f>Filtered!J186</f>
        <v/>
      </c>
      <c r="E194" t="str">
        <f>Filtered!L186</f>
        <v/>
      </c>
      <c r="N194" s="535"/>
      <c r="O194" s="558"/>
      <c r="R194" s="535"/>
      <c r="S194" s="558"/>
      <c r="V194" s="535"/>
      <c r="W194" s="558"/>
      <c r="Z194" s="535"/>
      <c r="AA194" s="558"/>
      <c r="AD194" s="535"/>
      <c r="AE194" s="558"/>
      <c r="AH194" s="535"/>
      <c r="AI194" s="558"/>
      <c r="AL194" s="535"/>
      <c r="AP194" s="535"/>
    </row>
    <row r="195">
      <c r="A195" s="552"/>
      <c r="B195" s="552"/>
      <c r="N195" s="535"/>
      <c r="O195" s="558"/>
      <c r="R195" s="535"/>
      <c r="S195" s="558"/>
      <c r="V195" s="535"/>
      <c r="W195" s="558"/>
      <c r="Z195" s="535"/>
      <c r="AA195" s="558"/>
      <c r="AD195" s="535"/>
      <c r="AE195" s="558"/>
      <c r="AH195" s="535"/>
      <c r="AI195" s="558"/>
      <c r="AL195" s="535"/>
      <c r="AP195" s="535"/>
    </row>
    <row r="196">
      <c r="A196" s="552"/>
      <c r="B196" s="552"/>
      <c r="N196" s="535"/>
      <c r="O196" s="558"/>
      <c r="R196" s="535"/>
      <c r="S196" s="558"/>
      <c r="V196" s="535"/>
      <c r="W196" s="558"/>
      <c r="Z196" s="535"/>
      <c r="AA196" s="558"/>
      <c r="AD196" s="535"/>
      <c r="AE196" s="558"/>
      <c r="AH196" s="535"/>
      <c r="AI196" s="558"/>
      <c r="AL196" s="535"/>
      <c r="AP196" s="535"/>
    </row>
    <row r="197">
      <c r="A197" s="552"/>
      <c r="B197" s="552"/>
      <c r="N197" s="535"/>
      <c r="O197" s="558"/>
      <c r="R197" s="535"/>
      <c r="S197" s="558"/>
      <c r="V197" s="535"/>
      <c r="W197" s="558"/>
      <c r="Z197" s="535"/>
      <c r="AA197" s="558"/>
      <c r="AD197" s="535"/>
      <c r="AE197" s="558"/>
      <c r="AH197" s="535"/>
      <c r="AI197" s="558"/>
      <c r="AL197" s="535"/>
      <c r="AP197" s="535"/>
    </row>
    <row r="198">
      <c r="A198" s="552"/>
      <c r="B198" s="552"/>
      <c r="N198" s="535"/>
      <c r="O198" s="558"/>
      <c r="R198" s="535"/>
      <c r="S198" s="558"/>
      <c r="V198" s="535"/>
      <c r="W198" s="558"/>
      <c r="Z198" s="535"/>
      <c r="AA198" s="558"/>
      <c r="AD198" s="535"/>
      <c r="AE198" s="558"/>
      <c r="AH198" s="535"/>
      <c r="AI198" s="558"/>
      <c r="AL198" s="535"/>
      <c r="AP198" s="535"/>
    </row>
    <row r="199">
      <c r="A199" s="552"/>
      <c r="B199" s="552"/>
      <c r="N199" s="535"/>
      <c r="O199" s="558"/>
      <c r="R199" s="535"/>
      <c r="S199" s="558"/>
      <c r="V199" s="535"/>
      <c r="W199" s="558"/>
      <c r="Z199" s="535"/>
      <c r="AA199" s="558"/>
      <c r="AD199" s="535"/>
      <c r="AE199" s="558"/>
      <c r="AH199" s="535"/>
      <c r="AI199" s="558"/>
      <c r="AL199" s="535"/>
      <c r="AP199" s="535"/>
    </row>
    <row r="200">
      <c r="A200" s="552"/>
      <c r="B200" s="552"/>
      <c r="N200" s="535"/>
      <c r="O200" s="558"/>
      <c r="R200" s="535"/>
      <c r="S200" s="558"/>
      <c r="V200" s="535"/>
      <c r="W200" s="558"/>
      <c r="Z200" s="535"/>
      <c r="AA200" s="558"/>
      <c r="AD200" s="535"/>
      <c r="AE200" s="558"/>
      <c r="AH200" s="535"/>
      <c r="AI200" s="558"/>
      <c r="AL200" s="535"/>
      <c r="AP200" s="535"/>
    </row>
    <row r="201">
      <c r="A201" s="552"/>
      <c r="B201" s="552"/>
      <c r="N201" s="535"/>
      <c r="O201" s="558"/>
      <c r="R201" s="535"/>
      <c r="S201" s="558"/>
      <c r="V201" s="535"/>
      <c r="W201" s="558"/>
      <c r="Z201" s="535"/>
      <c r="AA201" s="558"/>
      <c r="AD201" s="535"/>
      <c r="AE201" s="558"/>
      <c r="AH201" s="535"/>
      <c r="AI201" s="558"/>
      <c r="AL201" s="535"/>
      <c r="AP201" s="535"/>
    </row>
    <row r="202">
      <c r="A202" s="552"/>
      <c r="B202" s="552"/>
      <c r="N202" s="535"/>
      <c r="O202" s="558"/>
      <c r="R202" s="535"/>
      <c r="S202" s="558"/>
      <c r="V202" s="535"/>
      <c r="W202" s="558"/>
      <c r="Z202" s="535"/>
      <c r="AA202" s="558"/>
      <c r="AD202" s="535"/>
      <c r="AE202" s="558"/>
      <c r="AH202" s="535"/>
      <c r="AI202" s="558"/>
      <c r="AL202" s="535"/>
      <c r="AP202" s="535"/>
    </row>
    <row r="203">
      <c r="A203" s="552"/>
      <c r="B203" s="552"/>
      <c r="N203" s="535"/>
      <c r="O203" s="558"/>
      <c r="R203" s="535"/>
      <c r="S203" s="558"/>
      <c r="V203" s="535"/>
      <c r="W203" s="558"/>
      <c r="Z203" s="535"/>
      <c r="AA203" s="558"/>
      <c r="AD203" s="535"/>
      <c r="AE203" s="558"/>
      <c r="AH203" s="535"/>
      <c r="AI203" s="558"/>
      <c r="AL203" s="535"/>
      <c r="AP203" s="535"/>
    </row>
    <row r="204">
      <c r="A204" s="552"/>
      <c r="B204" s="552"/>
      <c r="N204" s="535"/>
      <c r="O204" s="558"/>
      <c r="R204" s="535"/>
      <c r="S204" s="558"/>
      <c r="V204" s="535"/>
      <c r="W204" s="558"/>
      <c r="Z204" s="535"/>
      <c r="AA204" s="558"/>
      <c r="AD204" s="535"/>
      <c r="AE204" s="558"/>
      <c r="AH204" s="535"/>
      <c r="AI204" s="558"/>
      <c r="AL204" s="535"/>
      <c r="AP204" s="535"/>
    </row>
    <row r="205">
      <c r="A205" s="552"/>
      <c r="B205" s="552"/>
      <c r="N205" s="535"/>
      <c r="O205" s="558"/>
      <c r="R205" s="535"/>
      <c r="S205" s="558"/>
      <c r="V205" s="535"/>
      <c r="W205" s="558"/>
      <c r="Z205" s="535"/>
      <c r="AA205" s="558"/>
      <c r="AD205" s="535"/>
      <c r="AE205" s="558"/>
      <c r="AH205" s="535"/>
      <c r="AI205" s="558"/>
      <c r="AL205" s="535"/>
      <c r="AP205" s="535"/>
    </row>
    <row r="206">
      <c r="A206" s="552"/>
      <c r="B206" s="552"/>
      <c r="N206" s="535"/>
      <c r="O206" s="558"/>
      <c r="R206" s="535"/>
      <c r="S206" s="558"/>
      <c r="V206" s="535"/>
      <c r="W206" s="558"/>
      <c r="Z206" s="535"/>
      <c r="AA206" s="558"/>
      <c r="AD206" s="535"/>
      <c r="AE206" s="558"/>
      <c r="AH206" s="535"/>
      <c r="AI206" s="558"/>
      <c r="AL206" s="535"/>
      <c r="AP206" s="535"/>
    </row>
    <row r="207">
      <c r="A207" s="552"/>
      <c r="B207" s="552"/>
      <c r="N207" s="535"/>
      <c r="O207" s="558"/>
      <c r="R207" s="535"/>
      <c r="S207" s="558"/>
      <c r="V207" s="535"/>
      <c r="W207" s="558"/>
      <c r="Z207" s="535"/>
      <c r="AA207" s="558"/>
      <c r="AD207" s="535"/>
      <c r="AE207" s="558"/>
      <c r="AH207" s="535"/>
      <c r="AI207" s="558"/>
      <c r="AL207" s="535"/>
      <c r="AP207" s="535"/>
    </row>
    <row r="208">
      <c r="A208" s="552"/>
      <c r="B208" s="552"/>
      <c r="N208" s="535"/>
      <c r="O208" s="558"/>
      <c r="R208" s="535"/>
      <c r="S208" s="558"/>
      <c r="V208" s="535"/>
      <c r="W208" s="558"/>
      <c r="Z208" s="535"/>
      <c r="AA208" s="558"/>
      <c r="AD208" s="535"/>
      <c r="AE208" s="558"/>
      <c r="AH208" s="535"/>
      <c r="AI208" s="558"/>
      <c r="AL208" s="535"/>
      <c r="AP208" s="535"/>
    </row>
    <row r="209">
      <c r="A209" s="552"/>
      <c r="B209" s="552"/>
      <c r="N209" s="535"/>
      <c r="O209" s="558"/>
      <c r="R209" s="535"/>
      <c r="S209" s="558"/>
      <c r="V209" s="535"/>
      <c r="W209" s="558"/>
      <c r="Z209" s="535"/>
      <c r="AA209" s="558"/>
      <c r="AD209" s="535"/>
      <c r="AE209" s="558"/>
      <c r="AH209" s="535"/>
      <c r="AI209" s="558"/>
      <c r="AL209" s="535"/>
      <c r="AP209" s="535"/>
    </row>
    <row r="210">
      <c r="A210" s="552"/>
      <c r="B210" s="552"/>
      <c r="N210" s="535"/>
      <c r="O210" s="558"/>
      <c r="R210" s="535"/>
      <c r="S210" s="558"/>
      <c r="V210" s="535"/>
      <c r="W210" s="558"/>
      <c r="Z210" s="535"/>
      <c r="AA210" s="558"/>
      <c r="AD210" s="535"/>
      <c r="AE210" s="558"/>
      <c r="AH210" s="535"/>
      <c r="AI210" s="558"/>
      <c r="AL210" s="535"/>
      <c r="AP210" s="535"/>
    </row>
    <row r="211">
      <c r="A211" s="552"/>
      <c r="B211" s="552"/>
      <c r="N211" s="535"/>
      <c r="O211" s="558"/>
      <c r="R211" s="535"/>
      <c r="S211" s="558"/>
      <c r="V211" s="535"/>
      <c r="W211" s="558"/>
      <c r="Z211" s="535"/>
      <c r="AA211" s="558"/>
      <c r="AD211" s="535"/>
      <c r="AE211" s="558"/>
      <c r="AH211" s="535"/>
      <c r="AI211" s="558"/>
      <c r="AL211" s="535"/>
      <c r="AP211" s="535"/>
    </row>
    <row r="212">
      <c r="A212" s="552"/>
      <c r="B212" s="552"/>
      <c r="N212" s="535"/>
      <c r="O212" s="558"/>
      <c r="R212" s="535"/>
      <c r="S212" s="558"/>
      <c r="V212" s="535"/>
      <c r="W212" s="558"/>
      <c r="Z212" s="535"/>
      <c r="AA212" s="558"/>
      <c r="AD212" s="535"/>
      <c r="AE212" s="558"/>
      <c r="AH212" s="535"/>
      <c r="AI212" s="558"/>
      <c r="AL212" s="535"/>
      <c r="AP212" s="535"/>
    </row>
    <row r="213">
      <c r="A213" s="552"/>
      <c r="B213" s="552"/>
      <c r="N213" s="535"/>
      <c r="O213" s="558"/>
      <c r="R213" s="535"/>
      <c r="S213" s="558"/>
      <c r="V213" s="535"/>
      <c r="W213" s="558"/>
      <c r="Z213" s="535"/>
      <c r="AA213" s="558"/>
      <c r="AD213" s="535"/>
      <c r="AE213" s="558"/>
      <c r="AH213" s="535"/>
      <c r="AI213" s="558"/>
      <c r="AL213" s="535"/>
      <c r="AP213" s="535"/>
    </row>
    <row r="214">
      <c r="A214" s="552"/>
      <c r="B214" s="552"/>
      <c r="N214" s="535"/>
      <c r="O214" s="558"/>
      <c r="R214" s="535"/>
      <c r="S214" s="558"/>
      <c r="V214" s="535"/>
      <c r="W214" s="558"/>
      <c r="Z214" s="535"/>
      <c r="AA214" s="558"/>
      <c r="AD214" s="535"/>
      <c r="AE214" s="558"/>
      <c r="AH214" s="535"/>
      <c r="AI214" s="558"/>
      <c r="AL214" s="535"/>
      <c r="AP214" s="535"/>
    </row>
    <row r="215">
      <c r="A215" s="552"/>
      <c r="B215" s="552"/>
      <c r="N215" s="535"/>
      <c r="O215" s="558"/>
      <c r="R215" s="535"/>
      <c r="S215" s="558"/>
      <c r="V215" s="535"/>
      <c r="W215" s="558"/>
      <c r="Z215" s="535"/>
      <c r="AA215" s="558"/>
      <c r="AD215" s="535"/>
      <c r="AE215" s="558"/>
      <c r="AH215" s="535"/>
      <c r="AI215" s="558"/>
      <c r="AL215" s="535"/>
      <c r="AP215" s="535"/>
    </row>
    <row r="216">
      <c r="A216" s="552"/>
      <c r="B216" s="552"/>
      <c r="N216" s="535"/>
      <c r="O216" s="558"/>
      <c r="R216" s="535"/>
      <c r="S216" s="558"/>
      <c r="V216" s="535"/>
      <c r="W216" s="558"/>
      <c r="Z216" s="535"/>
      <c r="AA216" s="558"/>
      <c r="AD216" s="535"/>
      <c r="AE216" s="558"/>
      <c r="AH216" s="535"/>
      <c r="AI216" s="558"/>
      <c r="AL216" s="535"/>
      <c r="AP216" s="535"/>
    </row>
    <row r="217">
      <c r="A217" s="552"/>
      <c r="B217" s="552"/>
      <c r="N217" s="535"/>
      <c r="O217" s="558"/>
      <c r="R217" s="535"/>
      <c r="S217" s="558"/>
      <c r="V217" s="535"/>
      <c r="W217" s="558"/>
      <c r="Z217" s="535"/>
      <c r="AA217" s="558"/>
      <c r="AD217" s="535"/>
      <c r="AE217" s="558"/>
      <c r="AH217" s="535"/>
      <c r="AI217" s="558"/>
      <c r="AL217" s="535"/>
      <c r="AP217" s="535"/>
    </row>
    <row r="218">
      <c r="A218" s="552"/>
      <c r="B218" s="552"/>
      <c r="N218" s="535"/>
      <c r="O218" s="558"/>
      <c r="R218" s="535"/>
      <c r="S218" s="558"/>
      <c r="V218" s="535"/>
      <c r="W218" s="558"/>
      <c r="Z218" s="535"/>
      <c r="AA218" s="558"/>
      <c r="AD218" s="535"/>
      <c r="AE218" s="558"/>
      <c r="AH218" s="535"/>
      <c r="AI218" s="558"/>
      <c r="AL218" s="535"/>
      <c r="AP218" s="535"/>
    </row>
    <row r="219">
      <c r="A219" s="552"/>
      <c r="B219" s="552"/>
      <c r="N219" s="535"/>
      <c r="O219" s="558"/>
      <c r="R219" s="535"/>
      <c r="S219" s="558"/>
      <c r="V219" s="535"/>
      <c r="W219" s="558"/>
      <c r="Z219" s="535"/>
      <c r="AA219" s="558"/>
      <c r="AD219" s="535"/>
      <c r="AE219" s="558"/>
      <c r="AH219" s="535"/>
      <c r="AI219" s="558"/>
      <c r="AL219" s="535"/>
      <c r="AP219" s="535"/>
    </row>
    <row r="220">
      <c r="A220" s="552"/>
      <c r="B220" s="552"/>
      <c r="N220" s="535"/>
      <c r="O220" s="558"/>
      <c r="R220" s="535"/>
      <c r="S220" s="558"/>
      <c r="V220" s="535"/>
      <c r="W220" s="558"/>
      <c r="Z220" s="535"/>
      <c r="AA220" s="558"/>
      <c r="AD220" s="535"/>
      <c r="AE220" s="558"/>
      <c r="AH220" s="535"/>
      <c r="AI220" s="558"/>
      <c r="AL220" s="535"/>
      <c r="AP220" s="535"/>
    </row>
    <row r="221">
      <c r="A221" s="552"/>
      <c r="B221" s="552"/>
      <c r="N221" s="535"/>
      <c r="O221" s="558"/>
      <c r="R221" s="535"/>
      <c r="S221" s="558"/>
      <c r="V221" s="535"/>
      <c r="W221" s="558"/>
      <c r="Z221" s="535"/>
      <c r="AA221" s="558"/>
      <c r="AD221" s="535"/>
      <c r="AE221" s="558"/>
      <c r="AH221" s="535"/>
      <c r="AI221" s="558"/>
      <c r="AL221" s="535"/>
      <c r="AP221" s="535"/>
    </row>
    <row r="222">
      <c r="A222" s="552"/>
      <c r="B222" s="552"/>
      <c r="N222" s="535"/>
      <c r="O222" s="558"/>
      <c r="R222" s="535"/>
      <c r="S222" s="558"/>
      <c r="V222" s="535"/>
      <c r="W222" s="558"/>
      <c r="Z222" s="535"/>
      <c r="AA222" s="558"/>
      <c r="AD222" s="535"/>
      <c r="AE222" s="558"/>
      <c r="AH222" s="535"/>
      <c r="AI222" s="558"/>
      <c r="AL222" s="535"/>
      <c r="AP222" s="535"/>
    </row>
    <row r="223">
      <c r="A223" s="552"/>
      <c r="B223" s="552"/>
      <c r="N223" s="535"/>
      <c r="O223" s="558"/>
      <c r="R223" s="535"/>
      <c r="S223" s="558"/>
      <c r="V223" s="535"/>
      <c r="W223" s="558"/>
      <c r="Z223" s="535"/>
      <c r="AA223" s="558"/>
      <c r="AD223" s="535"/>
      <c r="AE223" s="558"/>
      <c r="AH223" s="535"/>
      <c r="AI223" s="558"/>
      <c r="AL223" s="535"/>
      <c r="AP223" s="535"/>
    </row>
    <row r="224">
      <c r="A224" s="552"/>
      <c r="B224" s="552"/>
      <c r="N224" s="535"/>
      <c r="O224" s="558"/>
      <c r="R224" s="535"/>
      <c r="S224" s="558"/>
      <c r="V224" s="535"/>
      <c r="W224" s="558"/>
      <c r="Z224" s="535"/>
      <c r="AA224" s="558"/>
      <c r="AD224" s="535"/>
      <c r="AE224" s="558"/>
      <c r="AH224" s="535"/>
      <c r="AI224" s="558"/>
      <c r="AL224" s="535"/>
      <c r="AP224" s="535"/>
    </row>
    <row r="225">
      <c r="A225" s="552"/>
      <c r="B225" s="552"/>
      <c r="N225" s="535"/>
      <c r="O225" s="558"/>
      <c r="R225" s="535"/>
      <c r="S225" s="558"/>
      <c r="V225" s="535"/>
      <c r="W225" s="558"/>
      <c r="Z225" s="535"/>
      <c r="AA225" s="558"/>
      <c r="AD225" s="535"/>
      <c r="AE225" s="558"/>
      <c r="AH225" s="535"/>
      <c r="AI225" s="558"/>
      <c r="AL225" s="535"/>
      <c r="AP225" s="535"/>
    </row>
    <row r="226">
      <c r="A226" s="552"/>
      <c r="B226" s="552"/>
      <c r="N226" s="535"/>
      <c r="O226" s="558"/>
      <c r="R226" s="535"/>
      <c r="S226" s="558"/>
      <c r="V226" s="535"/>
      <c r="W226" s="558"/>
      <c r="Z226" s="535"/>
      <c r="AA226" s="558"/>
      <c r="AD226" s="535"/>
      <c r="AE226" s="558"/>
      <c r="AH226" s="535"/>
      <c r="AI226" s="558"/>
      <c r="AL226" s="535"/>
      <c r="AP226" s="535"/>
    </row>
    <row r="227">
      <c r="A227" s="552"/>
      <c r="B227" s="552"/>
      <c r="N227" s="535"/>
      <c r="O227" s="558"/>
      <c r="R227" s="535"/>
      <c r="S227" s="558"/>
      <c r="V227" s="535"/>
      <c r="W227" s="558"/>
      <c r="Z227" s="535"/>
      <c r="AA227" s="558"/>
      <c r="AD227" s="535"/>
      <c r="AE227" s="558"/>
      <c r="AH227" s="535"/>
      <c r="AI227" s="558"/>
      <c r="AL227" s="535"/>
      <c r="AP227" s="535"/>
    </row>
    <row r="228">
      <c r="A228" s="552"/>
      <c r="B228" s="552"/>
      <c r="N228" s="535"/>
      <c r="O228" s="558"/>
      <c r="R228" s="535"/>
      <c r="S228" s="558"/>
      <c r="V228" s="535"/>
      <c r="W228" s="558"/>
      <c r="Z228" s="535"/>
      <c r="AA228" s="558"/>
      <c r="AD228" s="535"/>
      <c r="AE228" s="558"/>
      <c r="AH228" s="535"/>
      <c r="AI228" s="558"/>
      <c r="AL228" s="535"/>
      <c r="AP228" s="535"/>
    </row>
    <row r="229">
      <c r="A229" s="552"/>
      <c r="B229" s="552"/>
      <c r="N229" s="535"/>
      <c r="O229" s="558"/>
      <c r="R229" s="535"/>
      <c r="S229" s="558"/>
      <c r="V229" s="535"/>
      <c r="W229" s="558"/>
      <c r="Z229" s="535"/>
      <c r="AA229" s="558"/>
      <c r="AD229" s="535"/>
      <c r="AE229" s="558"/>
      <c r="AH229" s="535"/>
      <c r="AI229" s="558"/>
      <c r="AL229" s="535"/>
      <c r="AP229" s="535"/>
    </row>
    <row r="230">
      <c r="A230" s="552"/>
      <c r="B230" s="552"/>
      <c r="N230" s="535"/>
      <c r="O230" s="558"/>
      <c r="R230" s="535"/>
      <c r="S230" s="558"/>
      <c r="V230" s="535"/>
      <c r="W230" s="558"/>
      <c r="Z230" s="535"/>
      <c r="AA230" s="558"/>
      <c r="AD230" s="535"/>
      <c r="AE230" s="558"/>
      <c r="AH230" s="535"/>
      <c r="AI230" s="558"/>
      <c r="AL230" s="535"/>
      <c r="AP230" s="535"/>
    </row>
    <row r="231">
      <c r="A231" s="552"/>
      <c r="B231" s="552"/>
      <c r="N231" s="535"/>
      <c r="O231" s="558"/>
      <c r="R231" s="535"/>
      <c r="S231" s="558"/>
      <c r="V231" s="535"/>
      <c r="W231" s="558"/>
      <c r="Z231" s="535"/>
      <c r="AA231" s="558"/>
      <c r="AD231" s="535"/>
      <c r="AE231" s="558"/>
      <c r="AH231" s="535"/>
      <c r="AI231" s="558"/>
      <c r="AL231" s="535"/>
      <c r="AP231" s="535"/>
    </row>
    <row r="232">
      <c r="A232" s="552"/>
      <c r="B232" s="552"/>
      <c r="N232" s="535"/>
      <c r="O232" s="558"/>
      <c r="R232" s="535"/>
      <c r="S232" s="558"/>
      <c r="V232" s="535"/>
      <c r="W232" s="558"/>
      <c r="Z232" s="535"/>
      <c r="AA232" s="558"/>
      <c r="AD232" s="535"/>
      <c r="AE232" s="558"/>
      <c r="AH232" s="535"/>
      <c r="AI232" s="558"/>
      <c r="AL232" s="535"/>
      <c r="AP232" s="535"/>
    </row>
    <row r="233">
      <c r="A233" s="552"/>
      <c r="B233" s="552"/>
      <c r="N233" s="535"/>
      <c r="O233" s="558"/>
      <c r="R233" s="535"/>
      <c r="S233" s="558"/>
      <c r="V233" s="535"/>
      <c r="W233" s="558"/>
      <c r="Z233" s="535"/>
      <c r="AA233" s="558"/>
      <c r="AD233" s="535"/>
      <c r="AE233" s="558"/>
      <c r="AH233" s="535"/>
      <c r="AI233" s="558"/>
      <c r="AL233" s="535"/>
      <c r="AP233" s="535"/>
    </row>
    <row r="234">
      <c r="A234" s="552"/>
      <c r="B234" s="552"/>
      <c r="N234" s="535"/>
      <c r="O234" s="558"/>
      <c r="R234" s="535"/>
      <c r="S234" s="558"/>
      <c r="V234" s="535"/>
      <c r="W234" s="558"/>
      <c r="Z234" s="535"/>
      <c r="AA234" s="558"/>
      <c r="AD234" s="535"/>
      <c r="AE234" s="558"/>
      <c r="AH234" s="535"/>
      <c r="AI234" s="558"/>
      <c r="AL234" s="535"/>
      <c r="AP234" s="535"/>
    </row>
    <row r="235">
      <c r="A235" s="552"/>
      <c r="B235" s="552"/>
      <c r="N235" s="535"/>
      <c r="O235" s="558"/>
      <c r="R235" s="535"/>
      <c r="S235" s="558"/>
      <c r="V235" s="535"/>
      <c r="W235" s="558"/>
      <c r="Z235" s="535"/>
      <c r="AA235" s="558"/>
      <c r="AD235" s="535"/>
      <c r="AE235" s="558"/>
      <c r="AH235" s="535"/>
      <c r="AI235" s="558"/>
      <c r="AL235" s="535"/>
      <c r="AP235" s="535"/>
    </row>
    <row r="236">
      <c r="A236" s="552"/>
      <c r="B236" s="552"/>
      <c r="N236" s="535"/>
      <c r="O236" s="558"/>
      <c r="R236" s="535"/>
      <c r="S236" s="558"/>
      <c r="V236" s="535"/>
      <c r="W236" s="558"/>
      <c r="Z236" s="535"/>
      <c r="AA236" s="558"/>
      <c r="AD236" s="535"/>
      <c r="AE236" s="558"/>
      <c r="AH236" s="535"/>
      <c r="AI236" s="558"/>
      <c r="AL236" s="535"/>
      <c r="AP236" s="535"/>
    </row>
    <row r="237">
      <c r="A237" s="552"/>
      <c r="B237" s="552"/>
      <c r="N237" s="535"/>
      <c r="O237" s="558"/>
      <c r="R237" s="535"/>
      <c r="S237" s="558"/>
      <c r="V237" s="535"/>
      <c r="W237" s="558"/>
      <c r="Z237" s="535"/>
      <c r="AA237" s="558"/>
      <c r="AD237" s="535"/>
      <c r="AE237" s="558"/>
      <c r="AH237" s="535"/>
      <c r="AI237" s="558"/>
      <c r="AL237" s="535"/>
      <c r="AP237" s="535"/>
    </row>
    <row r="238">
      <c r="A238" s="552"/>
      <c r="B238" s="552"/>
      <c r="N238" s="535"/>
      <c r="O238" s="558"/>
      <c r="R238" s="535"/>
      <c r="S238" s="558"/>
      <c r="V238" s="535"/>
      <c r="W238" s="558"/>
      <c r="Z238" s="535"/>
      <c r="AA238" s="558"/>
      <c r="AD238" s="535"/>
      <c r="AE238" s="558"/>
      <c r="AH238" s="535"/>
      <c r="AI238" s="558"/>
      <c r="AL238" s="535"/>
      <c r="AP238" s="535"/>
    </row>
    <row r="239">
      <c r="A239" s="552"/>
      <c r="B239" s="552"/>
      <c r="N239" s="535"/>
      <c r="O239" s="558"/>
      <c r="R239" s="535"/>
      <c r="S239" s="558"/>
      <c r="V239" s="535"/>
      <c r="W239" s="558"/>
      <c r="Z239" s="535"/>
      <c r="AA239" s="558"/>
      <c r="AD239" s="535"/>
      <c r="AE239" s="558"/>
      <c r="AH239" s="535"/>
      <c r="AI239" s="558"/>
      <c r="AL239" s="535"/>
      <c r="AP239" s="535"/>
    </row>
    <row r="240">
      <c r="A240" s="552"/>
      <c r="B240" s="552"/>
      <c r="N240" s="535"/>
      <c r="O240" s="558"/>
      <c r="R240" s="535"/>
      <c r="S240" s="558"/>
      <c r="V240" s="535"/>
      <c r="W240" s="558"/>
      <c r="Z240" s="535"/>
      <c r="AA240" s="558"/>
      <c r="AD240" s="535"/>
      <c r="AE240" s="558"/>
      <c r="AH240" s="535"/>
      <c r="AI240" s="558"/>
      <c r="AL240" s="535"/>
      <c r="AP240" s="535"/>
    </row>
    <row r="241">
      <c r="A241" s="552"/>
      <c r="B241" s="552"/>
      <c r="N241" s="535"/>
      <c r="O241" s="558"/>
      <c r="R241" s="535"/>
      <c r="S241" s="558"/>
      <c r="V241" s="535"/>
      <c r="W241" s="558"/>
      <c r="Z241" s="535"/>
      <c r="AA241" s="558"/>
      <c r="AD241" s="535"/>
      <c r="AE241" s="558"/>
      <c r="AH241" s="535"/>
      <c r="AI241" s="558"/>
      <c r="AL241" s="535"/>
      <c r="AP241" s="535"/>
    </row>
    <row r="242">
      <c r="A242" s="552"/>
      <c r="B242" s="552"/>
      <c r="N242" s="535"/>
      <c r="O242" s="558"/>
      <c r="R242" s="535"/>
      <c r="S242" s="558"/>
      <c r="V242" s="535"/>
      <c r="W242" s="558"/>
      <c r="Z242" s="535"/>
      <c r="AA242" s="558"/>
      <c r="AD242" s="535"/>
      <c r="AE242" s="558"/>
      <c r="AH242" s="535"/>
      <c r="AI242" s="558"/>
      <c r="AL242" s="535"/>
      <c r="AP242" s="535"/>
    </row>
    <row r="243">
      <c r="A243" s="552"/>
      <c r="B243" s="552"/>
      <c r="N243" s="535"/>
      <c r="O243" s="558"/>
      <c r="R243" s="535"/>
      <c r="S243" s="558"/>
      <c r="V243" s="535"/>
      <c r="W243" s="558"/>
      <c r="Z243" s="535"/>
      <c r="AA243" s="558"/>
      <c r="AD243" s="535"/>
      <c r="AE243" s="558"/>
      <c r="AH243" s="535"/>
      <c r="AI243" s="558"/>
      <c r="AL243" s="535"/>
      <c r="AP243" s="535"/>
    </row>
    <row r="244">
      <c r="A244" s="552"/>
      <c r="B244" s="552"/>
      <c r="N244" s="535"/>
      <c r="O244" s="558"/>
      <c r="R244" s="535"/>
      <c r="S244" s="558"/>
      <c r="V244" s="535"/>
      <c r="W244" s="558"/>
      <c r="Z244" s="535"/>
      <c r="AA244" s="558"/>
      <c r="AD244" s="535"/>
      <c r="AE244" s="558"/>
      <c r="AH244" s="535"/>
      <c r="AI244" s="558"/>
      <c r="AL244" s="535"/>
      <c r="AP244" s="535"/>
    </row>
    <row r="245">
      <c r="A245" s="552"/>
      <c r="B245" s="552"/>
      <c r="N245" s="535"/>
      <c r="O245" s="558"/>
      <c r="R245" s="535"/>
      <c r="S245" s="558"/>
      <c r="V245" s="535"/>
      <c r="W245" s="558"/>
      <c r="Z245" s="535"/>
      <c r="AA245" s="558"/>
      <c r="AD245" s="535"/>
      <c r="AE245" s="558"/>
      <c r="AH245" s="535"/>
      <c r="AI245" s="558"/>
      <c r="AL245" s="535"/>
      <c r="AP245" s="535"/>
    </row>
    <row r="246">
      <c r="A246" s="552"/>
      <c r="B246" s="552"/>
      <c r="N246" s="535"/>
      <c r="O246" s="558"/>
      <c r="R246" s="535"/>
      <c r="S246" s="558"/>
      <c r="V246" s="535"/>
      <c r="W246" s="558"/>
      <c r="Z246" s="535"/>
      <c r="AA246" s="558"/>
      <c r="AD246" s="535"/>
      <c r="AE246" s="558"/>
      <c r="AH246" s="535"/>
      <c r="AI246" s="558"/>
      <c r="AL246" s="535"/>
      <c r="AP246" s="535"/>
    </row>
    <row r="247">
      <c r="A247" s="552"/>
      <c r="B247" s="552"/>
      <c r="N247" s="535"/>
      <c r="O247" s="558"/>
      <c r="R247" s="535"/>
      <c r="S247" s="558"/>
      <c r="V247" s="535"/>
      <c r="W247" s="558"/>
      <c r="Z247" s="535"/>
      <c r="AA247" s="558"/>
      <c r="AD247" s="535"/>
      <c r="AE247" s="558"/>
      <c r="AH247" s="535"/>
      <c r="AI247" s="558"/>
      <c r="AL247" s="535"/>
      <c r="AP247" s="535"/>
    </row>
    <row r="248">
      <c r="A248" s="552"/>
      <c r="B248" s="552"/>
      <c r="N248" s="535"/>
      <c r="O248" s="558"/>
      <c r="R248" s="535"/>
      <c r="S248" s="558"/>
      <c r="V248" s="535"/>
      <c r="W248" s="558"/>
      <c r="Z248" s="535"/>
      <c r="AA248" s="558"/>
      <c r="AD248" s="535"/>
      <c r="AE248" s="558"/>
      <c r="AH248" s="535"/>
      <c r="AI248" s="558"/>
      <c r="AL248" s="535"/>
      <c r="AP248" s="535"/>
    </row>
    <row r="249">
      <c r="A249" s="552"/>
      <c r="B249" s="552"/>
      <c r="N249" s="535"/>
      <c r="O249" s="558"/>
      <c r="R249" s="535"/>
      <c r="S249" s="558"/>
      <c r="V249" s="535"/>
      <c r="W249" s="558"/>
      <c r="Z249" s="535"/>
      <c r="AA249" s="558"/>
      <c r="AD249" s="535"/>
      <c r="AE249" s="558"/>
      <c r="AH249" s="535"/>
      <c r="AI249" s="558"/>
      <c r="AL249" s="535"/>
      <c r="AP249" s="535"/>
    </row>
    <row r="250">
      <c r="A250" s="552"/>
      <c r="B250" s="552"/>
      <c r="N250" s="535"/>
      <c r="O250" s="558"/>
      <c r="R250" s="535"/>
      <c r="S250" s="558"/>
      <c r="V250" s="535"/>
      <c r="W250" s="558"/>
      <c r="Z250" s="535"/>
      <c r="AA250" s="558"/>
      <c r="AD250" s="535"/>
      <c r="AE250" s="558"/>
      <c r="AH250" s="535"/>
      <c r="AI250" s="558"/>
      <c r="AL250" s="535"/>
      <c r="AP250" s="535"/>
    </row>
    <row r="251">
      <c r="A251" s="552"/>
      <c r="B251" s="552"/>
      <c r="N251" s="535"/>
      <c r="O251" s="558"/>
      <c r="R251" s="535"/>
      <c r="S251" s="558"/>
      <c r="V251" s="535"/>
      <c r="W251" s="558"/>
      <c r="Z251" s="535"/>
      <c r="AA251" s="558"/>
      <c r="AD251" s="535"/>
      <c r="AE251" s="558"/>
      <c r="AH251" s="535"/>
      <c r="AI251" s="558"/>
      <c r="AL251" s="535"/>
      <c r="AP251" s="535"/>
    </row>
    <row r="252">
      <c r="A252" s="552"/>
      <c r="B252" s="552"/>
      <c r="N252" s="535"/>
      <c r="O252" s="558"/>
      <c r="R252" s="535"/>
      <c r="S252" s="558"/>
      <c r="V252" s="535"/>
      <c r="W252" s="558"/>
      <c r="Z252" s="535"/>
      <c r="AA252" s="558"/>
      <c r="AD252" s="535"/>
      <c r="AE252" s="558"/>
      <c r="AH252" s="535"/>
      <c r="AI252" s="558"/>
      <c r="AL252" s="535"/>
      <c r="AP252" s="535"/>
    </row>
    <row r="253">
      <c r="A253" s="552"/>
      <c r="B253" s="552"/>
      <c r="N253" s="535"/>
      <c r="O253" s="558"/>
      <c r="R253" s="535"/>
      <c r="S253" s="558"/>
      <c r="V253" s="535"/>
      <c r="W253" s="558"/>
      <c r="Z253" s="535"/>
      <c r="AA253" s="558"/>
      <c r="AD253" s="535"/>
      <c r="AE253" s="558"/>
      <c r="AH253" s="535"/>
      <c r="AI253" s="558"/>
      <c r="AL253" s="535"/>
      <c r="AP253" s="535"/>
    </row>
    <row r="254">
      <c r="A254" s="552"/>
      <c r="B254" s="552"/>
      <c r="N254" s="535"/>
      <c r="O254" s="558"/>
      <c r="R254" s="535"/>
      <c r="S254" s="558"/>
      <c r="V254" s="535"/>
      <c r="W254" s="558"/>
      <c r="Z254" s="535"/>
      <c r="AA254" s="558"/>
      <c r="AD254" s="535"/>
      <c r="AE254" s="558"/>
      <c r="AH254" s="535"/>
      <c r="AI254" s="558"/>
      <c r="AL254" s="535"/>
      <c r="AP254" s="535"/>
    </row>
    <row r="255">
      <c r="A255" s="552"/>
      <c r="B255" s="552"/>
      <c r="N255" s="535"/>
      <c r="O255" s="558"/>
      <c r="R255" s="535"/>
      <c r="S255" s="558"/>
      <c r="V255" s="535"/>
      <c r="W255" s="558"/>
      <c r="Z255" s="535"/>
      <c r="AA255" s="558"/>
      <c r="AD255" s="535"/>
      <c r="AE255" s="558"/>
      <c r="AH255" s="535"/>
      <c r="AI255" s="558"/>
      <c r="AL255" s="535"/>
      <c r="AP255" s="535"/>
    </row>
    <row r="256">
      <c r="A256" s="552"/>
      <c r="B256" s="552"/>
      <c r="N256" s="535"/>
      <c r="O256" s="558"/>
      <c r="R256" s="535"/>
      <c r="S256" s="558"/>
      <c r="V256" s="535"/>
      <c r="W256" s="558"/>
      <c r="Z256" s="535"/>
      <c r="AA256" s="558"/>
      <c r="AD256" s="535"/>
      <c r="AE256" s="558"/>
      <c r="AH256" s="535"/>
      <c r="AI256" s="558"/>
      <c r="AL256" s="535"/>
      <c r="AP256" s="535"/>
    </row>
    <row r="257">
      <c r="A257" s="552"/>
      <c r="B257" s="552"/>
      <c r="N257" s="535"/>
      <c r="O257" s="558"/>
      <c r="R257" s="535"/>
      <c r="S257" s="558"/>
      <c r="V257" s="535"/>
      <c r="W257" s="558"/>
      <c r="Z257" s="535"/>
      <c r="AA257" s="558"/>
      <c r="AD257" s="535"/>
      <c r="AE257" s="558"/>
      <c r="AH257" s="535"/>
      <c r="AI257" s="558"/>
      <c r="AL257" s="535"/>
      <c r="AP257" s="535"/>
    </row>
    <row r="258">
      <c r="A258" s="552"/>
      <c r="B258" s="552"/>
      <c r="N258" s="535"/>
      <c r="O258" s="558"/>
      <c r="R258" s="535"/>
      <c r="S258" s="558"/>
      <c r="V258" s="535"/>
      <c r="W258" s="558"/>
      <c r="Z258" s="535"/>
      <c r="AA258" s="558"/>
      <c r="AD258" s="535"/>
      <c r="AE258" s="558"/>
      <c r="AH258" s="535"/>
      <c r="AI258" s="558"/>
      <c r="AL258" s="535"/>
      <c r="AP258" s="535"/>
    </row>
    <row r="259">
      <c r="A259" s="552"/>
      <c r="B259" s="552"/>
      <c r="N259" s="535"/>
      <c r="O259" s="558"/>
      <c r="R259" s="535"/>
      <c r="S259" s="558"/>
      <c r="V259" s="535"/>
      <c r="W259" s="558"/>
      <c r="Z259" s="535"/>
      <c r="AA259" s="558"/>
      <c r="AD259" s="535"/>
      <c r="AE259" s="558"/>
      <c r="AH259" s="535"/>
      <c r="AI259" s="558"/>
      <c r="AL259" s="535"/>
      <c r="AP259" s="535"/>
    </row>
    <row r="260">
      <c r="A260" s="552"/>
      <c r="B260" s="552"/>
      <c r="N260" s="535"/>
      <c r="O260" s="558"/>
      <c r="R260" s="535"/>
      <c r="S260" s="558"/>
      <c r="V260" s="535"/>
      <c r="W260" s="558"/>
      <c r="Z260" s="535"/>
      <c r="AA260" s="558"/>
      <c r="AD260" s="535"/>
      <c r="AE260" s="558"/>
      <c r="AH260" s="535"/>
      <c r="AI260" s="558"/>
      <c r="AL260" s="535"/>
      <c r="AP260" s="535"/>
    </row>
    <row r="261">
      <c r="A261" s="552"/>
      <c r="B261" s="552"/>
      <c r="N261" s="535"/>
      <c r="O261" s="558"/>
      <c r="R261" s="535"/>
      <c r="S261" s="558"/>
      <c r="V261" s="535"/>
      <c r="W261" s="558"/>
      <c r="Z261" s="535"/>
      <c r="AA261" s="558"/>
      <c r="AD261" s="535"/>
      <c r="AE261" s="558"/>
      <c r="AH261" s="535"/>
      <c r="AI261" s="558"/>
      <c r="AL261" s="535"/>
      <c r="AP261" s="535"/>
    </row>
    <row r="262">
      <c r="A262" s="552"/>
      <c r="B262" s="552"/>
      <c r="N262" s="535"/>
      <c r="O262" s="558"/>
      <c r="R262" s="535"/>
      <c r="S262" s="558"/>
      <c r="V262" s="535"/>
      <c r="W262" s="558"/>
      <c r="Z262" s="535"/>
      <c r="AA262" s="558"/>
      <c r="AD262" s="535"/>
      <c r="AE262" s="558"/>
      <c r="AH262" s="535"/>
      <c r="AI262" s="558"/>
      <c r="AL262" s="535"/>
      <c r="AP262" s="535"/>
    </row>
    <row r="263">
      <c r="A263" s="552"/>
      <c r="B263" s="552"/>
      <c r="N263" s="535"/>
      <c r="O263" s="558"/>
      <c r="R263" s="535"/>
      <c r="S263" s="558"/>
      <c r="V263" s="535"/>
      <c r="W263" s="558"/>
      <c r="Z263" s="535"/>
      <c r="AA263" s="558"/>
      <c r="AD263" s="535"/>
      <c r="AE263" s="558"/>
      <c r="AH263" s="535"/>
      <c r="AI263" s="558"/>
      <c r="AL263" s="535"/>
      <c r="AP263" s="535"/>
    </row>
    <row r="264">
      <c r="A264" s="552"/>
      <c r="B264" s="552"/>
      <c r="N264" s="535"/>
      <c r="O264" s="558"/>
      <c r="R264" s="535"/>
      <c r="S264" s="558"/>
      <c r="V264" s="535"/>
      <c r="W264" s="558"/>
      <c r="Z264" s="535"/>
      <c r="AA264" s="558"/>
      <c r="AD264" s="535"/>
      <c r="AE264" s="558"/>
      <c r="AH264" s="535"/>
      <c r="AI264" s="558"/>
      <c r="AL264" s="535"/>
      <c r="AP264" s="535"/>
    </row>
    <row r="265">
      <c r="A265" s="552"/>
      <c r="B265" s="552"/>
      <c r="N265" s="535"/>
      <c r="O265" s="558"/>
      <c r="R265" s="535"/>
      <c r="S265" s="558"/>
      <c r="V265" s="535"/>
      <c r="W265" s="558"/>
      <c r="Z265" s="535"/>
      <c r="AA265" s="558"/>
      <c r="AD265" s="535"/>
      <c r="AE265" s="558"/>
      <c r="AH265" s="535"/>
      <c r="AI265" s="558"/>
      <c r="AL265" s="535"/>
      <c r="AP265" s="535"/>
    </row>
    <row r="266">
      <c r="A266" s="552"/>
      <c r="B266" s="552"/>
      <c r="N266" s="535"/>
      <c r="O266" s="558"/>
      <c r="R266" s="535"/>
      <c r="S266" s="558"/>
      <c r="V266" s="535"/>
      <c r="W266" s="558"/>
      <c r="Z266" s="535"/>
      <c r="AA266" s="558"/>
      <c r="AD266" s="535"/>
      <c r="AE266" s="558"/>
      <c r="AH266" s="535"/>
      <c r="AI266" s="558"/>
      <c r="AL266" s="535"/>
      <c r="AP266" s="535"/>
    </row>
    <row r="267">
      <c r="A267" s="552"/>
      <c r="B267" s="552"/>
      <c r="N267" s="535"/>
      <c r="O267" s="558"/>
      <c r="R267" s="535"/>
      <c r="S267" s="558"/>
      <c r="V267" s="535"/>
      <c r="W267" s="558"/>
      <c r="Z267" s="535"/>
      <c r="AA267" s="558"/>
      <c r="AD267" s="535"/>
      <c r="AE267" s="558"/>
      <c r="AH267" s="535"/>
      <c r="AI267" s="558"/>
      <c r="AL267" s="535"/>
      <c r="AP267" s="535"/>
    </row>
    <row r="268">
      <c r="A268" s="552"/>
      <c r="B268" s="552"/>
      <c r="N268" s="535"/>
      <c r="O268" s="558"/>
      <c r="R268" s="535"/>
      <c r="S268" s="558"/>
      <c r="V268" s="535"/>
      <c r="W268" s="558"/>
      <c r="Z268" s="535"/>
      <c r="AA268" s="558"/>
      <c r="AD268" s="535"/>
      <c r="AE268" s="558"/>
      <c r="AH268" s="535"/>
      <c r="AI268" s="558"/>
      <c r="AL268" s="535"/>
      <c r="AP268" s="535"/>
    </row>
    <row r="269">
      <c r="A269" s="552"/>
      <c r="B269" s="552"/>
      <c r="N269" s="535"/>
      <c r="O269" s="558"/>
      <c r="R269" s="535"/>
      <c r="S269" s="558"/>
      <c r="V269" s="535"/>
      <c r="W269" s="558"/>
      <c r="Z269" s="535"/>
      <c r="AA269" s="558"/>
      <c r="AD269" s="535"/>
      <c r="AE269" s="558"/>
      <c r="AH269" s="535"/>
      <c r="AI269" s="558"/>
      <c r="AL269" s="535"/>
      <c r="AP269" s="535"/>
    </row>
    <row r="270">
      <c r="A270" s="552"/>
      <c r="B270" s="552"/>
      <c r="N270" s="535"/>
      <c r="O270" s="558"/>
      <c r="R270" s="535"/>
      <c r="S270" s="558"/>
      <c r="V270" s="535"/>
      <c r="W270" s="558"/>
      <c r="Z270" s="535"/>
      <c r="AA270" s="558"/>
      <c r="AD270" s="535"/>
      <c r="AE270" s="558"/>
      <c r="AH270" s="535"/>
      <c r="AI270" s="558"/>
      <c r="AL270" s="535"/>
      <c r="AP270" s="535"/>
    </row>
    <row r="271">
      <c r="A271" s="552"/>
      <c r="B271" s="552"/>
      <c r="N271" s="535"/>
      <c r="O271" s="558"/>
      <c r="R271" s="535"/>
      <c r="S271" s="558"/>
      <c r="V271" s="535"/>
      <c r="W271" s="558"/>
      <c r="Z271" s="535"/>
      <c r="AA271" s="558"/>
      <c r="AD271" s="535"/>
      <c r="AE271" s="558"/>
      <c r="AH271" s="535"/>
      <c r="AI271" s="558"/>
      <c r="AL271" s="535"/>
      <c r="AP271" s="535"/>
    </row>
    <row r="272">
      <c r="A272" s="552"/>
      <c r="B272" s="552"/>
      <c r="N272" s="535"/>
      <c r="O272" s="558"/>
      <c r="R272" s="535"/>
      <c r="S272" s="558"/>
      <c r="V272" s="535"/>
      <c r="W272" s="558"/>
      <c r="Z272" s="535"/>
      <c r="AA272" s="558"/>
      <c r="AD272" s="535"/>
      <c r="AE272" s="558"/>
      <c r="AH272" s="535"/>
      <c r="AI272" s="558"/>
      <c r="AL272" s="535"/>
      <c r="AP272" s="535"/>
    </row>
    <row r="273">
      <c r="A273" s="552"/>
      <c r="B273" s="552"/>
      <c r="N273" s="535"/>
      <c r="O273" s="558"/>
      <c r="R273" s="535"/>
      <c r="S273" s="558"/>
      <c r="V273" s="535"/>
      <c r="W273" s="558"/>
      <c r="Z273" s="535"/>
      <c r="AA273" s="558"/>
      <c r="AD273" s="535"/>
      <c r="AE273" s="558"/>
      <c r="AH273" s="535"/>
      <c r="AI273" s="558"/>
      <c r="AL273" s="535"/>
      <c r="AP273" s="535"/>
    </row>
    <row r="274">
      <c r="A274" s="552"/>
      <c r="B274" s="552"/>
      <c r="N274" s="535"/>
      <c r="O274" s="558"/>
      <c r="R274" s="535"/>
      <c r="S274" s="558"/>
      <c r="V274" s="535"/>
      <c r="W274" s="558"/>
      <c r="Z274" s="535"/>
      <c r="AA274" s="558"/>
      <c r="AD274" s="535"/>
      <c r="AE274" s="558"/>
      <c r="AH274" s="535"/>
      <c r="AI274" s="558"/>
      <c r="AL274" s="535"/>
      <c r="AP274" s="535"/>
    </row>
    <row r="275">
      <c r="A275" s="552"/>
      <c r="B275" s="552"/>
      <c r="N275" s="535"/>
      <c r="O275" s="558"/>
      <c r="R275" s="535"/>
      <c r="S275" s="558"/>
      <c r="V275" s="535"/>
      <c r="W275" s="558"/>
      <c r="Z275" s="535"/>
      <c r="AA275" s="558"/>
      <c r="AD275" s="535"/>
      <c r="AE275" s="558"/>
      <c r="AH275" s="535"/>
      <c r="AI275" s="558"/>
      <c r="AL275" s="535"/>
      <c r="AP275" s="535"/>
    </row>
    <row r="276">
      <c r="A276" s="552"/>
      <c r="B276" s="552"/>
      <c r="N276" s="535"/>
      <c r="O276" s="558"/>
      <c r="R276" s="535"/>
      <c r="S276" s="558"/>
      <c r="V276" s="535"/>
      <c r="W276" s="558"/>
      <c r="Z276" s="535"/>
      <c r="AA276" s="558"/>
      <c r="AD276" s="535"/>
      <c r="AE276" s="558"/>
      <c r="AH276" s="535"/>
      <c r="AI276" s="558"/>
      <c r="AL276" s="535"/>
      <c r="AP276" s="535"/>
    </row>
    <row r="277">
      <c r="A277" s="552"/>
      <c r="B277" s="552"/>
      <c r="N277" s="535"/>
      <c r="O277" s="558"/>
      <c r="R277" s="535"/>
      <c r="S277" s="558"/>
      <c r="V277" s="535"/>
      <c r="W277" s="558"/>
      <c r="Z277" s="535"/>
      <c r="AA277" s="558"/>
      <c r="AD277" s="535"/>
      <c r="AE277" s="558"/>
      <c r="AH277" s="535"/>
      <c r="AI277" s="558"/>
      <c r="AL277" s="535"/>
      <c r="AP277" s="535"/>
    </row>
    <row r="278">
      <c r="A278" s="552"/>
      <c r="B278" s="552"/>
      <c r="N278" s="535"/>
      <c r="O278" s="558"/>
      <c r="R278" s="535"/>
      <c r="S278" s="558"/>
      <c r="V278" s="535"/>
      <c r="W278" s="558"/>
      <c r="Z278" s="535"/>
      <c r="AA278" s="558"/>
      <c r="AD278" s="535"/>
      <c r="AE278" s="558"/>
      <c r="AH278" s="535"/>
      <c r="AI278" s="558"/>
      <c r="AL278" s="535"/>
      <c r="AP278" s="535"/>
    </row>
    <row r="279">
      <c r="A279" s="552"/>
      <c r="B279" s="552"/>
      <c r="N279" s="535"/>
      <c r="O279" s="558"/>
      <c r="R279" s="535"/>
      <c r="S279" s="558"/>
      <c r="V279" s="535"/>
      <c r="W279" s="558"/>
      <c r="Z279" s="535"/>
      <c r="AA279" s="558"/>
      <c r="AD279" s="535"/>
      <c r="AE279" s="558"/>
      <c r="AH279" s="535"/>
      <c r="AI279" s="558"/>
      <c r="AL279" s="535"/>
      <c r="AP279" s="535"/>
    </row>
    <row r="280">
      <c r="A280" s="552"/>
      <c r="B280" s="552"/>
      <c r="N280" s="535"/>
      <c r="O280" s="558"/>
      <c r="R280" s="535"/>
      <c r="S280" s="558"/>
      <c r="V280" s="535"/>
      <c r="W280" s="558"/>
      <c r="Z280" s="535"/>
      <c r="AA280" s="558"/>
      <c r="AD280" s="535"/>
      <c r="AE280" s="558"/>
      <c r="AH280" s="535"/>
      <c r="AI280" s="558"/>
      <c r="AL280" s="535"/>
      <c r="AP280" s="535"/>
    </row>
    <row r="281">
      <c r="A281" s="552"/>
      <c r="B281" s="552"/>
      <c r="N281" s="535"/>
      <c r="O281" s="558"/>
      <c r="R281" s="535"/>
      <c r="S281" s="558"/>
      <c r="V281" s="535"/>
      <c r="W281" s="558"/>
      <c r="Z281" s="535"/>
      <c r="AA281" s="558"/>
      <c r="AD281" s="535"/>
      <c r="AE281" s="558"/>
      <c r="AH281" s="535"/>
      <c r="AI281" s="558"/>
      <c r="AL281" s="535"/>
      <c r="AP281" s="535"/>
    </row>
    <row r="282">
      <c r="A282" s="552"/>
      <c r="B282" s="552"/>
      <c r="N282" s="535"/>
      <c r="O282" s="558"/>
      <c r="R282" s="535"/>
      <c r="S282" s="558"/>
      <c r="V282" s="535"/>
      <c r="W282" s="558"/>
      <c r="Z282" s="535"/>
      <c r="AA282" s="558"/>
      <c r="AD282" s="535"/>
      <c r="AE282" s="558"/>
      <c r="AH282" s="535"/>
      <c r="AI282" s="558"/>
      <c r="AL282" s="535"/>
      <c r="AP282" s="535"/>
    </row>
    <row r="283">
      <c r="A283" s="552"/>
      <c r="B283" s="552"/>
      <c r="N283" s="535"/>
      <c r="O283" s="558"/>
      <c r="R283" s="535"/>
      <c r="S283" s="558"/>
      <c r="V283" s="535"/>
      <c r="W283" s="558"/>
      <c r="Z283" s="535"/>
      <c r="AA283" s="558"/>
      <c r="AD283" s="535"/>
      <c r="AE283" s="558"/>
      <c r="AH283" s="535"/>
      <c r="AI283" s="558"/>
      <c r="AL283" s="535"/>
      <c r="AP283" s="535"/>
    </row>
    <row r="284">
      <c r="A284" s="552"/>
      <c r="B284" s="552"/>
      <c r="N284" s="535"/>
      <c r="O284" s="558"/>
      <c r="R284" s="535"/>
      <c r="S284" s="558"/>
      <c r="V284" s="535"/>
      <c r="W284" s="558"/>
      <c r="Z284" s="535"/>
      <c r="AA284" s="558"/>
      <c r="AD284" s="535"/>
      <c r="AE284" s="558"/>
      <c r="AH284" s="535"/>
      <c r="AI284" s="558"/>
      <c r="AL284" s="535"/>
      <c r="AP284" s="535"/>
    </row>
    <row r="285">
      <c r="A285" s="552"/>
      <c r="B285" s="552"/>
      <c r="N285" s="535"/>
      <c r="O285" s="558"/>
      <c r="R285" s="535"/>
      <c r="S285" s="558"/>
      <c r="V285" s="535"/>
      <c r="W285" s="558"/>
      <c r="Z285" s="535"/>
      <c r="AA285" s="558"/>
      <c r="AD285" s="535"/>
      <c r="AE285" s="558"/>
      <c r="AH285" s="535"/>
      <c r="AI285" s="558"/>
      <c r="AL285" s="535"/>
      <c r="AP285" s="535"/>
    </row>
    <row r="286">
      <c r="A286" s="552"/>
      <c r="B286" s="552"/>
      <c r="N286" s="535"/>
      <c r="O286" s="558"/>
      <c r="R286" s="535"/>
      <c r="S286" s="558"/>
      <c r="V286" s="535"/>
      <c r="W286" s="558"/>
      <c r="Z286" s="535"/>
      <c r="AA286" s="558"/>
      <c r="AD286" s="535"/>
      <c r="AE286" s="558"/>
      <c r="AH286" s="535"/>
      <c r="AI286" s="558"/>
      <c r="AL286" s="535"/>
      <c r="AP286" s="535"/>
    </row>
    <row r="287">
      <c r="A287" s="552"/>
      <c r="B287" s="552"/>
      <c r="N287" s="535"/>
      <c r="O287" s="558"/>
      <c r="R287" s="535"/>
      <c r="S287" s="558"/>
      <c r="V287" s="535"/>
      <c r="W287" s="558"/>
      <c r="Z287" s="535"/>
      <c r="AA287" s="558"/>
      <c r="AD287" s="535"/>
      <c r="AE287" s="558"/>
      <c r="AH287" s="535"/>
      <c r="AI287" s="558"/>
      <c r="AL287" s="535"/>
      <c r="AP287" s="535"/>
    </row>
    <row r="288">
      <c r="A288" s="552"/>
      <c r="B288" s="552"/>
      <c r="N288" s="535"/>
      <c r="O288" s="558"/>
      <c r="R288" s="535"/>
      <c r="S288" s="558"/>
      <c r="V288" s="535"/>
      <c r="W288" s="558"/>
      <c r="Z288" s="535"/>
      <c r="AA288" s="558"/>
      <c r="AD288" s="535"/>
      <c r="AE288" s="558"/>
      <c r="AH288" s="535"/>
      <c r="AI288" s="558"/>
      <c r="AL288" s="535"/>
      <c r="AP288" s="535"/>
    </row>
    <row r="289">
      <c r="A289" s="552"/>
      <c r="B289" s="552"/>
      <c r="N289" s="535"/>
      <c r="O289" s="558"/>
      <c r="R289" s="535"/>
      <c r="S289" s="558"/>
      <c r="V289" s="535"/>
      <c r="W289" s="558"/>
      <c r="Z289" s="535"/>
      <c r="AA289" s="558"/>
      <c r="AD289" s="535"/>
      <c r="AE289" s="558"/>
      <c r="AH289" s="535"/>
      <c r="AI289" s="558"/>
      <c r="AL289" s="535"/>
      <c r="AP289" s="535"/>
    </row>
    <row r="290">
      <c r="A290" s="552"/>
      <c r="B290" s="552"/>
      <c r="N290" s="535"/>
      <c r="O290" s="558"/>
      <c r="R290" s="535"/>
      <c r="S290" s="558"/>
      <c r="V290" s="535"/>
      <c r="W290" s="558"/>
      <c r="Z290" s="535"/>
      <c r="AA290" s="558"/>
      <c r="AD290" s="535"/>
      <c r="AE290" s="558"/>
      <c r="AH290" s="535"/>
      <c r="AI290" s="558"/>
      <c r="AL290" s="535"/>
      <c r="AP290" s="535"/>
    </row>
    <row r="291">
      <c r="A291" s="552"/>
      <c r="B291" s="552"/>
      <c r="N291" s="535"/>
      <c r="O291" s="558"/>
      <c r="R291" s="535"/>
      <c r="S291" s="558"/>
      <c r="V291" s="535"/>
      <c r="W291" s="558"/>
      <c r="Z291" s="535"/>
      <c r="AA291" s="558"/>
      <c r="AD291" s="535"/>
      <c r="AE291" s="558"/>
      <c r="AH291" s="535"/>
      <c r="AI291" s="558"/>
      <c r="AL291" s="535"/>
      <c r="AP291" s="535"/>
    </row>
    <row r="292">
      <c r="A292" s="552"/>
      <c r="B292" s="552"/>
      <c r="N292" s="535"/>
      <c r="O292" s="558"/>
      <c r="R292" s="535"/>
      <c r="S292" s="558"/>
      <c r="V292" s="535"/>
      <c r="W292" s="558"/>
      <c r="Z292" s="535"/>
      <c r="AA292" s="558"/>
      <c r="AD292" s="535"/>
      <c r="AE292" s="558"/>
      <c r="AH292" s="535"/>
      <c r="AI292" s="558"/>
      <c r="AL292" s="535"/>
      <c r="AP292" s="535"/>
    </row>
    <row r="293">
      <c r="A293" s="552"/>
      <c r="B293" s="552"/>
      <c r="N293" s="535"/>
      <c r="O293" s="558"/>
      <c r="R293" s="535"/>
      <c r="S293" s="558"/>
      <c r="V293" s="535"/>
      <c r="W293" s="558"/>
      <c r="Z293" s="535"/>
      <c r="AA293" s="558"/>
      <c r="AD293" s="535"/>
      <c r="AE293" s="558"/>
      <c r="AH293" s="535"/>
      <c r="AI293" s="558"/>
      <c r="AL293" s="535"/>
      <c r="AP293" s="535"/>
    </row>
    <row r="294">
      <c r="A294" s="552"/>
      <c r="B294" s="552"/>
      <c r="N294" s="535"/>
      <c r="O294" s="558"/>
      <c r="R294" s="535"/>
      <c r="S294" s="558"/>
      <c r="V294" s="535"/>
      <c r="W294" s="558"/>
      <c r="Z294" s="535"/>
      <c r="AA294" s="558"/>
      <c r="AD294" s="535"/>
      <c r="AE294" s="558"/>
      <c r="AH294" s="535"/>
      <c r="AI294" s="558"/>
      <c r="AL294" s="535"/>
      <c r="AP294" s="535"/>
    </row>
    <row r="295">
      <c r="A295" s="552"/>
      <c r="B295" s="552"/>
      <c r="N295" s="535"/>
      <c r="O295" s="558"/>
      <c r="R295" s="535"/>
      <c r="S295" s="558"/>
      <c r="V295" s="535"/>
      <c r="W295" s="558"/>
      <c r="Z295" s="535"/>
      <c r="AA295" s="558"/>
      <c r="AD295" s="535"/>
      <c r="AE295" s="558"/>
      <c r="AH295" s="535"/>
      <c r="AI295" s="558"/>
      <c r="AL295" s="535"/>
      <c r="AP295" s="535"/>
    </row>
    <row r="296">
      <c r="A296" s="552"/>
      <c r="B296" s="552"/>
      <c r="N296" s="535"/>
      <c r="O296" s="558"/>
      <c r="R296" s="535"/>
      <c r="S296" s="558"/>
      <c r="V296" s="535"/>
      <c r="W296" s="558"/>
      <c r="Z296" s="535"/>
      <c r="AA296" s="558"/>
      <c r="AD296" s="535"/>
      <c r="AE296" s="558"/>
      <c r="AH296" s="535"/>
      <c r="AI296" s="558"/>
      <c r="AL296" s="535"/>
      <c r="AP296" s="535"/>
    </row>
    <row r="297">
      <c r="A297" s="552"/>
      <c r="B297" s="552"/>
      <c r="N297" s="535"/>
      <c r="O297" s="558"/>
      <c r="R297" s="535"/>
      <c r="S297" s="558"/>
      <c r="V297" s="535"/>
      <c r="W297" s="558"/>
      <c r="Z297" s="535"/>
      <c r="AA297" s="558"/>
      <c r="AD297" s="535"/>
      <c r="AE297" s="558"/>
      <c r="AH297" s="535"/>
      <c r="AI297" s="558"/>
      <c r="AL297" s="535"/>
      <c r="AP297" s="535"/>
    </row>
    <row r="298">
      <c r="A298" s="552"/>
      <c r="B298" s="552"/>
      <c r="N298" s="535"/>
      <c r="O298" s="558"/>
      <c r="R298" s="535"/>
      <c r="S298" s="558"/>
      <c r="V298" s="535"/>
      <c r="W298" s="558"/>
      <c r="Z298" s="535"/>
      <c r="AA298" s="558"/>
      <c r="AD298" s="535"/>
      <c r="AE298" s="558"/>
      <c r="AH298" s="535"/>
      <c r="AI298" s="558"/>
      <c r="AL298" s="535"/>
      <c r="AP298" s="535"/>
    </row>
    <row r="299">
      <c r="A299" s="552"/>
      <c r="B299" s="552"/>
      <c r="N299" s="535"/>
      <c r="O299" s="558"/>
      <c r="R299" s="535"/>
      <c r="S299" s="558"/>
      <c r="V299" s="535"/>
      <c r="W299" s="558"/>
      <c r="Z299" s="535"/>
      <c r="AA299" s="558"/>
      <c r="AD299" s="535"/>
      <c r="AE299" s="558"/>
      <c r="AH299" s="535"/>
      <c r="AI299" s="558"/>
      <c r="AL299" s="535"/>
      <c r="AP299" s="535"/>
    </row>
    <row r="300">
      <c r="A300" s="552"/>
      <c r="B300" s="552"/>
      <c r="N300" s="535"/>
      <c r="O300" s="558"/>
      <c r="R300" s="535"/>
      <c r="S300" s="558"/>
      <c r="V300" s="535"/>
      <c r="W300" s="558"/>
      <c r="Z300" s="535"/>
      <c r="AA300" s="558"/>
      <c r="AD300" s="535"/>
      <c r="AE300" s="558"/>
      <c r="AH300" s="535"/>
      <c r="AI300" s="558"/>
      <c r="AL300" s="535"/>
      <c r="AP300" s="535"/>
    </row>
    <row r="301">
      <c r="A301" s="552"/>
      <c r="B301" s="552"/>
      <c r="N301" s="535"/>
      <c r="O301" s="558"/>
      <c r="R301" s="535"/>
      <c r="S301" s="558"/>
      <c r="V301" s="535"/>
      <c r="W301" s="558"/>
      <c r="Z301" s="535"/>
      <c r="AA301" s="558"/>
      <c r="AD301" s="535"/>
      <c r="AE301" s="558"/>
      <c r="AH301" s="535"/>
      <c r="AI301" s="558"/>
      <c r="AL301" s="535"/>
      <c r="AP301" s="535"/>
    </row>
    <row r="302">
      <c r="A302" s="552"/>
      <c r="B302" s="552"/>
      <c r="N302" s="535"/>
      <c r="O302" s="558"/>
      <c r="R302" s="535"/>
      <c r="S302" s="558"/>
      <c r="V302" s="535"/>
      <c r="W302" s="558"/>
      <c r="Z302" s="535"/>
      <c r="AA302" s="558"/>
      <c r="AD302" s="535"/>
      <c r="AE302" s="558"/>
      <c r="AH302" s="535"/>
      <c r="AI302" s="558"/>
      <c r="AL302" s="535"/>
      <c r="AP302" s="535"/>
    </row>
    <row r="303">
      <c r="A303" s="552"/>
      <c r="B303" s="552"/>
      <c r="N303" s="535"/>
      <c r="O303" s="558"/>
      <c r="R303" s="535"/>
      <c r="S303" s="558"/>
      <c r="V303" s="535"/>
      <c r="W303" s="558"/>
      <c r="Z303" s="535"/>
      <c r="AA303" s="558"/>
      <c r="AD303" s="535"/>
      <c r="AE303" s="558"/>
      <c r="AH303" s="535"/>
      <c r="AI303" s="558"/>
      <c r="AL303" s="535"/>
      <c r="AP303" s="535"/>
    </row>
    <row r="304">
      <c r="A304" s="552"/>
      <c r="B304" s="552"/>
      <c r="N304" s="535"/>
      <c r="O304" s="558"/>
      <c r="R304" s="535"/>
      <c r="S304" s="558"/>
      <c r="V304" s="535"/>
      <c r="W304" s="558"/>
      <c r="Z304" s="535"/>
      <c r="AA304" s="558"/>
      <c r="AD304" s="535"/>
      <c r="AE304" s="558"/>
      <c r="AH304" s="535"/>
      <c r="AI304" s="558"/>
      <c r="AL304" s="535"/>
      <c r="AP304" s="535"/>
    </row>
    <row r="305">
      <c r="A305" s="552"/>
      <c r="B305" s="552"/>
      <c r="N305" s="535"/>
      <c r="O305" s="558"/>
      <c r="R305" s="535"/>
      <c r="S305" s="558"/>
      <c r="V305" s="535"/>
      <c r="W305" s="558"/>
      <c r="Z305" s="535"/>
      <c r="AA305" s="558"/>
      <c r="AD305" s="535"/>
      <c r="AE305" s="558"/>
      <c r="AH305" s="535"/>
      <c r="AI305" s="558"/>
      <c r="AL305" s="535"/>
      <c r="AP305" s="535"/>
    </row>
    <row r="306">
      <c r="A306" s="552"/>
      <c r="B306" s="552"/>
      <c r="N306" s="535"/>
      <c r="O306" s="558"/>
      <c r="R306" s="535"/>
      <c r="S306" s="558"/>
      <c r="V306" s="535"/>
      <c r="W306" s="558"/>
      <c r="Z306" s="535"/>
      <c r="AA306" s="558"/>
      <c r="AD306" s="535"/>
      <c r="AE306" s="558"/>
      <c r="AH306" s="535"/>
      <c r="AI306" s="558"/>
      <c r="AL306" s="535"/>
      <c r="AP306" s="535"/>
    </row>
    <row r="307">
      <c r="A307" s="552"/>
      <c r="B307" s="552"/>
      <c r="N307" s="535"/>
      <c r="O307" s="558"/>
      <c r="R307" s="535"/>
      <c r="S307" s="558"/>
      <c r="V307" s="535"/>
      <c r="W307" s="558"/>
      <c r="Z307" s="535"/>
      <c r="AA307" s="558"/>
      <c r="AD307" s="535"/>
      <c r="AE307" s="558"/>
      <c r="AH307" s="535"/>
      <c r="AI307" s="558"/>
      <c r="AL307" s="535"/>
      <c r="AP307" s="535"/>
    </row>
    <row r="308">
      <c r="A308" s="552"/>
      <c r="B308" s="552"/>
      <c r="N308" s="535"/>
      <c r="O308" s="558"/>
      <c r="R308" s="535"/>
      <c r="S308" s="558"/>
      <c r="V308" s="535"/>
      <c r="W308" s="558"/>
      <c r="Z308" s="535"/>
      <c r="AA308" s="558"/>
      <c r="AD308" s="535"/>
      <c r="AE308" s="558"/>
      <c r="AH308" s="535"/>
      <c r="AI308" s="558"/>
      <c r="AL308" s="535"/>
      <c r="AP308" s="535"/>
    </row>
    <row r="309">
      <c r="A309" s="552"/>
      <c r="B309" s="552"/>
      <c r="N309" s="535"/>
      <c r="O309" s="558"/>
      <c r="R309" s="535"/>
      <c r="S309" s="558"/>
      <c r="V309" s="535"/>
      <c r="W309" s="558"/>
      <c r="Z309" s="535"/>
      <c r="AA309" s="558"/>
      <c r="AD309" s="535"/>
      <c r="AE309" s="558"/>
      <c r="AH309" s="535"/>
      <c r="AI309" s="558"/>
      <c r="AL309" s="535"/>
      <c r="AP309" s="535"/>
    </row>
    <row r="310">
      <c r="A310" s="552"/>
      <c r="B310" s="552"/>
      <c r="N310" s="535"/>
      <c r="O310" s="558"/>
      <c r="R310" s="535"/>
      <c r="S310" s="558"/>
      <c r="V310" s="535"/>
      <c r="W310" s="558"/>
      <c r="Z310" s="535"/>
      <c r="AA310" s="558"/>
      <c r="AD310" s="535"/>
      <c r="AE310" s="558"/>
      <c r="AH310" s="535"/>
      <c r="AI310" s="558"/>
      <c r="AL310" s="535"/>
      <c r="AP310" s="535"/>
    </row>
    <row r="311">
      <c r="A311" s="552"/>
      <c r="B311" s="552"/>
      <c r="N311" s="535"/>
      <c r="O311" s="558"/>
      <c r="R311" s="535"/>
      <c r="S311" s="558"/>
      <c r="V311" s="535"/>
      <c r="W311" s="558"/>
      <c r="Z311" s="535"/>
      <c r="AA311" s="558"/>
      <c r="AD311" s="535"/>
      <c r="AE311" s="558"/>
      <c r="AH311" s="535"/>
      <c r="AI311" s="558"/>
      <c r="AL311" s="535"/>
      <c r="AP311" s="535"/>
    </row>
    <row r="312">
      <c r="A312" s="552"/>
      <c r="B312" s="552"/>
      <c r="N312" s="535"/>
      <c r="O312" s="558"/>
      <c r="R312" s="535"/>
      <c r="S312" s="558"/>
      <c r="V312" s="535"/>
      <c r="W312" s="558"/>
      <c r="Z312" s="535"/>
      <c r="AA312" s="558"/>
      <c r="AD312" s="535"/>
      <c r="AE312" s="558"/>
      <c r="AH312" s="535"/>
      <c r="AI312" s="558"/>
      <c r="AL312" s="535"/>
      <c r="AP312" s="535"/>
    </row>
    <row r="313">
      <c r="A313" s="552"/>
      <c r="B313" s="552"/>
      <c r="N313" s="535"/>
      <c r="O313" s="558"/>
      <c r="R313" s="535"/>
      <c r="S313" s="558"/>
      <c r="V313" s="535"/>
      <c r="W313" s="558"/>
      <c r="Z313" s="535"/>
      <c r="AA313" s="558"/>
      <c r="AD313" s="535"/>
      <c r="AE313" s="558"/>
      <c r="AH313" s="535"/>
      <c r="AI313" s="558"/>
      <c r="AL313" s="535"/>
      <c r="AP313" s="535"/>
    </row>
    <row r="314">
      <c r="A314" s="552"/>
      <c r="B314" s="552"/>
      <c r="N314" s="535"/>
      <c r="O314" s="558"/>
      <c r="R314" s="535"/>
      <c r="S314" s="558"/>
      <c r="V314" s="535"/>
      <c r="W314" s="558"/>
      <c r="Z314" s="535"/>
      <c r="AA314" s="558"/>
      <c r="AD314" s="535"/>
      <c r="AE314" s="558"/>
      <c r="AH314" s="535"/>
      <c r="AI314" s="558"/>
      <c r="AL314" s="535"/>
      <c r="AP314" s="535"/>
    </row>
    <row r="315">
      <c r="A315" s="552"/>
      <c r="B315" s="552"/>
      <c r="N315" s="535"/>
      <c r="O315" s="558"/>
      <c r="R315" s="535"/>
      <c r="S315" s="558"/>
      <c r="V315" s="535"/>
      <c r="W315" s="558"/>
      <c r="Z315" s="535"/>
      <c r="AA315" s="558"/>
      <c r="AD315" s="535"/>
      <c r="AE315" s="558"/>
      <c r="AH315" s="535"/>
      <c r="AI315" s="558"/>
      <c r="AL315" s="535"/>
      <c r="AP315" s="535"/>
    </row>
    <row r="316">
      <c r="A316" s="552"/>
      <c r="B316" s="552"/>
      <c r="N316" s="535"/>
      <c r="O316" s="558"/>
      <c r="R316" s="535"/>
      <c r="S316" s="558"/>
      <c r="V316" s="535"/>
      <c r="W316" s="558"/>
      <c r="Z316" s="535"/>
      <c r="AA316" s="558"/>
      <c r="AD316" s="535"/>
      <c r="AE316" s="558"/>
      <c r="AH316" s="535"/>
      <c r="AI316" s="558"/>
      <c r="AL316" s="535"/>
      <c r="AP316" s="535"/>
    </row>
    <row r="317">
      <c r="A317" s="552"/>
      <c r="B317" s="552"/>
      <c r="N317" s="535"/>
      <c r="O317" s="558"/>
      <c r="R317" s="535"/>
      <c r="S317" s="558"/>
      <c r="V317" s="535"/>
      <c r="W317" s="558"/>
      <c r="Z317" s="535"/>
      <c r="AA317" s="558"/>
      <c r="AD317" s="535"/>
      <c r="AE317" s="558"/>
      <c r="AH317" s="535"/>
      <c r="AI317" s="558"/>
      <c r="AL317" s="535"/>
      <c r="AP317" s="535"/>
    </row>
    <row r="318">
      <c r="A318" s="552"/>
      <c r="B318" s="552"/>
      <c r="N318" s="535"/>
      <c r="O318" s="558"/>
      <c r="R318" s="535"/>
      <c r="S318" s="558"/>
      <c r="V318" s="535"/>
      <c r="W318" s="558"/>
      <c r="Z318" s="535"/>
      <c r="AA318" s="558"/>
      <c r="AD318" s="535"/>
      <c r="AE318" s="558"/>
      <c r="AH318" s="535"/>
      <c r="AI318" s="558"/>
      <c r="AL318" s="535"/>
      <c r="AP318" s="535"/>
    </row>
    <row r="319">
      <c r="A319" s="552"/>
      <c r="B319" s="552"/>
      <c r="N319" s="535"/>
      <c r="O319" s="558"/>
      <c r="R319" s="535"/>
      <c r="S319" s="558"/>
      <c r="V319" s="535"/>
      <c r="W319" s="558"/>
      <c r="Z319" s="535"/>
      <c r="AA319" s="558"/>
      <c r="AD319" s="535"/>
      <c r="AE319" s="558"/>
      <c r="AH319" s="535"/>
      <c r="AI319" s="558"/>
      <c r="AL319" s="535"/>
      <c r="AP319" s="535"/>
    </row>
    <row r="320">
      <c r="A320" s="552"/>
      <c r="B320" s="552"/>
      <c r="N320" s="535"/>
      <c r="O320" s="558"/>
      <c r="R320" s="535"/>
      <c r="S320" s="558"/>
      <c r="V320" s="535"/>
      <c r="W320" s="558"/>
      <c r="Z320" s="535"/>
      <c r="AA320" s="558"/>
      <c r="AD320" s="535"/>
      <c r="AE320" s="558"/>
      <c r="AH320" s="535"/>
      <c r="AI320" s="558"/>
      <c r="AL320" s="535"/>
      <c r="AP320" s="535"/>
    </row>
    <row r="321">
      <c r="A321" s="552"/>
      <c r="B321" s="552"/>
      <c r="N321" s="535"/>
      <c r="O321" s="558"/>
      <c r="R321" s="535"/>
      <c r="S321" s="558"/>
      <c r="V321" s="535"/>
      <c r="W321" s="558"/>
      <c r="Z321" s="535"/>
      <c r="AA321" s="558"/>
      <c r="AD321" s="535"/>
      <c r="AE321" s="558"/>
      <c r="AH321" s="535"/>
      <c r="AI321" s="558"/>
      <c r="AL321" s="535"/>
      <c r="AP321" s="535"/>
    </row>
    <row r="322">
      <c r="A322" s="552"/>
      <c r="B322" s="552"/>
      <c r="N322" s="535"/>
      <c r="O322" s="558"/>
      <c r="R322" s="535"/>
      <c r="S322" s="558"/>
      <c r="V322" s="535"/>
      <c r="W322" s="558"/>
      <c r="Z322" s="535"/>
      <c r="AA322" s="558"/>
      <c r="AD322" s="535"/>
      <c r="AE322" s="558"/>
      <c r="AH322" s="535"/>
      <c r="AI322" s="558"/>
      <c r="AL322" s="535"/>
      <c r="AP322" s="535"/>
    </row>
    <row r="323">
      <c r="A323" s="552"/>
      <c r="B323" s="552"/>
      <c r="N323" s="535"/>
      <c r="O323" s="558"/>
      <c r="R323" s="535"/>
      <c r="S323" s="558"/>
      <c r="V323" s="535"/>
      <c r="W323" s="558"/>
      <c r="Z323" s="535"/>
      <c r="AA323" s="558"/>
      <c r="AD323" s="535"/>
      <c r="AE323" s="558"/>
      <c r="AH323" s="535"/>
      <c r="AI323" s="558"/>
      <c r="AL323" s="535"/>
      <c r="AP323" s="535"/>
    </row>
    <row r="324">
      <c r="A324" s="552"/>
      <c r="B324" s="552"/>
      <c r="N324" s="535"/>
      <c r="O324" s="558"/>
      <c r="R324" s="535"/>
      <c r="S324" s="558"/>
      <c r="V324" s="535"/>
      <c r="W324" s="558"/>
      <c r="Z324" s="535"/>
      <c r="AA324" s="558"/>
      <c r="AD324" s="535"/>
      <c r="AE324" s="558"/>
      <c r="AH324" s="535"/>
      <c r="AI324" s="558"/>
      <c r="AL324" s="535"/>
      <c r="AP324" s="535"/>
    </row>
    <row r="325">
      <c r="A325" s="552"/>
      <c r="B325" s="552"/>
      <c r="N325" s="535"/>
      <c r="O325" s="558"/>
      <c r="R325" s="535"/>
      <c r="S325" s="558"/>
      <c r="V325" s="535"/>
      <c r="W325" s="558"/>
      <c r="Z325" s="535"/>
      <c r="AA325" s="558"/>
      <c r="AD325" s="535"/>
      <c r="AE325" s="558"/>
      <c r="AH325" s="535"/>
      <c r="AI325" s="558"/>
      <c r="AL325" s="535"/>
      <c r="AP325" s="535"/>
    </row>
    <row r="326">
      <c r="A326" s="552"/>
      <c r="B326" s="552"/>
      <c r="N326" s="535"/>
      <c r="O326" s="558"/>
      <c r="R326" s="535"/>
      <c r="S326" s="558"/>
      <c r="V326" s="535"/>
      <c r="W326" s="558"/>
      <c r="Z326" s="535"/>
      <c r="AA326" s="558"/>
      <c r="AD326" s="535"/>
      <c r="AE326" s="558"/>
      <c r="AH326" s="535"/>
      <c r="AI326" s="558"/>
      <c r="AL326" s="535"/>
      <c r="AP326" s="535"/>
    </row>
    <row r="327">
      <c r="A327" s="552"/>
      <c r="B327" s="552"/>
      <c r="N327" s="535"/>
      <c r="O327" s="558"/>
      <c r="R327" s="535"/>
      <c r="S327" s="558"/>
      <c r="V327" s="535"/>
      <c r="W327" s="558"/>
      <c r="Z327" s="535"/>
      <c r="AA327" s="558"/>
      <c r="AD327" s="535"/>
      <c r="AE327" s="558"/>
      <c r="AH327" s="535"/>
      <c r="AI327" s="558"/>
      <c r="AL327" s="535"/>
      <c r="AP327" s="535"/>
    </row>
    <row r="328">
      <c r="A328" s="552"/>
      <c r="B328" s="552"/>
      <c r="N328" s="535"/>
      <c r="O328" s="558"/>
      <c r="R328" s="535"/>
      <c r="S328" s="558"/>
      <c r="V328" s="535"/>
      <c r="W328" s="558"/>
      <c r="Z328" s="535"/>
      <c r="AA328" s="558"/>
      <c r="AD328" s="535"/>
      <c r="AE328" s="558"/>
      <c r="AH328" s="535"/>
      <c r="AI328" s="558"/>
      <c r="AL328" s="535"/>
      <c r="AP328" s="535"/>
    </row>
    <row r="329">
      <c r="A329" s="552"/>
      <c r="B329" s="552"/>
      <c r="N329" s="535"/>
      <c r="O329" s="558"/>
      <c r="R329" s="535"/>
      <c r="S329" s="558"/>
      <c r="V329" s="535"/>
      <c r="W329" s="558"/>
      <c r="Z329" s="535"/>
      <c r="AA329" s="558"/>
      <c r="AD329" s="535"/>
      <c r="AE329" s="558"/>
      <c r="AH329" s="535"/>
      <c r="AI329" s="558"/>
      <c r="AL329" s="535"/>
      <c r="AP329" s="535"/>
    </row>
    <row r="330">
      <c r="A330" s="552"/>
      <c r="B330" s="552"/>
      <c r="N330" s="535"/>
      <c r="O330" s="558"/>
      <c r="R330" s="535"/>
      <c r="S330" s="558"/>
      <c r="V330" s="535"/>
      <c r="W330" s="558"/>
      <c r="Z330" s="535"/>
      <c r="AA330" s="558"/>
      <c r="AD330" s="535"/>
      <c r="AE330" s="558"/>
      <c r="AH330" s="535"/>
      <c r="AI330" s="558"/>
      <c r="AL330" s="535"/>
      <c r="AP330" s="535"/>
    </row>
    <row r="331">
      <c r="A331" s="552"/>
      <c r="B331" s="552"/>
      <c r="N331" s="535"/>
      <c r="O331" s="558"/>
      <c r="R331" s="535"/>
      <c r="S331" s="558"/>
      <c r="V331" s="535"/>
      <c r="W331" s="558"/>
      <c r="Z331" s="535"/>
      <c r="AA331" s="558"/>
      <c r="AD331" s="535"/>
      <c r="AE331" s="558"/>
      <c r="AH331" s="535"/>
      <c r="AI331" s="558"/>
      <c r="AL331" s="535"/>
      <c r="AP331" s="535"/>
    </row>
    <row r="332">
      <c r="A332" s="552"/>
      <c r="B332" s="552"/>
      <c r="N332" s="535"/>
      <c r="O332" s="558"/>
      <c r="R332" s="535"/>
      <c r="S332" s="558"/>
      <c r="V332" s="535"/>
      <c r="W332" s="558"/>
      <c r="Z332" s="535"/>
      <c r="AA332" s="558"/>
      <c r="AD332" s="535"/>
      <c r="AE332" s="558"/>
      <c r="AH332" s="535"/>
      <c r="AI332" s="558"/>
      <c r="AL332" s="535"/>
      <c r="AP332" s="535"/>
    </row>
    <row r="333">
      <c r="A333" s="552"/>
      <c r="B333" s="552"/>
      <c r="N333" s="535"/>
      <c r="O333" s="558"/>
      <c r="R333" s="535"/>
      <c r="S333" s="558"/>
      <c r="V333" s="535"/>
      <c r="W333" s="558"/>
      <c r="Z333" s="535"/>
      <c r="AA333" s="558"/>
      <c r="AD333" s="535"/>
      <c r="AE333" s="558"/>
      <c r="AH333" s="535"/>
      <c r="AI333" s="558"/>
      <c r="AL333" s="535"/>
      <c r="AP333" s="535"/>
    </row>
    <row r="334">
      <c r="A334" s="552"/>
      <c r="B334" s="552"/>
      <c r="N334" s="535"/>
      <c r="O334" s="558"/>
      <c r="R334" s="535"/>
      <c r="S334" s="558"/>
      <c r="V334" s="535"/>
      <c r="W334" s="558"/>
      <c r="Z334" s="535"/>
      <c r="AA334" s="558"/>
      <c r="AD334" s="535"/>
      <c r="AE334" s="558"/>
      <c r="AH334" s="535"/>
      <c r="AI334" s="558"/>
      <c r="AL334" s="535"/>
      <c r="AP334" s="535"/>
    </row>
    <row r="335">
      <c r="A335" s="552"/>
      <c r="B335" s="552"/>
      <c r="N335" s="535"/>
      <c r="O335" s="558"/>
      <c r="R335" s="535"/>
      <c r="S335" s="558"/>
      <c r="V335" s="535"/>
      <c r="W335" s="558"/>
      <c r="Z335" s="535"/>
      <c r="AA335" s="558"/>
      <c r="AD335" s="535"/>
      <c r="AE335" s="558"/>
      <c r="AH335" s="535"/>
      <c r="AI335" s="558"/>
      <c r="AL335" s="535"/>
      <c r="AP335" s="535"/>
    </row>
    <row r="336">
      <c r="A336" s="552"/>
      <c r="B336" s="552"/>
      <c r="N336" s="535"/>
      <c r="O336" s="558"/>
      <c r="R336" s="535"/>
      <c r="S336" s="558"/>
      <c r="V336" s="535"/>
      <c r="W336" s="558"/>
      <c r="Z336" s="535"/>
      <c r="AA336" s="558"/>
      <c r="AD336" s="535"/>
      <c r="AE336" s="558"/>
      <c r="AH336" s="535"/>
      <c r="AI336" s="558"/>
      <c r="AL336" s="535"/>
      <c r="AP336" s="535"/>
    </row>
    <row r="337">
      <c r="A337" s="552"/>
      <c r="B337" s="552"/>
      <c r="N337" s="535"/>
      <c r="O337" s="558"/>
      <c r="R337" s="535"/>
      <c r="S337" s="558"/>
      <c r="V337" s="535"/>
      <c r="W337" s="558"/>
      <c r="Z337" s="535"/>
      <c r="AA337" s="558"/>
      <c r="AD337" s="535"/>
      <c r="AE337" s="558"/>
      <c r="AH337" s="535"/>
      <c r="AI337" s="558"/>
      <c r="AL337" s="535"/>
      <c r="AP337" s="535"/>
    </row>
    <row r="338">
      <c r="A338" s="552"/>
      <c r="B338" s="552"/>
      <c r="N338" s="535"/>
      <c r="O338" s="558"/>
      <c r="R338" s="535"/>
      <c r="S338" s="558"/>
      <c r="V338" s="535"/>
      <c r="W338" s="558"/>
      <c r="Z338" s="535"/>
      <c r="AA338" s="558"/>
      <c r="AD338" s="535"/>
      <c r="AE338" s="558"/>
      <c r="AH338" s="535"/>
      <c r="AI338" s="558"/>
      <c r="AL338" s="535"/>
      <c r="AP338" s="535"/>
    </row>
    <row r="339">
      <c r="A339" s="552"/>
      <c r="B339" s="552"/>
      <c r="N339" s="535"/>
      <c r="O339" s="558"/>
      <c r="R339" s="535"/>
      <c r="S339" s="558"/>
      <c r="V339" s="535"/>
      <c r="W339" s="558"/>
      <c r="Z339" s="535"/>
      <c r="AA339" s="558"/>
      <c r="AD339" s="535"/>
      <c r="AE339" s="558"/>
      <c r="AH339" s="535"/>
      <c r="AI339" s="558"/>
      <c r="AL339" s="535"/>
      <c r="AP339" s="535"/>
    </row>
    <row r="340">
      <c r="A340" s="552"/>
      <c r="B340" s="552"/>
      <c r="N340" s="535"/>
      <c r="O340" s="558"/>
      <c r="R340" s="535"/>
      <c r="S340" s="558"/>
      <c r="V340" s="535"/>
      <c r="W340" s="558"/>
      <c r="Z340" s="535"/>
      <c r="AA340" s="558"/>
      <c r="AD340" s="535"/>
      <c r="AE340" s="558"/>
      <c r="AH340" s="535"/>
      <c r="AI340" s="558"/>
      <c r="AL340" s="535"/>
      <c r="AP340" s="535"/>
    </row>
    <row r="341">
      <c r="A341" s="552"/>
      <c r="B341" s="552"/>
      <c r="N341" s="535"/>
      <c r="O341" s="558"/>
      <c r="R341" s="535"/>
      <c r="S341" s="558"/>
      <c r="V341" s="535"/>
      <c r="W341" s="558"/>
      <c r="Z341" s="535"/>
      <c r="AA341" s="558"/>
      <c r="AD341" s="535"/>
      <c r="AE341" s="558"/>
      <c r="AH341" s="535"/>
      <c r="AI341" s="558"/>
      <c r="AL341" s="535"/>
      <c r="AP341" s="535"/>
    </row>
    <row r="342">
      <c r="A342" s="552"/>
      <c r="B342" s="552"/>
      <c r="N342" s="535"/>
      <c r="O342" s="558"/>
      <c r="R342" s="535"/>
      <c r="S342" s="558"/>
      <c r="V342" s="535"/>
      <c r="W342" s="558"/>
      <c r="Z342" s="535"/>
      <c r="AA342" s="558"/>
      <c r="AD342" s="535"/>
      <c r="AE342" s="558"/>
      <c r="AH342" s="535"/>
      <c r="AI342" s="558"/>
      <c r="AL342" s="535"/>
      <c r="AP342" s="535"/>
    </row>
    <row r="343">
      <c r="A343" s="552"/>
      <c r="B343" s="552"/>
      <c r="N343" s="535"/>
      <c r="O343" s="558"/>
      <c r="R343" s="535"/>
      <c r="S343" s="558"/>
      <c r="V343" s="535"/>
      <c r="W343" s="558"/>
      <c r="Z343" s="535"/>
      <c r="AA343" s="558"/>
      <c r="AD343" s="535"/>
      <c r="AE343" s="558"/>
      <c r="AH343" s="535"/>
      <c r="AI343" s="558"/>
      <c r="AL343" s="535"/>
      <c r="AP343" s="535"/>
    </row>
    <row r="344">
      <c r="A344" s="552"/>
      <c r="B344" s="552"/>
      <c r="N344" s="535"/>
      <c r="O344" s="558"/>
      <c r="R344" s="535"/>
      <c r="S344" s="558"/>
      <c r="V344" s="535"/>
      <c r="W344" s="558"/>
      <c r="Z344" s="535"/>
      <c r="AA344" s="558"/>
      <c r="AD344" s="535"/>
      <c r="AE344" s="558"/>
      <c r="AH344" s="535"/>
      <c r="AI344" s="558"/>
      <c r="AL344" s="535"/>
      <c r="AP344" s="535"/>
    </row>
    <row r="345">
      <c r="A345" s="552"/>
      <c r="B345" s="552"/>
      <c r="N345" s="535"/>
      <c r="O345" s="558"/>
      <c r="R345" s="535"/>
      <c r="S345" s="558"/>
      <c r="V345" s="535"/>
      <c r="W345" s="558"/>
      <c r="Z345" s="535"/>
      <c r="AA345" s="558"/>
      <c r="AD345" s="535"/>
      <c r="AE345" s="558"/>
      <c r="AH345" s="535"/>
      <c r="AI345" s="558"/>
      <c r="AL345" s="535"/>
      <c r="AP345" s="535"/>
    </row>
    <row r="346">
      <c r="A346" s="552"/>
      <c r="B346" s="552"/>
      <c r="N346" s="535"/>
      <c r="O346" s="558"/>
      <c r="R346" s="535"/>
      <c r="S346" s="558"/>
      <c r="V346" s="535"/>
      <c r="W346" s="558"/>
      <c r="Z346" s="535"/>
      <c r="AA346" s="558"/>
      <c r="AD346" s="535"/>
      <c r="AE346" s="558"/>
      <c r="AH346" s="535"/>
      <c r="AI346" s="558"/>
      <c r="AL346" s="535"/>
      <c r="AP346" s="535"/>
    </row>
    <row r="347">
      <c r="A347" s="552"/>
      <c r="B347" s="552"/>
      <c r="N347" s="535"/>
      <c r="O347" s="558"/>
      <c r="R347" s="535"/>
      <c r="S347" s="558"/>
      <c r="V347" s="535"/>
      <c r="W347" s="558"/>
      <c r="Z347" s="535"/>
      <c r="AA347" s="558"/>
      <c r="AD347" s="535"/>
      <c r="AE347" s="558"/>
      <c r="AH347" s="535"/>
      <c r="AI347" s="558"/>
      <c r="AL347" s="535"/>
      <c r="AP347" s="535"/>
    </row>
    <row r="348">
      <c r="A348" s="552"/>
      <c r="B348" s="552"/>
      <c r="N348" s="535"/>
      <c r="O348" s="558"/>
      <c r="R348" s="535"/>
      <c r="S348" s="558"/>
      <c r="V348" s="535"/>
      <c r="W348" s="558"/>
      <c r="Z348" s="535"/>
      <c r="AA348" s="558"/>
      <c r="AD348" s="535"/>
      <c r="AE348" s="558"/>
      <c r="AH348" s="535"/>
      <c r="AI348" s="558"/>
      <c r="AL348" s="535"/>
      <c r="AP348" s="535"/>
    </row>
    <row r="349">
      <c r="A349" s="552"/>
      <c r="B349" s="552"/>
      <c r="N349" s="535"/>
      <c r="O349" s="558"/>
      <c r="R349" s="535"/>
      <c r="S349" s="558"/>
      <c r="V349" s="535"/>
      <c r="W349" s="558"/>
      <c r="Z349" s="535"/>
      <c r="AA349" s="558"/>
      <c r="AD349" s="535"/>
      <c r="AE349" s="558"/>
      <c r="AH349" s="535"/>
      <c r="AI349" s="558"/>
      <c r="AL349" s="535"/>
      <c r="AP349" s="535"/>
    </row>
    <row r="350">
      <c r="A350" s="552"/>
      <c r="B350" s="552"/>
      <c r="N350" s="535"/>
      <c r="O350" s="558"/>
      <c r="R350" s="535"/>
      <c r="S350" s="558"/>
      <c r="V350" s="535"/>
      <c r="W350" s="558"/>
      <c r="Z350" s="535"/>
      <c r="AA350" s="558"/>
      <c r="AD350" s="535"/>
      <c r="AE350" s="558"/>
      <c r="AH350" s="535"/>
      <c r="AI350" s="558"/>
      <c r="AL350" s="535"/>
      <c r="AP350" s="535"/>
    </row>
    <row r="351">
      <c r="A351" s="552"/>
      <c r="B351" s="552"/>
      <c r="N351" s="535"/>
      <c r="O351" s="558"/>
      <c r="R351" s="535"/>
      <c r="S351" s="558"/>
      <c r="V351" s="535"/>
      <c r="W351" s="558"/>
      <c r="Z351" s="535"/>
      <c r="AA351" s="558"/>
      <c r="AD351" s="535"/>
      <c r="AE351" s="558"/>
      <c r="AH351" s="535"/>
      <c r="AI351" s="558"/>
      <c r="AL351" s="535"/>
      <c r="AP351" s="535"/>
    </row>
    <row r="352">
      <c r="A352" s="552"/>
      <c r="B352" s="552"/>
      <c r="N352" s="535"/>
      <c r="O352" s="558"/>
      <c r="R352" s="535"/>
      <c r="S352" s="558"/>
      <c r="V352" s="535"/>
      <c r="W352" s="558"/>
      <c r="Z352" s="535"/>
      <c r="AA352" s="558"/>
      <c r="AD352" s="535"/>
      <c r="AE352" s="558"/>
      <c r="AH352" s="535"/>
      <c r="AI352" s="558"/>
      <c r="AL352" s="535"/>
      <c r="AP352" s="535"/>
    </row>
    <row r="353">
      <c r="A353" s="552"/>
      <c r="B353" s="552"/>
      <c r="N353" s="535"/>
      <c r="O353" s="558"/>
      <c r="R353" s="535"/>
      <c r="S353" s="558"/>
      <c r="V353" s="535"/>
      <c r="W353" s="558"/>
      <c r="Z353" s="535"/>
      <c r="AA353" s="558"/>
      <c r="AD353" s="535"/>
      <c r="AE353" s="558"/>
      <c r="AH353" s="535"/>
      <c r="AI353" s="558"/>
      <c r="AL353" s="535"/>
      <c r="AP353" s="535"/>
    </row>
    <row r="354">
      <c r="A354" s="552"/>
      <c r="B354" s="552"/>
      <c r="N354" s="535"/>
      <c r="O354" s="558"/>
      <c r="R354" s="535"/>
      <c r="S354" s="558"/>
      <c r="V354" s="535"/>
      <c r="W354" s="558"/>
      <c r="Z354" s="535"/>
      <c r="AA354" s="558"/>
      <c r="AD354" s="535"/>
      <c r="AE354" s="558"/>
      <c r="AH354" s="535"/>
      <c r="AI354" s="558"/>
      <c r="AL354" s="535"/>
      <c r="AP354" s="535"/>
    </row>
    <row r="355">
      <c r="A355" s="552"/>
      <c r="B355" s="552"/>
      <c r="N355" s="535"/>
      <c r="O355" s="558"/>
      <c r="R355" s="535"/>
      <c r="S355" s="558"/>
      <c r="V355" s="535"/>
      <c r="W355" s="558"/>
      <c r="Z355" s="535"/>
      <c r="AA355" s="558"/>
      <c r="AD355" s="535"/>
      <c r="AE355" s="558"/>
      <c r="AH355" s="535"/>
      <c r="AI355" s="558"/>
      <c r="AL355" s="535"/>
      <c r="AP355" s="535"/>
    </row>
    <row r="356">
      <c r="A356" s="552"/>
      <c r="B356" s="552"/>
      <c r="N356" s="535"/>
      <c r="O356" s="558"/>
      <c r="R356" s="535"/>
      <c r="S356" s="558"/>
      <c r="V356" s="535"/>
      <c r="W356" s="558"/>
      <c r="Z356" s="535"/>
      <c r="AA356" s="558"/>
      <c r="AD356" s="535"/>
      <c r="AE356" s="558"/>
      <c r="AH356" s="535"/>
      <c r="AI356" s="558"/>
      <c r="AL356" s="535"/>
      <c r="AP356" s="535"/>
    </row>
    <row r="357">
      <c r="A357" s="552"/>
      <c r="B357" s="552"/>
      <c r="N357" s="535"/>
      <c r="O357" s="558"/>
      <c r="R357" s="535"/>
      <c r="S357" s="558"/>
      <c r="V357" s="535"/>
      <c r="W357" s="558"/>
      <c r="Z357" s="535"/>
      <c r="AA357" s="558"/>
      <c r="AD357" s="535"/>
      <c r="AE357" s="558"/>
      <c r="AH357" s="535"/>
      <c r="AI357" s="558"/>
      <c r="AL357" s="535"/>
      <c r="AP357" s="535"/>
    </row>
    <row r="358">
      <c r="A358" s="552"/>
      <c r="B358" s="552"/>
      <c r="N358" s="535"/>
      <c r="O358" s="558"/>
      <c r="R358" s="535"/>
      <c r="S358" s="558"/>
      <c r="V358" s="535"/>
      <c r="W358" s="558"/>
      <c r="Z358" s="535"/>
      <c r="AA358" s="558"/>
      <c r="AD358" s="535"/>
      <c r="AE358" s="558"/>
      <c r="AH358" s="535"/>
      <c r="AI358" s="558"/>
      <c r="AL358" s="535"/>
      <c r="AP358" s="535"/>
    </row>
    <row r="359">
      <c r="A359" s="552"/>
      <c r="B359" s="552"/>
      <c r="N359" s="535"/>
      <c r="O359" s="558"/>
      <c r="R359" s="535"/>
      <c r="S359" s="558"/>
      <c r="V359" s="535"/>
      <c r="W359" s="558"/>
      <c r="Z359" s="535"/>
      <c r="AA359" s="558"/>
      <c r="AD359" s="535"/>
      <c r="AE359" s="558"/>
      <c r="AH359" s="535"/>
      <c r="AI359" s="558"/>
      <c r="AL359" s="535"/>
      <c r="AP359" s="535"/>
    </row>
    <row r="360">
      <c r="A360" s="552"/>
      <c r="B360" s="552"/>
      <c r="N360" s="535"/>
      <c r="O360" s="558"/>
      <c r="R360" s="535"/>
      <c r="S360" s="558"/>
      <c r="V360" s="535"/>
      <c r="W360" s="558"/>
      <c r="Z360" s="535"/>
      <c r="AA360" s="558"/>
      <c r="AD360" s="535"/>
      <c r="AE360" s="558"/>
      <c r="AH360" s="535"/>
      <c r="AI360" s="558"/>
      <c r="AL360" s="535"/>
      <c r="AP360" s="535"/>
    </row>
    <row r="361">
      <c r="A361" s="552"/>
      <c r="B361" s="552"/>
      <c r="N361" s="535"/>
      <c r="O361" s="558"/>
      <c r="R361" s="535"/>
      <c r="S361" s="558"/>
      <c r="V361" s="535"/>
      <c r="W361" s="558"/>
      <c r="Z361" s="535"/>
      <c r="AA361" s="558"/>
      <c r="AD361" s="535"/>
      <c r="AE361" s="558"/>
      <c r="AH361" s="535"/>
      <c r="AI361" s="558"/>
      <c r="AL361" s="535"/>
      <c r="AP361" s="535"/>
    </row>
    <row r="362">
      <c r="A362" s="552"/>
      <c r="B362" s="552"/>
      <c r="N362" s="535"/>
      <c r="O362" s="558"/>
      <c r="R362" s="535"/>
      <c r="S362" s="558"/>
      <c r="V362" s="535"/>
      <c r="W362" s="558"/>
      <c r="Z362" s="535"/>
      <c r="AA362" s="558"/>
      <c r="AD362" s="535"/>
      <c r="AE362" s="558"/>
      <c r="AH362" s="535"/>
      <c r="AI362" s="558"/>
      <c r="AL362" s="535"/>
      <c r="AP362" s="535"/>
    </row>
    <row r="363">
      <c r="A363" s="552"/>
      <c r="B363" s="552"/>
      <c r="N363" s="535"/>
      <c r="O363" s="558"/>
      <c r="R363" s="535"/>
      <c r="S363" s="558"/>
      <c r="V363" s="535"/>
      <c r="W363" s="558"/>
      <c r="Z363" s="535"/>
      <c r="AA363" s="558"/>
      <c r="AD363" s="535"/>
      <c r="AE363" s="558"/>
      <c r="AH363" s="535"/>
      <c r="AI363" s="558"/>
      <c r="AL363" s="535"/>
      <c r="AP363" s="535"/>
    </row>
    <row r="364">
      <c r="A364" s="552"/>
      <c r="B364" s="552"/>
      <c r="N364" s="535"/>
      <c r="O364" s="558"/>
      <c r="R364" s="535"/>
      <c r="S364" s="558"/>
      <c r="V364" s="535"/>
      <c r="W364" s="558"/>
      <c r="Z364" s="535"/>
      <c r="AA364" s="558"/>
      <c r="AD364" s="535"/>
      <c r="AE364" s="558"/>
      <c r="AH364" s="535"/>
      <c r="AI364" s="558"/>
      <c r="AL364" s="535"/>
      <c r="AP364" s="535"/>
    </row>
    <row r="365">
      <c r="A365" s="552"/>
      <c r="B365" s="552"/>
      <c r="N365" s="535"/>
      <c r="O365" s="558"/>
      <c r="R365" s="535"/>
      <c r="S365" s="558"/>
      <c r="V365" s="535"/>
      <c r="W365" s="558"/>
      <c r="Z365" s="535"/>
      <c r="AA365" s="558"/>
      <c r="AD365" s="535"/>
      <c r="AE365" s="558"/>
      <c r="AH365" s="535"/>
      <c r="AI365" s="558"/>
      <c r="AL365" s="535"/>
      <c r="AP365" s="535"/>
    </row>
    <row r="366">
      <c r="A366" s="552"/>
      <c r="B366" s="552"/>
      <c r="N366" s="535"/>
      <c r="O366" s="558"/>
      <c r="R366" s="535"/>
      <c r="S366" s="558"/>
      <c r="V366" s="535"/>
      <c r="W366" s="558"/>
      <c r="Z366" s="535"/>
      <c r="AA366" s="558"/>
      <c r="AD366" s="535"/>
      <c r="AE366" s="558"/>
      <c r="AH366" s="535"/>
      <c r="AI366" s="558"/>
      <c r="AL366" s="535"/>
      <c r="AP366" s="535"/>
    </row>
    <row r="367">
      <c r="A367" s="552"/>
      <c r="B367" s="552"/>
      <c r="N367" s="535"/>
      <c r="O367" s="558"/>
      <c r="R367" s="535"/>
      <c r="S367" s="558"/>
      <c r="V367" s="535"/>
      <c r="W367" s="558"/>
      <c r="Z367" s="535"/>
      <c r="AA367" s="558"/>
      <c r="AD367" s="535"/>
      <c r="AE367" s="558"/>
      <c r="AH367" s="535"/>
      <c r="AI367" s="558"/>
      <c r="AL367" s="535"/>
      <c r="AP367" s="535"/>
    </row>
    <row r="368">
      <c r="A368" s="552"/>
      <c r="B368" s="552"/>
      <c r="N368" s="535"/>
      <c r="O368" s="558"/>
      <c r="R368" s="535"/>
      <c r="S368" s="558"/>
      <c r="V368" s="535"/>
      <c r="W368" s="558"/>
      <c r="Z368" s="535"/>
      <c r="AA368" s="558"/>
      <c r="AD368" s="535"/>
      <c r="AE368" s="558"/>
      <c r="AH368" s="535"/>
      <c r="AI368" s="558"/>
      <c r="AL368" s="535"/>
      <c r="AP368" s="535"/>
    </row>
    <row r="369">
      <c r="A369" s="552"/>
      <c r="B369" s="552"/>
      <c r="N369" s="535"/>
      <c r="O369" s="558"/>
      <c r="R369" s="535"/>
      <c r="S369" s="558"/>
      <c r="V369" s="535"/>
      <c r="W369" s="558"/>
      <c r="Z369" s="535"/>
      <c r="AA369" s="558"/>
      <c r="AD369" s="535"/>
      <c r="AE369" s="558"/>
      <c r="AH369" s="535"/>
      <c r="AI369" s="558"/>
      <c r="AL369" s="535"/>
      <c r="AP369" s="535"/>
    </row>
    <row r="370">
      <c r="A370" s="552"/>
      <c r="B370" s="552"/>
      <c r="N370" s="535"/>
      <c r="O370" s="558"/>
      <c r="R370" s="535"/>
      <c r="S370" s="558"/>
      <c r="V370" s="535"/>
      <c r="W370" s="558"/>
      <c r="Z370" s="535"/>
      <c r="AA370" s="558"/>
      <c r="AD370" s="535"/>
      <c r="AE370" s="558"/>
      <c r="AH370" s="535"/>
      <c r="AI370" s="558"/>
      <c r="AL370" s="535"/>
      <c r="AP370" s="535"/>
    </row>
    <row r="371">
      <c r="A371" s="552"/>
      <c r="B371" s="552"/>
      <c r="N371" s="535"/>
      <c r="O371" s="558"/>
      <c r="R371" s="535"/>
      <c r="S371" s="558"/>
      <c r="V371" s="535"/>
      <c r="W371" s="558"/>
      <c r="Z371" s="535"/>
      <c r="AA371" s="558"/>
      <c r="AD371" s="535"/>
      <c r="AE371" s="558"/>
      <c r="AH371" s="535"/>
      <c r="AI371" s="558"/>
      <c r="AL371" s="535"/>
      <c r="AP371" s="535"/>
    </row>
    <row r="372">
      <c r="A372" s="552"/>
      <c r="B372" s="552"/>
      <c r="N372" s="535"/>
      <c r="O372" s="558"/>
      <c r="R372" s="535"/>
      <c r="S372" s="558"/>
      <c r="V372" s="535"/>
      <c r="W372" s="558"/>
      <c r="Z372" s="535"/>
      <c r="AA372" s="558"/>
      <c r="AD372" s="535"/>
      <c r="AE372" s="558"/>
      <c r="AH372" s="535"/>
      <c r="AI372" s="558"/>
      <c r="AL372" s="535"/>
      <c r="AP372" s="535"/>
    </row>
    <row r="373">
      <c r="A373" s="552"/>
      <c r="B373" s="552"/>
      <c r="N373" s="535"/>
      <c r="O373" s="558"/>
      <c r="R373" s="535"/>
      <c r="S373" s="558"/>
      <c r="V373" s="535"/>
      <c r="W373" s="558"/>
      <c r="Z373" s="535"/>
      <c r="AA373" s="558"/>
      <c r="AD373" s="535"/>
      <c r="AE373" s="558"/>
      <c r="AH373" s="535"/>
      <c r="AI373" s="558"/>
      <c r="AL373" s="535"/>
      <c r="AP373" s="535"/>
    </row>
    <row r="374">
      <c r="A374" s="552"/>
      <c r="B374" s="552"/>
      <c r="N374" s="535"/>
      <c r="O374" s="558"/>
      <c r="R374" s="535"/>
      <c r="S374" s="558"/>
      <c r="V374" s="535"/>
      <c r="W374" s="558"/>
      <c r="Z374" s="535"/>
      <c r="AA374" s="558"/>
      <c r="AD374" s="535"/>
      <c r="AE374" s="558"/>
      <c r="AH374" s="535"/>
      <c r="AI374" s="558"/>
      <c r="AL374" s="535"/>
      <c r="AP374" s="535"/>
    </row>
    <row r="375">
      <c r="A375" s="552"/>
      <c r="B375" s="552"/>
      <c r="N375" s="535"/>
      <c r="O375" s="558"/>
      <c r="R375" s="535"/>
      <c r="S375" s="558"/>
      <c r="V375" s="535"/>
      <c r="W375" s="558"/>
      <c r="Z375" s="535"/>
      <c r="AA375" s="558"/>
      <c r="AD375" s="535"/>
      <c r="AE375" s="558"/>
      <c r="AH375" s="535"/>
      <c r="AI375" s="558"/>
      <c r="AL375" s="535"/>
      <c r="AP375" s="535"/>
    </row>
    <row r="376">
      <c r="A376" s="552"/>
      <c r="B376" s="552"/>
      <c r="N376" s="535"/>
      <c r="O376" s="558"/>
      <c r="R376" s="535"/>
      <c r="S376" s="558"/>
      <c r="V376" s="535"/>
      <c r="W376" s="558"/>
      <c r="Z376" s="535"/>
      <c r="AA376" s="558"/>
      <c r="AD376" s="535"/>
      <c r="AE376" s="558"/>
      <c r="AH376" s="535"/>
      <c r="AI376" s="558"/>
      <c r="AL376" s="535"/>
      <c r="AP376" s="535"/>
    </row>
    <row r="377">
      <c r="A377" s="552"/>
      <c r="B377" s="552"/>
      <c r="N377" s="535"/>
      <c r="O377" s="558"/>
      <c r="R377" s="535"/>
      <c r="S377" s="558"/>
      <c r="V377" s="535"/>
      <c r="W377" s="558"/>
      <c r="Z377" s="535"/>
      <c r="AA377" s="558"/>
      <c r="AD377" s="535"/>
      <c r="AE377" s="558"/>
      <c r="AH377" s="535"/>
      <c r="AI377" s="558"/>
      <c r="AL377" s="535"/>
      <c r="AP377" s="535"/>
    </row>
    <row r="378">
      <c r="A378" s="552"/>
      <c r="B378" s="552"/>
      <c r="N378" s="535"/>
      <c r="O378" s="558"/>
      <c r="R378" s="535"/>
      <c r="S378" s="558"/>
      <c r="V378" s="535"/>
      <c r="W378" s="558"/>
      <c r="Z378" s="535"/>
      <c r="AA378" s="558"/>
      <c r="AD378" s="535"/>
      <c r="AE378" s="558"/>
      <c r="AH378" s="535"/>
      <c r="AI378" s="558"/>
      <c r="AL378" s="535"/>
      <c r="AP378" s="535"/>
    </row>
    <row r="379">
      <c r="A379" s="552"/>
      <c r="B379" s="552"/>
      <c r="N379" s="535"/>
      <c r="O379" s="558"/>
      <c r="R379" s="535"/>
      <c r="S379" s="558"/>
      <c r="V379" s="535"/>
      <c r="W379" s="558"/>
      <c r="Z379" s="535"/>
      <c r="AA379" s="558"/>
      <c r="AD379" s="535"/>
      <c r="AE379" s="558"/>
      <c r="AH379" s="535"/>
      <c r="AI379" s="558"/>
      <c r="AL379" s="535"/>
      <c r="AP379" s="535"/>
    </row>
    <row r="380">
      <c r="A380" s="552"/>
      <c r="B380" s="552"/>
      <c r="N380" s="535"/>
      <c r="O380" s="558"/>
      <c r="R380" s="535"/>
      <c r="S380" s="558"/>
      <c r="V380" s="535"/>
      <c r="W380" s="558"/>
      <c r="Z380" s="535"/>
      <c r="AA380" s="558"/>
      <c r="AD380" s="535"/>
      <c r="AE380" s="558"/>
      <c r="AH380" s="535"/>
      <c r="AI380" s="558"/>
      <c r="AL380" s="535"/>
      <c r="AP380" s="535"/>
    </row>
    <row r="381">
      <c r="A381" s="552"/>
      <c r="B381" s="552"/>
      <c r="N381" s="535"/>
      <c r="O381" s="558"/>
      <c r="R381" s="535"/>
      <c r="S381" s="558"/>
      <c r="V381" s="535"/>
      <c r="W381" s="558"/>
      <c r="Z381" s="535"/>
      <c r="AA381" s="558"/>
      <c r="AD381" s="535"/>
      <c r="AE381" s="558"/>
      <c r="AH381" s="535"/>
      <c r="AI381" s="558"/>
      <c r="AL381" s="535"/>
      <c r="AP381" s="535"/>
    </row>
    <row r="382">
      <c r="A382" s="552"/>
      <c r="B382" s="552"/>
      <c r="N382" s="535"/>
      <c r="O382" s="558"/>
      <c r="R382" s="535"/>
      <c r="S382" s="558"/>
      <c r="V382" s="535"/>
      <c r="W382" s="558"/>
      <c r="Z382" s="535"/>
      <c r="AA382" s="558"/>
      <c r="AD382" s="535"/>
      <c r="AE382" s="558"/>
      <c r="AH382" s="535"/>
      <c r="AI382" s="558"/>
      <c r="AL382" s="535"/>
      <c r="AP382" s="535"/>
    </row>
    <row r="383">
      <c r="A383" s="552"/>
      <c r="B383" s="552"/>
      <c r="N383" s="535"/>
      <c r="O383" s="558"/>
      <c r="R383" s="535"/>
      <c r="S383" s="558"/>
      <c r="V383" s="535"/>
      <c r="W383" s="558"/>
      <c r="Z383" s="535"/>
      <c r="AA383" s="558"/>
      <c r="AD383" s="535"/>
      <c r="AE383" s="558"/>
      <c r="AH383" s="535"/>
      <c r="AI383" s="558"/>
      <c r="AL383" s="535"/>
      <c r="AP383" s="535"/>
    </row>
    <row r="384">
      <c r="A384" s="552"/>
      <c r="B384" s="552"/>
      <c r="N384" s="535"/>
      <c r="O384" s="558"/>
      <c r="R384" s="535"/>
      <c r="S384" s="558"/>
      <c r="V384" s="535"/>
      <c r="W384" s="558"/>
      <c r="Z384" s="535"/>
      <c r="AA384" s="558"/>
      <c r="AD384" s="535"/>
      <c r="AE384" s="558"/>
      <c r="AH384" s="535"/>
      <c r="AI384" s="558"/>
      <c r="AL384" s="535"/>
      <c r="AP384" s="535"/>
    </row>
    <row r="385">
      <c r="A385" s="552"/>
      <c r="B385" s="552"/>
      <c r="N385" s="535"/>
      <c r="O385" s="558"/>
      <c r="R385" s="535"/>
      <c r="S385" s="558"/>
      <c r="V385" s="535"/>
      <c r="W385" s="558"/>
      <c r="Z385" s="535"/>
      <c r="AA385" s="558"/>
      <c r="AD385" s="535"/>
      <c r="AE385" s="558"/>
      <c r="AH385" s="535"/>
      <c r="AI385" s="558"/>
      <c r="AL385" s="535"/>
      <c r="AP385" s="535"/>
    </row>
    <row r="386">
      <c r="A386" s="552"/>
      <c r="B386" s="552"/>
      <c r="N386" s="535"/>
      <c r="O386" s="558"/>
      <c r="R386" s="535"/>
      <c r="S386" s="558"/>
      <c r="V386" s="535"/>
      <c r="W386" s="558"/>
      <c r="Z386" s="535"/>
      <c r="AA386" s="558"/>
      <c r="AD386" s="535"/>
      <c r="AE386" s="558"/>
      <c r="AH386" s="535"/>
      <c r="AI386" s="558"/>
      <c r="AL386" s="535"/>
      <c r="AP386" s="535"/>
    </row>
    <row r="387">
      <c r="A387" s="552"/>
      <c r="B387" s="552"/>
      <c r="N387" s="535"/>
      <c r="O387" s="558"/>
      <c r="R387" s="535"/>
      <c r="S387" s="558"/>
      <c r="V387" s="535"/>
      <c r="W387" s="558"/>
      <c r="Z387" s="535"/>
      <c r="AA387" s="558"/>
      <c r="AD387" s="535"/>
      <c r="AE387" s="558"/>
      <c r="AH387" s="535"/>
      <c r="AI387" s="558"/>
      <c r="AL387" s="535"/>
      <c r="AP387" s="535"/>
    </row>
    <row r="388">
      <c r="A388" s="552"/>
      <c r="B388" s="552"/>
      <c r="N388" s="535"/>
      <c r="O388" s="558"/>
      <c r="R388" s="535"/>
      <c r="S388" s="558"/>
      <c r="V388" s="535"/>
      <c r="W388" s="558"/>
      <c r="Z388" s="535"/>
      <c r="AA388" s="558"/>
      <c r="AD388" s="535"/>
      <c r="AE388" s="558"/>
      <c r="AH388" s="535"/>
      <c r="AI388" s="558"/>
      <c r="AL388" s="535"/>
      <c r="AP388" s="535"/>
    </row>
    <row r="389">
      <c r="A389" s="552"/>
      <c r="B389" s="552"/>
      <c r="N389" s="535"/>
      <c r="O389" s="558"/>
      <c r="R389" s="535"/>
      <c r="S389" s="558"/>
      <c r="V389" s="535"/>
      <c r="W389" s="558"/>
      <c r="Z389" s="535"/>
      <c r="AA389" s="558"/>
      <c r="AD389" s="535"/>
      <c r="AE389" s="558"/>
      <c r="AH389" s="535"/>
      <c r="AI389" s="558"/>
      <c r="AL389" s="535"/>
      <c r="AP389" s="535"/>
    </row>
    <row r="390">
      <c r="A390" s="552"/>
      <c r="B390" s="552"/>
      <c r="N390" s="535"/>
      <c r="O390" s="558"/>
      <c r="R390" s="535"/>
      <c r="S390" s="558"/>
      <c r="V390" s="535"/>
      <c r="W390" s="558"/>
      <c r="Z390" s="535"/>
      <c r="AA390" s="558"/>
      <c r="AD390" s="535"/>
      <c r="AE390" s="558"/>
      <c r="AH390" s="535"/>
      <c r="AI390" s="558"/>
      <c r="AL390" s="535"/>
      <c r="AP390" s="535"/>
    </row>
    <row r="391">
      <c r="A391" s="552"/>
      <c r="B391" s="552"/>
      <c r="N391" s="535"/>
      <c r="O391" s="558"/>
      <c r="R391" s="535"/>
      <c r="S391" s="558"/>
      <c r="V391" s="535"/>
      <c r="W391" s="558"/>
      <c r="Z391" s="535"/>
      <c r="AA391" s="558"/>
      <c r="AD391" s="535"/>
      <c r="AE391" s="558"/>
      <c r="AH391" s="535"/>
      <c r="AI391" s="558"/>
      <c r="AL391" s="535"/>
      <c r="AP391" s="535"/>
    </row>
    <row r="392">
      <c r="A392" s="552"/>
      <c r="B392" s="552"/>
      <c r="N392" s="535"/>
      <c r="O392" s="558"/>
      <c r="R392" s="535"/>
      <c r="S392" s="558"/>
      <c r="V392" s="535"/>
      <c r="W392" s="558"/>
      <c r="Z392" s="535"/>
      <c r="AA392" s="558"/>
      <c r="AD392" s="535"/>
      <c r="AE392" s="558"/>
      <c r="AH392" s="535"/>
      <c r="AI392" s="558"/>
      <c r="AL392" s="535"/>
      <c r="AP392" s="535"/>
    </row>
    <row r="393">
      <c r="A393" s="552"/>
      <c r="B393" s="552"/>
      <c r="N393" s="535"/>
      <c r="O393" s="558"/>
      <c r="R393" s="535"/>
      <c r="S393" s="558"/>
      <c r="V393" s="535"/>
      <c r="W393" s="558"/>
      <c r="Z393" s="535"/>
      <c r="AA393" s="558"/>
      <c r="AD393" s="535"/>
      <c r="AE393" s="558"/>
      <c r="AH393" s="535"/>
      <c r="AI393" s="558"/>
      <c r="AL393" s="535"/>
      <c r="AP393" s="535"/>
    </row>
    <row r="394">
      <c r="A394" s="552"/>
      <c r="B394" s="552"/>
      <c r="N394" s="535"/>
      <c r="O394" s="558"/>
      <c r="R394" s="535"/>
      <c r="S394" s="558"/>
      <c r="V394" s="535"/>
      <c r="W394" s="558"/>
      <c r="Z394" s="535"/>
      <c r="AA394" s="558"/>
      <c r="AD394" s="535"/>
      <c r="AE394" s="558"/>
      <c r="AH394" s="535"/>
      <c r="AI394" s="558"/>
      <c r="AL394" s="535"/>
      <c r="AP394" s="535"/>
    </row>
    <row r="395">
      <c r="A395" s="552"/>
      <c r="B395" s="552"/>
      <c r="N395" s="535"/>
      <c r="O395" s="558"/>
      <c r="R395" s="535"/>
      <c r="S395" s="558"/>
      <c r="V395" s="535"/>
      <c r="W395" s="558"/>
      <c r="Z395" s="535"/>
      <c r="AA395" s="558"/>
      <c r="AD395" s="535"/>
      <c r="AE395" s="558"/>
      <c r="AH395" s="535"/>
      <c r="AI395" s="558"/>
      <c r="AL395" s="535"/>
      <c r="AP395" s="535"/>
    </row>
    <row r="396">
      <c r="A396" s="552"/>
      <c r="B396" s="552"/>
      <c r="N396" s="535"/>
      <c r="O396" s="558"/>
      <c r="R396" s="535"/>
      <c r="S396" s="558"/>
      <c r="V396" s="535"/>
      <c r="W396" s="558"/>
      <c r="Z396" s="535"/>
      <c r="AA396" s="558"/>
      <c r="AD396" s="535"/>
      <c r="AE396" s="558"/>
      <c r="AH396" s="535"/>
      <c r="AI396" s="558"/>
      <c r="AL396" s="535"/>
      <c r="AP396" s="535"/>
    </row>
    <row r="397">
      <c r="A397" s="552"/>
      <c r="B397" s="552"/>
      <c r="N397" s="535"/>
      <c r="O397" s="558"/>
      <c r="R397" s="535"/>
      <c r="S397" s="558"/>
      <c r="V397" s="535"/>
      <c r="W397" s="558"/>
      <c r="Z397" s="535"/>
      <c r="AA397" s="558"/>
      <c r="AD397" s="535"/>
      <c r="AE397" s="558"/>
      <c r="AH397" s="535"/>
      <c r="AI397" s="558"/>
      <c r="AL397" s="535"/>
      <c r="AP397" s="535"/>
    </row>
    <row r="398">
      <c r="A398" s="552"/>
      <c r="B398" s="552"/>
      <c r="N398" s="535"/>
      <c r="O398" s="558"/>
      <c r="R398" s="535"/>
      <c r="S398" s="558"/>
      <c r="V398" s="535"/>
      <c r="W398" s="558"/>
      <c r="Z398" s="535"/>
      <c r="AA398" s="558"/>
      <c r="AD398" s="535"/>
      <c r="AE398" s="558"/>
      <c r="AH398" s="535"/>
      <c r="AI398" s="558"/>
      <c r="AL398" s="535"/>
      <c r="AP398" s="535"/>
    </row>
    <row r="399">
      <c r="A399" s="552"/>
      <c r="B399" s="552"/>
      <c r="N399" s="535"/>
      <c r="O399" s="558"/>
      <c r="R399" s="535"/>
      <c r="S399" s="558"/>
      <c r="V399" s="535"/>
      <c r="W399" s="558"/>
      <c r="Z399" s="535"/>
      <c r="AA399" s="558"/>
      <c r="AD399" s="535"/>
      <c r="AE399" s="558"/>
      <c r="AH399" s="535"/>
      <c r="AI399" s="558"/>
      <c r="AL399" s="535"/>
      <c r="AP399" s="535"/>
    </row>
    <row r="400">
      <c r="A400" s="552"/>
      <c r="B400" s="552"/>
      <c r="N400" s="535"/>
      <c r="O400" s="558"/>
      <c r="R400" s="535"/>
      <c r="S400" s="558"/>
      <c r="V400" s="535"/>
      <c r="W400" s="558"/>
      <c r="Z400" s="535"/>
      <c r="AA400" s="558"/>
      <c r="AD400" s="535"/>
      <c r="AE400" s="558"/>
      <c r="AH400" s="535"/>
      <c r="AI400" s="558"/>
      <c r="AL400" s="535"/>
      <c r="AP400" s="535"/>
    </row>
    <row r="401">
      <c r="A401" s="552"/>
      <c r="B401" s="552"/>
      <c r="N401" s="535"/>
      <c r="O401" s="558"/>
      <c r="R401" s="535"/>
      <c r="S401" s="558"/>
      <c r="V401" s="535"/>
      <c r="W401" s="558"/>
      <c r="Z401" s="535"/>
      <c r="AA401" s="558"/>
      <c r="AD401" s="535"/>
      <c r="AE401" s="558"/>
      <c r="AH401" s="535"/>
      <c r="AI401" s="558"/>
      <c r="AL401" s="535"/>
      <c r="AP401" s="535"/>
    </row>
    <row r="402">
      <c r="A402" s="552"/>
      <c r="B402" s="552"/>
      <c r="N402" s="535"/>
      <c r="O402" s="558"/>
      <c r="R402" s="535"/>
      <c r="S402" s="558"/>
      <c r="V402" s="535"/>
      <c r="W402" s="558"/>
      <c r="Z402" s="535"/>
      <c r="AA402" s="558"/>
      <c r="AD402" s="535"/>
      <c r="AE402" s="558"/>
      <c r="AH402" s="535"/>
      <c r="AI402" s="558"/>
      <c r="AL402" s="535"/>
      <c r="AP402" s="535"/>
    </row>
    <row r="403">
      <c r="A403" s="552"/>
      <c r="B403" s="552"/>
      <c r="N403" s="535"/>
      <c r="O403" s="558"/>
      <c r="R403" s="535"/>
      <c r="S403" s="558"/>
      <c r="V403" s="535"/>
      <c r="W403" s="558"/>
      <c r="Z403" s="535"/>
      <c r="AA403" s="558"/>
      <c r="AD403" s="535"/>
      <c r="AE403" s="558"/>
      <c r="AH403" s="535"/>
      <c r="AI403" s="558"/>
      <c r="AL403" s="535"/>
      <c r="AP403" s="535"/>
    </row>
    <row r="404">
      <c r="A404" s="552"/>
      <c r="B404" s="552"/>
      <c r="N404" s="535"/>
      <c r="O404" s="558"/>
      <c r="R404" s="535"/>
      <c r="S404" s="558"/>
      <c r="V404" s="535"/>
      <c r="W404" s="558"/>
      <c r="Z404" s="535"/>
      <c r="AA404" s="558"/>
      <c r="AD404" s="535"/>
      <c r="AE404" s="558"/>
      <c r="AH404" s="535"/>
      <c r="AI404" s="558"/>
      <c r="AL404" s="535"/>
      <c r="AP404" s="535"/>
    </row>
    <row r="405">
      <c r="A405" s="552"/>
      <c r="B405" s="552"/>
      <c r="N405" s="535"/>
      <c r="O405" s="558"/>
      <c r="R405" s="535"/>
      <c r="S405" s="558"/>
      <c r="V405" s="535"/>
      <c r="W405" s="558"/>
      <c r="Z405" s="535"/>
      <c r="AA405" s="558"/>
      <c r="AD405" s="535"/>
      <c r="AE405" s="558"/>
      <c r="AH405" s="535"/>
      <c r="AI405" s="558"/>
      <c r="AL405" s="535"/>
      <c r="AP405" s="535"/>
    </row>
    <row r="406">
      <c r="A406" s="552"/>
      <c r="B406" s="552"/>
      <c r="N406" s="535"/>
      <c r="O406" s="558"/>
      <c r="R406" s="535"/>
      <c r="S406" s="558"/>
      <c r="V406" s="535"/>
      <c r="W406" s="558"/>
      <c r="Z406" s="535"/>
      <c r="AA406" s="558"/>
      <c r="AD406" s="535"/>
      <c r="AE406" s="558"/>
      <c r="AH406" s="535"/>
      <c r="AI406" s="558"/>
      <c r="AL406" s="535"/>
      <c r="AP406" s="535"/>
    </row>
    <row r="407">
      <c r="A407" s="552"/>
      <c r="B407" s="552"/>
      <c r="N407" s="535"/>
      <c r="O407" s="558"/>
      <c r="R407" s="535"/>
      <c r="S407" s="558"/>
      <c r="V407" s="535"/>
      <c r="W407" s="558"/>
      <c r="Z407" s="535"/>
      <c r="AA407" s="558"/>
      <c r="AD407" s="535"/>
      <c r="AE407" s="558"/>
      <c r="AH407" s="535"/>
      <c r="AI407" s="558"/>
      <c r="AL407" s="535"/>
      <c r="AP407" s="535"/>
    </row>
    <row r="408">
      <c r="A408" s="552"/>
      <c r="B408" s="552"/>
      <c r="N408" s="535"/>
      <c r="O408" s="558"/>
      <c r="R408" s="535"/>
      <c r="S408" s="558"/>
      <c r="V408" s="535"/>
      <c r="W408" s="558"/>
      <c r="Z408" s="535"/>
      <c r="AA408" s="558"/>
      <c r="AD408" s="535"/>
      <c r="AE408" s="558"/>
      <c r="AH408" s="535"/>
      <c r="AI408" s="558"/>
      <c r="AL408" s="535"/>
      <c r="AP408" s="535"/>
    </row>
    <row r="409">
      <c r="A409" s="552"/>
      <c r="B409" s="552"/>
      <c r="N409" s="535"/>
      <c r="O409" s="558"/>
      <c r="R409" s="535"/>
      <c r="S409" s="558"/>
      <c r="V409" s="535"/>
      <c r="W409" s="558"/>
      <c r="Z409" s="535"/>
      <c r="AA409" s="558"/>
      <c r="AD409" s="535"/>
      <c r="AE409" s="558"/>
      <c r="AH409" s="535"/>
      <c r="AI409" s="558"/>
      <c r="AL409" s="535"/>
      <c r="AP409" s="535"/>
    </row>
    <row r="410">
      <c r="A410" s="552"/>
      <c r="B410" s="552"/>
      <c r="N410" s="535"/>
      <c r="O410" s="558"/>
      <c r="R410" s="535"/>
      <c r="S410" s="558"/>
      <c r="V410" s="535"/>
      <c r="W410" s="558"/>
      <c r="Z410" s="535"/>
      <c r="AA410" s="558"/>
      <c r="AD410" s="535"/>
      <c r="AE410" s="558"/>
      <c r="AH410" s="535"/>
      <c r="AI410" s="558"/>
      <c r="AL410" s="535"/>
      <c r="AP410" s="535"/>
    </row>
    <row r="411">
      <c r="A411" s="552"/>
      <c r="B411" s="552"/>
      <c r="N411" s="535"/>
      <c r="O411" s="558"/>
      <c r="R411" s="535"/>
      <c r="S411" s="558"/>
      <c r="V411" s="535"/>
      <c r="W411" s="558"/>
      <c r="Z411" s="535"/>
      <c r="AA411" s="558"/>
      <c r="AD411" s="535"/>
      <c r="AE411" s="558"/>
      <c r="AH411" s="535"/>
      <c r="AI411" s="558"/>
      <c r="AL411" s="535"/>
      <c r="AP411" s="535"/>
    </row>
    <row r="412">
      <c r="A412" s="552"/>
      <c r="B412" s="552"/>
      <c r="N412" s="535"/>
      <c r="O412" s="558"/>
      <c r="R412" s="535"/>
      <c r="S412" s="558"/>
      <c r="V412" s="535"/>
      <c r="W412" s="558"/>
      <c r="Z412" s="535"/>
      <c r="AA412" s="558"/>
      <c r="AD412" s="535"/>
      <c r="AE412" s="558"/>
      <c r="AH412" s="535"/>
      <c r="AI412" s="558"/>
      <c r="AL412" s="535"/>
      <c r="AP412" s="535"/>
    </row>
    <row r="413">
      <c r="A413" s="552"/>
      <c r="B413" s="552"/>
      <c r="N413" s="535"/>
      <c r="O413" s="558"/>
      <c r="R413" s="535"/>
      <c r="S413" s="558"/>
      <c r="V413" s="535"/>
      <c r="W413" s="558"/>
      <c r="Z413" s="535"/>
      <c r="AA413" s="558"/>
      <c r="AD413" s="535"/>
      <c r="AE413" s="558"/>
      <c r="AH413" s="535"/>
      <c r="AI413" s="558"/>
      <c r="AL413" s="535"/>
      <c r="AP413" s="535"/>
    </row>
    <row r="414">
      <c r="A414" s="552"/>
      <c r="B414" s="552"/>
      <c r="N414" s="535"/>
      <c r="O414" s="558"/>
      <c r="R414" s="535"/>
      <c r="S414" s="558"/>
      <c r="V414" s="535"/>
      <c r="W414" s="558"/>
      <c r="Z414" s="535"/>
      <c r="AA414" s="558"/>
      <c r="AD414" s="535"/>
      <c r="AE414" s="558"/>
      <c r="AH414" s="535"/>
      <c r="AI414" s="558"/>
      <c r="AL414" s="535"/>
      <c r="AP414" s="535"/>
    </row>
    <row r="415">
      <c r="A415" s="552"/>
      <c r="B415" s="552"/>
      <c r="N415" s="535"/>
      <c r="O415" s="558"/>
      <c r="R415" s="535"/>
      <c r="S415" s="558"/>
      <c r="V415" s="535"/>
      <c r="W415" s="558"/>
      <c r="Z415" s="535"/>
      <c r="AA415" s="558"/>
      <c r="AD415" s="535"/>
      <c r="AE415" s="558"/>
      <c r="AH415" s="535"/>
      <c r="AI415" s="558"/>
      <c r="AL415" s="535"/>
      <c r="AP415" s="535"/>
    </row>
    <row r="416">
      <c r="A416" s="552"/>
      <c r="B416" s="552"/>
      <c r="N416" s="535"/>
      <c r="O416" s="558"/>
      <c r="R416" s="535"/>
      <c r="S416" s="558"/>
      <c r="V416" s="535"/>
      <c r="W416" s="558"/>
      <c r="Z416" s="535"/>
      <c r="AA416" s="558"/>
      <c r="AD416" s="535"/>
      <c r="AE416" s="558"/>
      <c r="AH416" s="535"/>
      <c r="AI416" s="558"/>
      <c r="AL416" s="535"/>
      <c r="AP416" s="535"/>
    </row>
    <row r="417">
      <c r="A417" s="552"/>
      <c r="B417" s="552"/>
      <c r="N417" s="535"/>
      <c r="O417" s="558"/>
      <c r="R417" s="535"/>
      <c r="S417" s="558"/>
      <c r="V417" s="535"/>
      <c r="W417" s="558"/>
      <c r="Z417" s="535"/>
      <c r="AA417" s="558"/>
      <c r="AD417" s="535"/>
      <c r="AE417" s="558"/>
      <c r="AH417" s="535"/>
      <c r="AI417" s="558"/>
      <c r="AL417" s="535"/>
      <c r="AP417" s="535"/>
    </row>
    <row r="418">
      <c r="A418" s="552"/>
      <c r="B418" s="552"/>
      <c r="N418" s="535"/>
      <c r="O418" s="558"/>
      <c r="R418" s="535"/>
      <c r="S418" s="558"/>
      <c r="V418" s="535"/>
      <c r="W418" s="558"/>
      <c r="Z418" s="535"/>
      <c r="AA418" s="558"/>
      <c r="AD418" s="535"/>
      <c r="AE418" s="558"/>
      <c r="AH418" s="535"/>
      <c r="AI418" s="558"/>
      <c r="AL418" s="535"/>
      <c r="AP418" s="535"/>
    </row>
    <row r="419">
      <c r="A419" s="552"/>
      <c r="B419" s="552"/>
      <c r="N419" s="535"/>
      <c r="O419" s="558"/>
      <c r="R419" s="535"/>
      <c r="S419" s="558"/>
      <c r="V419" s="535"/>
      <c r="W419" s="558"/>
      <c r="Z419" s="535"/>
      <c r="AA419" s="558"/>
      <c r="AD419" s="535"/>
      <c r="AE419" s="558"/>
      <c r="AH419" s="535"/>
      <c r="AI419" s="558"/>
      <c r="AL419" s="535"/>
      <c r="AP419" s="535"/>
    </row>
    <row r="420">
      <c r="A420" s="552"/>
      <c r="B420" s="552"/>
      <c r="N420" s="535"/>
      <c r="O420" s="558"/>
      <c r="R420" s="535"/>
      <c r="S420" s="558"/>
      <c r="V420" s="535"/>
      <c r="W420" s="558"/>
      <c r="Z420" s="535"/>
      <c r="AA420" s="558"/>
      <c r="AD420" s="535"/>
      <c r="AE420" s="558"/>
      <c r="AH420" s="535"/>
      <c r="AI420" s="558"/>
      <c r="AL420" s="535"/>
      <c r="AP420" s="535"/>
    </row>
    <row r="421">
      <c r="A421" s="552"/>
      <c r="B421" s="552"/>
      <c r="N421" s="535"/>
      <c r="O421" s="558"/>
      <c r="R421" s="535"/>
      <c r="S421" s="558"/>
      <c r="V421" s="535"/>
      <c r="W421" s="558"/>
      <c r="Z421" s="535"/>
      <c r="AA421" s="558"/>
      <c r="AD421" s="535"/>
      <c r="AE421" s="558"/>
      <c r="AH421" s="535"/>
      <c r="AI421" s="558"/>
      <c r="AL421" s="535"/>
      <c r="AP421" s="535"/>
    </row>
    <row r="422">
      <c r="A422" s="552"/>
      <c r="B422" s="552"/>
      <c r="N422" s="535"/>
      <c r="O422" s="558"/>
      <c r="R422" s="535"/>
      <c r="S422" s="558"/>
      <c r="V422" s="535"/>
      <c r="W422" s="558"/>
      <c r="Z422" s="535"/>
      <c r="AA422" s="558"/>
      <c r="AD422" s="535"/>
      <c r="AE422" s="558"/>
      <c r="AH422" s="535"/>
      <c r="AI422" s="558"/>
      <c r="AL422" s="535"/>
      <c r="AP422" s="535"/>
    </row>
    <row r="423">
      <c r="A423" s="552"/>
      <c r="B423" s="552"/>
      <c r="N423" s="535"/>
      <c r="O423" s="558"/>
      <c r="R423" s="535"/>
      <c r="S423" s="558"/>
      <c r="V423" s="535"/>
      <c r="W423" s="558"/>
      <c r="Z423" s="535"/>
      <c r="AA423" s="558"/>
      <c r="AD423" s="535"/>
      <c r="AE423" s="558"/>
      <c r="AH423" s="535"/>
      <c r="AI423" s="558"/>
      <c r="AL423" s="535"/>
      <c r="AP423" s="535"/>
    </row>
    <row r="424">
      <c r="A424" s="552"/>
      <c r="B424" s="552"/>
      <c r="N424" s="535"/>
      <c r="O424" s="558"/>
      <c r="R424" s="535"/>
      <c r="S424" s="558"/>
      <c r="V424" s="535"/>
      <c r="W424" s="558"/>
      <c r="Z424" s="535"/>
      <c r="AA424" s="558"/>
      <c r="AD424" s="535"/>
      <c r="AE424" s="558"/>
      <c r="AH424" s="535"/>
      <c r="AI424" s="558"/>
      <c r="AL424" s="535"/>
      <c r="AP424" s="535"/>
    </row>
    <row r="425">
      <c r="A425" s="552"/>
      <c r="B425" s="552"/>
      <c r="N425" s="535"/>
      <c r="O425" s="558"/>
      <c r="R425" s="535"/>
      <c r="S425" s="558"/>
      <c r="V425" s="535"/>
      <c r="W425" s="558"/>
      <c r="Z425" s="535"/>
      <c r="AA425" s="558"/>
      <c r="AD425" s="535"/>
      <c r="AE425" s="558"/>
      <c r="AH425" s="535"/>
      <c r="AI425" s="558"/>
      <c r="AL425" s="535"/>
      <c r="AP425" s="535"/>
    </row>
    <row r="426">
      <c r="A426" s="552"/>
      <c r="B426" s="552"/>
      <c r="N426" s="535"/>
      <c r="O426" s="558"/>
      <c r="R426" s="535"/>
      <c r="S426" s="558"/>
      <c r="V426" s="535"/>
      <c r="W426" s="558"/>
      <c r="Z426" s="535"/>
      <c r="AA426" s="558"/>
      <c r="AD426" s="535"/>
      <c r="AE426" s="558"/>
      <c r="AH426" s="535"/>
      <c r="AI426" s="558"/>
      <c r="AL426" s="535"/>
      <c r="AP426" s="535"/>
    </row>
    <row r="427">
      <c r="A427" s="552"/>
      <c r="B427" s="552"/>
      <c r="N427" s="535"/>
      <c r="O427" s="558"/>
      <c r="R427" s="535"/>
      <c r="S427" s="558"/>
      <c r="V427" s="535"/>
      <c r="W427" s="558"/>
      <c r="Z427" s="535"/>
      <c r="AA427" s="558"/>
      <c r="AD427" s="535"/>
      <c r="AE427" s="558"/>
      <c r="AH427" s="535"/>
      <c r="AI427" s="558"/>
      <c r="AL427" s="535"/>
      <c r="AP427" s="535"/>
    </row>
    <row r="428">
      <c r="A428" s="552"/>
      <c r="B428" s="552"/>
      <c r="N428" s="535"/>
      <c r="O428" s="558"/>
      <c r="R428" s="535"/>
      <c r="S428" s="558"/>
      <c r="V428" s="535"/>
      <c r="W428" s="558"/>
      <c r="Z428" s="535"/>
      <c r="AA428" s="558"/>
      <c r="AD428" s="535"/>
      <c r="AE428" s="558"/>
      <c r="AH428" s="535"/>
      <c r="AI428" s="558"/>
      <c r="AL428" s="535"/>
      <c r="AP428" s="535"/>
    </row>
    <row r="429">
      <c r="A429" s="552"/>
      <c r="B429" s="552"/>
      <c r="N429" s="535"/>
      <c r="O429" s="558"/>
      <c r="R429" s="535"/>
      <c r="S429" s="558"/>
      <c r="V429" s="535"/>
      <c r="W429" s="558"/>
      <c r="Z429" s="535"/>
      <c r="AA429" s="558"/>
      <c r="AD429" s="535"/>
      <c r="AE429" s="558"/>
      <c r="AH429" s="535"/>
      <c r="AI429" s="558"/>
      <c r="AL429" s="535"/>
      <c r="AP429" s="535"/>
    </row>
    <row r="430">
      <c r="A430" s="552"/>
      <c r="B430" s="552"/>
      <c r="N430" s="535"/>
      <c r="O430" s="558"/>
      <c r="R430" s="535"/>
      <c r="S430" s="558"/>
      <c r="V430" s="535"/>
      <c r="W430" s="558"/>
      <c r="Z430" s="535"/>
      <c r="AA430" s="558"/>
      <c r="AD430" s="535"/>
      <c r="AE430" s="558"/>
      <c r="AH430" s="535"/>
      <c r="AI430" s="558"/>
      <c r="AL430" s="535"/>
      <c r="AP430" s="535"/>
    </row>
    <row r="431">
      <c r="A431" s="552"/>
      <c r="B431" s="552"/>
      <c r="N431" s="535"/>
      <c r="O431" s="558"/>
      <c r="R431" s="535"/>
      <c r="S431" s="558"/>
      <c r="V431" s="535"/>
      <c r="W431" s="558"/>
      <c r="Z431" s="535"/>
      <c r="AA431" s="558"/>
      <c r="AD431" s="535"/>
      <c r="AE431" s="558"/>
      <c r="AH431" s="535"/>
      <c r="AI431" s="558"/>
      <c r="AL431" s="535"/>
      <c r="AP431" s="535"/>
    </row>
    <row r="432">
      <c r="A432" s="552"/>
      <c r="B432" s="552"/>
      <c r="N432" s="535"/>
      <c r="O432" s="558"/>
      <c r="R432" s="535"/>
      <c r="S432" s="558"/>
      <c r="V432" s="535"/>
      <c r="W432" s="558"/>
      <c r="Z432" s="535"/>
      <c r="AA432" s="558"/>
      <c r="AD432" s="535"/>
      <c r="AE432" s="558"/>
      <c r="AH432" s="535"/>
      <c r="AI432" s="558"/>
      <c r="AL432" s="535"/>
      <c r="AP432" s="535"/>
    </row>
    <row r="433">
      <c r="A433" s="552"/>
      <c r="B433" s="552"/>
      <c r="N433" s="535"/>
      <c r="O433" s="558"/>
      <c r="R433" s="535"/>
      <c r="S433" s="558"/>
      <c r="V433" s="535"/>
      <c r="W433" s="558"/>
      <c r="Z433" s="535"/>
      <c r="AA433" s="558"/>
      <c r="AD433" s="535"/>
      <c r="AE433" s="558"/>
      <c r="AH433" s="535"/>
      <c r="AI433" s="558"/>
      <c r="AL433" s="535"/>
      <c r="AP433" s="535"/>
    </row>
    <row r="434">
      <c r="A434" s="552"/>
      <c r="B434" s="552"/>
      <c r="N434" s="535"/>
      <c r="O434" s="558"/>
      <c r="R434" s="535"/>
      <c r="S434" s="558"/>
      <c r="V434" s="535"/>
      <c r="W434" s="558"/>
      <c r="Z434" s="535"/>
      <c r="AA434" s="558"/>
      <c r="AD434" s="535"/>
      <c r="AE434" s="558"/>
      <c r="AH434" s="535"/>
      <c r="AI434" s="558"/>
      <c r="AL434" s="535"/>
      <c r="AP434" s="535"/>
    </row>
    <row r="435">
      <c r="A435" s="552"/>
      <c r="B435" s="552"/>
      <c r="N435" s="535"/>
      <c r="O435" s="558"/>
      <c r="R435" s="535"/>
      <c r="S435" s="558"/>
      <c r="V435" s="535"/>
      <c r="W435" s="558"/>
      <c r="Z435" s="535"/>
      <c r="AA435" s="558"/>
      <c r="AD435" s="535"/>
      <c r="AE435" s="558"/>
      <c r="AH435" s="535"/>
      <c r="AI435" s="558"/>
      <c r="AL435" s="535"/>
      <c r="AP435" s="535"/>
    </row>
    <row r="436">
      <c r="A436" s="552"/>
      <c r="B436" s="552"/>
      <c r="N436" s="535"/>
      <c r="O436" s="558"/>
      <c r="R436" s="535"/>
      <c r="S436" s="558"/>
      <c r="V436" s="535"/>
      <c r="W436" s="558"/>
      <c r="Z436" s="535"/>
      <c r="AA436" s="558"/>
      <c r="AD436" s="535"/>
      <c r="AE436" s="558"/>
      <c r="AH436" s="535"/>
      <c r="AI436" s="558"/>
      <c r="AL436" s="535"/>
      <c r="AP436" s="535"/>
    </row>
    <row r="437">
      <c r="A437" s="552"/>
      <c r="B437" s="552"/>
      <c r="N437" s="535"/>
      <c r="O437" s="558"/>
      <c r="R437" s="535"/>
      <c r="S437" s="558"/>
      <c r="V437" s="535"/>
      <c r="W437" s="558"/>
      <c r="Z437" s="535"/>
      <c r="AA437" s="558"/>
      <c r="AD437" s="535"/>
      <c r="AE437" s="558"/>
      <c r="AH437" s="535"/>
      <c r="AI437" s="558"/>
      <c r="AL437" s="535"/>
      <c r="AP437" s="535"/>
    </row>
    <row r="438">
      <c r="A438" s="552"/>
      <c r="B438" s="552"/>
      <c r="N438" s="535"/>
      <c r="O438" s="558"/>
      <c r="R438" s="535"/>
      <c r="S438" s="558"/>
      <c r="V438" s="535"/>
      <c r="W438" s="558"/>
      <c r="Z438" s="535"/>
      <c r="AA438" s="558"/>
      <c r="AD438" s="535"/>
      <c r="AE438" s="558"/>
      <c r="AH438" s="535"/>
      <c r="AI438" s="558"/>
      <c r="AL438" s="535"/>
      <c r="AP438" s="535"/>
    </row>
    <row r="439">
      <c r="A439" s="552"/>
      <c r="B439" s="552"/>
      <c r="N439" s="535"/>
      <c r="O439" s="558"/>
      <c r="R439" s="535"/>
      <c r="S439" s="558"/>
      <c r="V439" s="535"/>
      <c r="W439" s="558"/>
      <c r="Z439" s="535"/>
      <c r="AA439" s="558"/>
      <c r="AD439" s="535"/>
      <c r="AE439" s="558"/>
      <c r="AH439" s="535"/>
      <c r="AI439" s="558"/>
      <c r="AL439" s="535"/>
      <c r="AP439" s="535"/>
    </row>
    <row r="440">
      <c r="A440" s="552"/>
      <c r="B440" s="552"/>
      <c r="N440" s="535"/>
      <c r="O440" s="558"/>
      <c r="R440" s="535"/>
      <c r="S440" s="558"/>
      <c r="V440" s="535"/>
      <c r="W440" s="558"/>
      <c r="Z440" s="535"/>
      <c r="AA440" s="558"/>
      <c r="AD440" s="535"/>
      <c r="AE440" s="558"/>
      <c r="AH440" s="535"/>
      <c r="AI440" s="558"/>
      <c r="AL440" s="535"/>
      <c r="AP440" s="535"/>
    </row>
    <row r="441">
      <c r="A441" s="552"/>
      <c r="B441" s="552"/>
      <c r="N441" s="535"/>
      <c r="O441" s="558"/>
      <c r="R441" s="535"/>
      <c r="S441" s="558"/>
      <c r="V441" s="535"/>
      <c r="W441" s="558"/>
      <c r="Z441" s="535"/>
      <c r="AA441" s="558"/>
      <c r="AD441" s="535"/>
      <c r="AE441" s="558"/>
      <c r="AH441" s="535"/>
      <c r="AI441" s="558"/>
      <c r="AL441" s="535"/>
      <c r="AP441" s="535"/>
    </row>
    <row r="442">
      <c r="A442" s="552"/>
      <c r="B442" s="552"/>
      <c r="N442" s="535"/>
      <c r="O442" s="558"/>
      <c r="R442" s="535"/>
      <c r="S442" s="558"/>
      <c r="V442" s="535"/>
      <c r="W442" s="558"/>
      <c r="Z442" s="535"/>
      <c r="AA442" s="558"/>
      <c r="AD442" s="535"/>
      <c r="AE442" s="558"/>
      <c r="AH442" s="535"/>
      <c r="AI442" s="558"/>
      <c r="AL442" s="535"/>
      <c r="AP442" s="535"/>
    </row>
    <row r="443">
      <c r="A443" s="552"/>
      <c r="B443" s="552"/>
      <c r="N443" s="535"/>
      <c r="O443" s="558"/>
      <c r="R443" s="535"/>
      <c r="S443" s="558"/>
      <c r="V443" s="535"/>
      <c r="W443" s="558"/>
      <c r="Z443" s="535"/>
      <c r="AA443" s="558"/>
      <c r="AD443" s="535"/>
      <c r="AE443" s="558"/>
      <c r="AH443" s="535"/>
      <c r="AI443" s="558"/>
      <c r="AL443" s="535"/>
      <c r="AP443" s="535"/>
    </row>
    <row r="444">
      <c r="A444" s="552"/>
      <c r="B444" s="552"/>
      <c r="N444" s="535"/>
      <c r="O444" s="558"/>
      <c r="R444" s="535"/>
      <c r="S444" s="558"/>
      <c r="V444" s="535"/>
      <c r="W444" s="558"/>
      <c r="Z444" s="535"/>
      <c r="AA444" s="558"/>
      <c r="AD444" s="535"/>
      <c r="AE444" s="558"/>
      <c r="AH444" s="535"/>
      <c r="AI444" s="558"/>
      <c r="AL444" s="535"/>
      <c r="AP444" s="535"/>
    </row>
    <row r="445">
      <c r="A445" s="552"/>
      <c r="B445" s="552"/>
      <c r="N445" s="535"/>
      <c r="O445" s="558"/>
      <c r="R445" s="535"/>
      <c r="S445" s="558"/>
      <c r="V445" s="535"/>
      <c r="W445" s="558"/>
      <c r="Z445" s="535"/>
      <c r="AA445" s="558"/>
      <c r="AD445" s="535"/>
      <c r="AE445" s="558"/>
      <c r="AH445" s="535"/>
      <c r="AI445" s="558"/>
      <c r="AL445" s="535"/>
      <c r="AP445" s="535"/>
    </row>
    <row r="446">
      <c r="A446" s="552"/>
      <c r="B446" s="552"/>
      <c r="N446" s="535"/>
      <c r="O446" s="558"/>
      <c r="R446" s="535"/>
      <c r="S446" s="558"/>
      <c r="V446" s="535"/>
      <c r="W446" s="558"/>
      <c r="Z446" s="535"/>
      <c r="AA446" s="558"/>
      <c r="AD446" s="535"/>
      <c r="AE446" s="558"/>
      <c r="AH446" s="535"/>
      <c r="AI446" s="558"/>
      <c r="AL446" s="535"/>
      <c r="AP446" s="535"/>
    </row>
    <row r="447">
      <c r="A447" s="552"/>
      <c r="B447" s="552"/>
      <c r="N447" s="535"/>
      <c r="O447" s="558"/>
      <c r="R447" s="535"/>
      <c r="S447" s="558"/>
      <c r="V447" s="535"/>
      <c r="W447" s="558"/>
      <c r="Z447" s="535"/>
      <c r="AA447" s="558"/>
      <c r="AD447" s="535"/>
      <c r="AE447" s="558"/>
      <c r="AH447" s="535"/>
      <c r="AI447" s="558"/>
      <c r="AL447" s="535"/>
      <c r="AP447" s="535"/>
    </row>
    <row r="448">
      <c r="A448" s="552"/>
      <c r="B448" s="552"/>
      <c r="N448" s="535"/>
      <c r="O448" s="558"/>
      <c r="R448" s="535"/>
      <c r="S448" s="558"/>
      <c r="V448" s="535"/>
      <c r="W448" s="558"/>
      <c r="Z448" s="535"/>
      <c r="AA448" s="558"/>
      <c r="AD448" s="535"/>
      <c r="AE448" s="558"/>
      <c r="AH448" s="535"/>
      <c r="AI448" s="558"/>
      <c r="AL448" s="535"/>
      <c r="AP448" s="535"/>
    </row>
    <row r="449">
      <c r="A449" s="552"/>
      <c r="B449" s="552"/>
      <c r="N449" s="535"/>
      <c r="O449" s="558"/>
      <c r="R449" s="535"/>
      <c r="S449" s="558"/>
      <c r="V449" s="535"/>
      <c r="W449" s="558"/>
      <c r="Z449" s="535"/>
      <c r="AA449" s="558"/>
      <c r="AD449" s="535"/>
      <c r="AE449" s="558"/>
      <c r="AH449" s="535"/>
      <c r="AI449" s="558"/>
      <c r="AL449" s="535"/>
      <c r="AP449" s="535"/>
    </row>
    <row r="450">
      <c r="A450" s="552"/>
      <c r="B450" s="552"/>
      <c r="N450" s="535"/>
      <c r="O450" s="558"/>
      <c r="R450" s="535"/>
      <c r="S450" s="558"/>
      <c r="V450" s="535"/>
      <c r="W450" s="558"/>
      <c r="Z450" s="535"/>
      <c r="AA450" s="558"/>
      <c r="AD450" s="535"/>
      <c r="AE450" s="558"/>
      <c r="AH450" s="535"/>
      <c r="AI450" s="558"/>
      <c r="AL450" s="535"/>
      <c r="AP450" s="535"/>
    </row>
    <row r="451">
      <c r="A451" s="552"/>
      <c r="B451" s="552"/>
      <c r="N451" s="535"/>
      <c r="O451" s="558"/>
      <c r="R451" s="535"/>
      <c r="S451" s="558"/>
      <c r="V451" s="535"/>
      <c r="W451" s="558"/>
      <c r="Z451" s="535"/>
      <c r="AA451" s="558"/>
      <c r="AD451" s="535"/>
      <c r="AE451" s="558"/>
      <c r="AH451" s="535"/>
      <c r="AI451" s="558"/>
      <c r="AL451" s="535"/>
      <c r="AP451" s="535"/>
    </row>
    <row r="452">
      <c r="A452" s="552"/>
      <c r="B452" s="552"/>
      <c r="N452" s="535"/>
      <c r="O452" s="558"/>
      <c r="R452" s="535"/>
      <c r="S452" s="558"/>
      <c r="V452" s="535"/>
      <c r="W452" s="558"/>
      <c r="Z452" s="535"/>
      <c r="AA452" s="558"/>
      <c r="AD452" s="535"/>
      <c r="AE452" s="558"/>
      <c r="AH452" s="535"/>
      <c r="AI452" s="558"/>
      <c r="AL452" s="535"/>
      <c r="AP452" s="535"/>
    </row>
    <row r="453">
      <c r="A453" s="552"/>
      <c r="B453" s="552"/>
      <c r="N453" s="535"/>
      <c r="O453" s="558"/>
      <c r="R453" s="535"/>
      <c r="S453" s="558"/>
      <c r="V453" s="535"/>
      <c r="W453" s="558"/>
      <c r="Z453" s="535"/>
      <c r="AA453" s="558"/>
      <c r="AD453" s="535"/>
      <c r="AE453" s="558"/>
      <c r="AH453" s="535"/>
      <c r="AI453" s="558"/>
      <c r="AL453" s="535"/>
      <c r="AP453" s="535"/>
    </row>
    <row r="454">
      <c r="A454" s="552"/>
      <c r="B454" s="552"/>
      <c r="N454" s="535"/>
      <c r="O454" s="558"/>
      <c r="R454" s="535"/>
      <c r="S454" s="558"/>
      <c r="V454" s="535"/>
      <c r="W454" s="558"/>
      <c r="Z454" s="535"/>
      <c r="AA454" s="558"/>
      <c r="AD454" s="535"/>
      <c r="AE454" s="558"/>
      <c r="AH454" s="535"/>
      <c r="AI454" s="558"/>
      <c r="AL454" s="535"/>
      <c r="AP454" s="535"/>
    </row>
    <row r="455">
      <c r="A455" s="552"/>
      <c r="B455" s="552"/>
      <c r="N455" s="535"/>
      <c r="O455" s="558"/>
      <c r="R455" s="535"/>
      <c r="S455" s="558"/>
      <c r="V455" s="535"/>
      <c r="W455" s="558"/>
      <c r="Z455" s="535"/>
      <c r="AA455" s="558"/>
      <c r="AD455" s="535"/>
      <c r="AE455" s="558"/>
      <c r="AH455" s="535"/>
      <c r="AI455" s="558"/>
      <c r="AL455" s="535"/>
      <c r="AP455" s="535"/>
    </row>
    <row r="456">
      <c r="A456" s="552"/>
      <c r="B456" s="552"/>
      <c r="N456" s="535"/>
      <c r="O456" s="558"/>
      <c r="R456" s="535"/>
      <c r="S456" s="558"/>
      <c r="V456" s="535"/>
      <c r="W456" s="558"/>
      <c r="Z456" s="535"/>
      <c r="AA456" s="558"/>
      <c r="AD456" s="535"/>
      <c r="AE456" s="558"/>
      <c r="AH456" s="535"/>
      <c r="AI456" s="558"/>
      <c r="AL456" s="535"/>
      <c r="AP456" s="535"/>
    </row>
    <row r="457">
      <c r="A457" s="552"/>
      <c r="B457" s="552"/>
      <c r="N457" s="535"/>
      <c r="O457" s="558"/>
      <c r="R457" s="535"/>
      <c r="S457" s="558"/>
      <c r="V457" s="535"/>
      <c r="W457" s="558"/>
      <c r="Z457" s="535"/>
      <c r="AA457" s="558"/>
      <c r="AD457" s="535"/>
      <c r="AE457" s="558"/>
      <c r="AH457" s="535"/>
      <c r="AI457" s="558"/>
      <c r="AL457" s="535"/>
      <c r="AP457" s="535"/>
    </row>
    <row r="458">
      <c r="A458" s="552"/>
      <c r="B458" s="552"/>
      <c r="N458" s="535"/>
      <c r="O458" s="558"/>
      <c r="R458" s="535"/>
      <c r="S458" s="558"/>
      <c r="V458" s="535"/>
      <c r="W458" s="558"/>
      <c r="Z458" s="535"/>
      <c r="AA458" s="558"/>
      <c r="AD458" s="535"/>
      <c r="AE458" s="558"/>
      <c r="AH458" s="535"/>
      <c r="AI458" s="558"/>
      <c r="AL458" s="535"/>
      <c r="AP458" s="535"/>
    </row>
    <row r="459">
      <c r="A459" s="552"/>
      <c r="B459" s="552"/>
      <c r="N459" s="535"/>
      <c r="O459" s="558"/>
      <c r="R459" s="535"/>
      <c r="S459" s="558"/>
      <c r="V459" s="535"/>
      <c r="W459" s="558"/>
      <c r="Z459" s="535"/>
      <c r="AA459" s="558"/>
      <c r="AD459" s="535"/>
      <c r="AE459" s="558"/>
      <c r="AH459" s="535"/>
      <c r="AI459" s="558"/>
      <c r="AL459" s="535"/>
      <c r="AP459" s="535"/>
    </row>
    <row r="460">
      <c r="A460" s="552"/>
      <c r="B460" s="552"/>
      <c r="N460" s="535"/>
      <c r="O460" s="558"/>
      <c r="R460" s="535"/>
      <c r="S460" s="558"/>
      <c r="V460" s="535"/>
      <c r="W460" s="558"/>
      <c r="Z460" s="535"/>
      <c r="AA460" s="558"/>
      <c r="AD460" s="535"/>
      <c r="AE460" s="558"/>
      <c r="AH460" s="535"/>
      <c r="AI460" s="558"/>
      <c r="AL460" s="535"/>
      <c r="AP460" s="535"/>
    </row>
    <row r="461">
      <c r="A461" s="552"/>
      <c r="B461" s="552"/>
      <c r="N461" s="535"/>
      <c r="O461" s="558"/>
      <c r="R461" s="535"/>
      <c r="S461" s="558"/>
      <c r="V461" s="535"/>
      <c r="W461" s="558"/>
      <c r="Z461" s="535"/>
      <c r="AA461" s="558"/>
      <c r="AD461" s="535"/>
      <c r="AE461" s="558"/>
      <c r="AH461" s="535"/>
      <c r="AI461" s="558"/>
      <c r="AL461" s="535"/>
      <c r="AP461" s="535"/>
    </row>
    <row r="462">
      <c r="A462" s="552"/>
      <c r="B462" s="552"/>
      <c r="N462" s="535"/>
      <c r="O462" s="558"/>
      <c r="R462" s="535"/>
      <c r="S462" s="558"/>
      <c r="V462" s="535"/>
      <c r="W462" s="558"/>
      <c r="Z462" s="535"/>
      <c r="AA462" s="558"/>
      <c r="AD462" s="535"/>
      <c r="AE462" s="558"/>
      <c r="AH462" s="535"/>
      <c r="AI462" s="558"/>
      <c r="AL462" s="535"/>
      <c r="AP462" s="535"/>
    </row>
    <row r="463">
      <c r="A463" s="552"/>
      <c r="B463" s="552"/>
      <c r="N463" s="535"/>
      <c r="O463" s="558"/>
      <c r="R463" s="535"/>
      <c r="S463" s="558"/>
      <c r="V463" s="535"/>
      <c r="W463" s="558"/>
      <c r="Z463" s="535"/>
      <c r="AA463" s="558"/>
      <c r="AD463" s="535"/>
      <c r="AE463" s="558"/>
      <c r="AH463" s="535"/>
      <c r="AI463" s="558"/>
      <c r="AL463" s="535"/>
      <c r="AP463" s="535"/>
    </row>
    <row r="464">
      <c r="A464" s="552"/>
      <c r="B464" s="552"/>
      <c r="N464" s="535"/>
      <c r="O464" s="558"/>
      <c r="R464" s="535"/>
      <c r="S464" s="558"/>
      <c r="V464" s="535"/>
      <c r="W464" s="558"/>
      <c r="Z464" s="535"/>
      <c r="AA464" s="558"/>
      <c r="AD464" s="535"/>
      <c r="AE464" s="558"/>
      <c r="AH464" s="535"/>
      <c r="AI464" s="558"/>
      <c r="AL464" s="535"/>
      <c r="AP464" s="535"/>
    </row>
    <row r="465">
      <c r="A465" s="552"/>
      <c r="B465" s="552"/>
      <c r="N465" s="535"/>
      <c r="O465" s="558"/>
      <c r="R465" s="535"/>
      <c r="S465" s="558"/>
      <c r="V465" s="535"/>
      <c r="W465" s="558"/>
      <c r="Z465" s="535"/>
      <c r="AA465" s="558"/>
      <c r="AD465" s="535"/>
      <c r="AE465" s="558"/>
      <c r="AH465" s="535"/>
      <c r="AI465" s="558"/>
      <c r="AL465" s="535"/>
      <c r="AP465" s="535"/>
    </row>
    <row r="466">
      <c r="A466" s="552"/>
      <c r="B466" s="552"/>
      <c r="N466" s="535"/>
      <c r="O466" s="558"/>
      <c r="R466" s="535"/>
      <c r="S466" s="558"/>
      <c r="V466" s="535"/>
      <c r="W466" s="558"/>
      <c r="Z466" s="535"/>
      <c r="AA466" s="558"/>
      <c r="AD466" s="535"/>
      <c r="AE466" s="558"/>
      <c r="AH466" s="535"/>
      <c r="AI466" s="558"/>
      <c r="AL466" s="535"/>
      <c r="AP466" s="535"/>
    </row>
    <row r="467">
      <c r="A467" s="552"/>
      <c r="B467" s="552"/>
      <c r="N467" s="535"/>
      <c r="O467" s="558"/>
      <c r="R467" s="535"/>
      <c r="S467" s="558"/>
      <c r="V467" s="535"/>
      <c r="W467" s="558"/>
      <c r="Z467" s="535"/>
      <c r="AA467" s="558"/>
      <c r="AD467" s="535"/>
      <c r="AE467" s="558"/>
      <c r="AH467" s="535"/>
      <c r="AI467" s="558"/>
      <c r="AL467" s="535"/>
      <c r="AP467" s="535"/>
    </row>
    <row r="468">
      <c r="A468" s="552"/>
      <c r="B468" s="552"/>
      <c r="N468" s="535"/>
      <c r="O468" s="558"/>
      <c r="R468" s="535"/>
      <c r="S468" s="558"/>
      <c r="V468" s="535"/>
      <c r="W468" s="558"/>
      <c r="Z468" s="535"/>
      <c r="AA468" s="558"/>
      <c r="AD468" s="535"/>
      <c r="AE468" s="558"/>
      <c r="AH468" s="535"/>
      <c r="AI468" s="558"/>
      <c r="AL468" s="535"/>
      <c r="AP468" s="535"/>
    </row>
    <row r="469">
      <c r="A469" s="552"/>
      <c r="B469" s="552"/>
      <c r="N469" s="535"/>
      <c r="O469" s="558"/>
      <c r="R469" s="535"/>
      <c r="S469" s="558"/>
      <c r="V469" s="535"/>
      <c r="W469" s="558"/>
      <c r="Z469" s="535"/>
      <c r="AA469" s="558"/>
      <c r="AD469" s="535"/>
      <c r="AE469" s="558"/>
      <c r="AH469" s="535"/>
      <c r="AI469" s="558"/>
      <c r="AL469" s="535"/>
      <c r="AP469" s="535"/>
    </row>
    <row r="470">
      <c r="A470" s="552"/>
      <c r="B470" s="552"/>
      <c r="N470" s="535"/>
      <c r="O470" s="558"/>
      <c r="R470" s="535"/>
      <c r="S470" s="558"/>
      <c r="V470" s="535"/>
      <c r="W470" s="558"/>
      <c r="Z470" s="535"/>
      <c r="AA470" s="558"/>
      <c r="AD470" s="535"/>
      <c r="AE470" s="558"/>
      <c r="AH470" s="535"/>
      <c r="AI470" s="558"/>
      <c r="AL470" s="535"/>
      <c r="AP470" s="535"/>
    </row>
    <row r="471">
      <c r="A471" s="552"/>
      <c r="B471" s="552"/>
      <c r="N471" s="535"/>
      <c r="O471" s="558"/>
      <c r="R471" s="535"/>
      <c r="S471" s="558"/>
      <c r="V471" s="535"/>
      <c r="W471" s="558"/>
      <c r="Z471" s="535"/>
      <c r="AA471" s="558"/>
      <c r="AD471" s="535"/>
      <c r="AE471" s="558"/>
      <c r="AH471" s="535"/>
      <c r="AI471" s="558"/>
      <c r="AL471" s="535"/>
      <c r="AP471" s="535"/>
    </row>
    <row r="472">
      <c r="A472" s="552"/>
      <c r="B472" s="552"/>
      <c r="N472" s="535"/>
      <c r="O472" s="558"/>
      <c r="R472" s="535"/>
      <c r="S472" s="558"/>
      <c r="V472" s="535"/>
      <c r="W472" s="558"/>
      <c r="Z472" s="535"/>
      <c r="AA472" s="558"/>
      <c r="AD472" s="535"/>
      <c r="AE472" s="558"/>
      <c r="AH472" s="535"/>
      <c r="AI472" s="558"/>
      <c r="AL472" s="535"/>
      <c r="AP472" s="535"/>
    </row>
    <row r="473">
      <c r="A473" s="552"/>
      <c r="B473" s="552"/>
      <c r="N473" s="535"/>
      <c r="O473" s="558"/>
      <c r="R473" s="535"/>
      <c r="S473" s="558"/>
      <c r="V473" s="535"/>
      <c r="W473" s="558"/>
      <c r="Z473" s="535"/>
      <c r="AA473" s="558"/>
      <c r="AD473" s="535"/>
      <c r="AE473" s="558"/>
      <c r="AH473" s="535"/>
      <c r="AI473" s="558"/>
      <c r="AL473" s="535"/>
      <c r="AP473" s="535"/>
    </row>
    <row r="474">
      <c r="A474" s="552"/>
      <c r="B474" s="552"/>
      <c r="N474" s="535"/>
      <c r="O474" s="558"/>
      <c r="R474" s="535"/>
      <c r="S474" s="558"/>
      <c r="V474" s="535"/>
      <c r="W474" s="558"/>
      <c r="Z474" s="535"/>
      <c r="AA474" s="558"/>
      <c r="AD474" s="535"/>
      <c r="AE474" s="558"/>
      <c r="AH474" s="535"/>
      <c r="AI474" s="558"/>
      <c r="AL474" s="535"/>
      <c r="AP474" s="535"/>
    </row>
    <row r="475">
      <c r="A475" s="552"/>
      <c r="B475" s="552"/>
      <c r="N475" s="535"/>
      <c r="O475" s="558"/>
      <c r="R475" s="535"/>
      <c r="S475" s="558"/>
      <c r="V475" s="535"/>
      <c r="W475" s="558"/>
      <c r="Z475" s="535"/>
      <c r="AA475" s="558"/>
      <c r="AD475" s="535"/>
      <c r="AE475" s="558"/>
      <c r="AH475" s="535"/>
      <c r="AI475" s="558"/>
      <c r="AL475" s="535"/>
      <c r="AP475" s="535"/>
    </row>
    <row r="476">
      <c r="A476" s="552"/>
      <c r="B476" s="552"/>
      <c r="N476" s="535"/>
      <c r="O476" s="558"/>
      <c r="R476" s="535"/>
      <c r="S476" s="558"/>
      <c r="V476" s="535"/>
      <c r="W476" s="558"/>
      <c r="Z476" s="535"/>
      <c r="AA476" s="558"/>
      <c r="AD476" s="535"/>
      <c r="AE476" s="558"/>
      <c r="AH476" s="535"/>
      <c r="AI476" s="558"/>
      <c r="AL476" s="535"/>
      <c r="AP476" s="535"/>
    </row>
    <row r="477">
      <c r="A477" s="552"/>
      <c r="B477" s="552"/>
      <c r="N477" s="535"/>
      <c r="O477" s="558"/>
      <c r="R477" s="535"/>
      <c r="S477" s="558"/>
      <c r="V477" s="535"/>
      <c r="W477" s="558"/>
      <c r="Z477" s="535"/>
      <c r="AA477" s="558"/>
      <c r="AD477" s="535"/>
      <c r="AE477" s="558"/>
      <c r="AH477" s="535"/>
      <c r="AI477" s="558"/>
      <c r="AL477" s="535"/>
      <c r="AP477" s="535"/>
    </row>
    <row r="478">
      <c r="A478" s="552"/>
      <c r="B478" s="552"/>
      <c r="N478" s="535"/>
      <c r="O478" s="558"/>
      <c r="R478" s="535"/>
      <c r="S478" s="558"/>
      <c r="V478" s="535"/>
      <c r="W478" s="558"/>
      <c r="Z478" s="535"/>
      <c r="AA478" s="558"/>
      <c r="AD478" s="535"/>
      <c r="AE478" s="558"/>
      <c r="AH478" s="535"/>
      <c r="AI478" s="558"/>
      <c r="AL478" s="535"/>
      <c r="AP478" s="535"/>
    </row>
    <row r="479">
      <c r="A479" s="552"/>
      <c r="B479" s="552"/>
      <c r="N479" s="535"/>
      <c r="O479" s="558"/>
      <c r="R479" s="535"/>
      <c r="S479" s="558"/>
      <c r="V479" s="535"/>
      <c r="W479" s="558"/>
      <c r="Z479" s="535"/>
      <c r="AA479" s="558"/>
      <c r="AD479" s="535"/>
      <c r="AE479" s="558"/>
      <c r="AH479" s="535"/>
      <c r="AI479" s="558"/>
      <c r="AL479" s="535"/>
      <c r="AP479" s="535"/>
    </row>
    <row r="480">
      <c r="A480" s="552"/>
      <c r="B480" s="552"/>
      <c r="N480" s="535"/>
      <c r="O480" s="558"/>
      <c r="R480" s="535"/>
      <c r="S480" s="558"/>
      <c r="V480" s="535"/>
      <c r="W480" s="558"/>
      <c r="Z480" s="535"/>
      <c r="AA480" s="558"/>
      <c r="AD480" s="535"/>
      <c r="AE480" s="558"/>
      <c r="AH480" s="535"/>
      <c r="AI480" s="558"/>
      <c r="AL480" s="535"/>
      <c r="AP480" s="535"/>
    </row>
    <row r="481">
      <c r="A481" s="552"/>
      <c r="B481" s="552"/>
      <c r="N481" s="535"/>
      <c r="O481" s="558"/>
      <c r="R481" s="535"/>
      <c r="S481" s="558"/>
      <c r="V481" s="535"/>
      <c r="W481" s="558"/>
      <c r="Z481" s="535"/>
      <c r="AA481" s="558"/>
      <c r="AD481" s="535"/>
      <c r="AE481" s="558"/>
      <c r="AH481" s="535"/>
      <c r="AI481" s="558"/>
      <c r="AL481" s="535"/>
      <c r="AP481" s="535"/>
    </row>
    <row r="482">
      <c r="A482" s="552"/>
      <c r="B482" s="552"/>
      <c r="N482" s="535"/>
      <c r="O482" s="558"/>
      <c r="R482" s="535"/>
      <c r="S482" s="558"/>
      <c r="V482" s="535"/>
      <c r="W482" s="558"/>
      <c r="Z482" s="535"/>
      <c r="AA482" s="558"/>
      <c r="AD482" s="535"/>
      <c r="AE482" s="558"/>
      <c r="AH482" s="535"/>
      <c r="AI482" s="558"/>
      <c r="AL482" s="535"/>
      <c r="AP482" s="535"/>
    </row>
    <row r="483">
      <c r="A483" s="552"/>
      <c r="B483" s="552"/>
      <c r="N483" s="535"/>
      <c r="O483" s="558"/>
      <c r="R483" s="535"/>
      <c r="S483" s="558"/>
      <c r="V483" s="535"/>
      <c r="W483" s="558"/>
      <c r="Z483" s="535"/>
      <c r="AA483" s="558"/>
      <c r="AD483" s="535"/>
      <c r="AE483" s="558"/>
      <c r="AH483" s="535"/>
      <c r="AI483" s="558"/>
      <c r="AL483" s="535"/>
      <c r="AP483" s="535"/>
    </row>
    <row r="484">
      <c r="A484" s="552"/>
      <c r="B484" s="552"/>
      <c r="N484" s="535"/>
      <c r="O484" s="558"/>
      <c r="R484" s="535"/>
      <c r="S484" s="558"/>
      <c r="V484" s="535"/>
      <c r="W484" s="558"/>
      <c r="Z484" s="535"/>
      <c r="AA484" s="558"/>
      <c r="AD484" s="535"/>
      <c r="AE484" s="558"/>
      <c r="AH484" s="535"/>
      <c r="AI484" s="558"/>
      <c r="AL484" s="535"/>
      <c r="AP484" s="535"/>
    </row>
    <row r="485">
      <c r="A485" s="552"/>
      <c r="B485" s="552"/>
      <c r="N485" s="535"/>
      <c r="O485" s="558"/>
      <c r="R485" s="535"/>
      <c r="S485" s="558"/>
      <c r="V485" s="535"/>
      <c r="W485" s="558"/>
      <c r="Z485" s="535"/>
      <c r="AA485" s="558"/>
      <c r="AD485" s="535"/>
      <c r="AE485" s="558"/>
      <c r="AH485" s="535"/>
      <c r="AI485" s="558"/>
      <c r="AL485" s="535"/>
      <c r="AP485" s="535"/>
    </row>
    <row r="486">
      <c r="A486" s="552"/>
      <c r="B486" s="552"/>
      <c r="N486" s="535"/>
      <c r="O486" s="558"/>
      <c r="R486" s="535"/>
      <c r="S486" s="558"/>
      <c r="V486" s="535"/>
      <c r="W486" s="558"/>
      <c r="Z486" s="535"/>
      <c r="AA486" s="558"/>
      <c r="AD486" s="535"/>
      <c r="AE486" s="558"/>
      <c r="AH486" s="535"/>
      <c r="AI486" s="558"/>
      <c r="AL486" s="535"/>
      <c r="AP486" s="535"/>
    </row>
    <row r="487">
      <c r="A487" s="552"/>
      <c r="B487" s="552"/>
      <c r="N487" s="535"/>
      <c r="O487" s="558"/>
      <c r="R487" s="535"/>
      <c r="S487" s="558"/>
      <c r="V487" s="535"/>
      <c r="W487" s="558"/>
      <c r="Z487" s="535"/>
      <c r="AA487" s="558"/>
      <c r="AD487" s="535"/>
      <c r="AE487" s="558"/>
      <c r="AH487" s="535"/>
      <c r="AI487" s="558"/>
      <c r="AL487" s="535"/>
      <c r="AP487" s="535"/>
    </row>
    <row r="488">
      <c r="A488" s="552"/>
      <c r="B488" s="552"/>
      <c r="N488" s="535"/>
      <c r="O488" s="558"/>
      <c r="R488" s="535"/>
      <c r="S488" s="558"/>
      <c r="V488" s="535"/>
      <c r="W488" s="558"/>
      <c r="Z488" s="535"/>
      <c r="AA488" s="558"/>
      <c r="AD488" s="535"/>
      <c r="AE488" s="558"/>
      <c r="AH488" s="535"/>
      <c r="AI488" s="558"/>
      <c r="AL488" s="535"/>
      <c r="AP488" s="535"/>
    </row>
    <row r="489">
      <c r="A489" s="552"/>
      <c r="B489" s="552"/>
      <c r="N489" s="535"/>
      <c r="O489" s="558"/>
      <c r="R489" s="535"/>
      <c r="S489" s="558"/>
      <c r="V489" s="535"/>
      <c r="W489" s="558"/>
      <c r="Z489" s="535"/>
      <c r="AA489" s="558"/>
      <c r="AD489" s="535"/>
      <c r="AE489" s="558"/>
      <c r="AH489" s="535"/>
      <c r="AI489" s="558"/>
      <c r="AL489" s="535"/>
      <c r="AP489" s="535"/>
    </row>
    <row r="490">
      <c r="A490" s="552"/>
      <c r="B490" s="552"/>
      <c r="N490" s="535"/>
      <c r="O490" s="558"/>
      <c r="R490" s="535"/>
      <c r="S490" s="558"/>
      <c r="V490" s="535"/>
      <c r="W490" s="558"/>
      <c r="Z490" s="535"/>
      <c r="AA490" s="558"/>
      <c r="AD490" s="535"/>
      <c r="AE490" s="558"/>
      <c r="AH490" s="535"/>
      <c r="AI490" s="558"/>
      <c r="AL490" s="535"/>
      <c r="AP490" s="535"/>
    </row>
    <row r="491">
      <c r="A491" s="552"/>
      <c r="B491" s="552"/>
      <c r="N491" s="535"/>
      <c r="O491" s="558"/>
      <c r="R491" s="535"/>
      <c r="S491" s="558"/>
      <c r="V491" s="535"/>
      <c r="W491" s="558"/>
      <c r="Z491" s="535"/>
      <c r="AA491" s="558"/>
      <c r="AD491" s="535"/>
      <c r="AE491" s="558"/>
      <c r="AH491" s="535"/>
      <c r="AI491" s="558"/>
      <c r="AL491" s="535"/>
      <c r="AP491" s="535"/>
    </row>
    <row r="492">
      <c r="A492" s="552"/>
      <c r="B492" s="552"/>
      <c r="N492" s="535"/>
      <c r="O492" s="558"/>
      <c r="R492" s="535"/>
      <c r="S492" s="558"/>
      <c r="V492" s="535"/>
      <c r="W492" s="558"/>
      <c r="Z492" s="535"/>
      <c r="AA492" s="558"/>
      <c r="AD492" s="535"/>
      <c r="AE492" s="558"/>
      <c r="AH492" s="535"/>
      <c r="AI492" s="558"/>
      <c r="AL492" s="535"/>
      <c r="AP492" s="535"/>
    </row>
    <row r="493">
      <c r="A493" s="552"/>
      <c r="B493" s="552"/>
      <c r="N493" s="535"/>
      <c r="O493" s="558"/>
      <c r="R493" s="535"/>
      <c r="S493" s="558"/>
      <c r="V493" s="535"/>
      <c r="W493" s="558"/>
      <c r="Z493" s="535"/>
      <c r="AA493" s="558"/>
      <c r="AD493" s="535"/>
      <c r="AE493" s="558"/>
      <c r="AH493" s="535"/>
      <c r="AI493" s="558"/>
      <c r="AL493" s="535"/>
      <c r="AP493" s="535"/>
    </row>
    <row r="494">
      <c r="A494" s="552"/>
      <c r="B494" s="552"/>
      <c r="N494" s="535"/>
      <c r="O494" s="558"/>
      <c r="R494" s="535"/>
      <c r="S494" s="558"/>
      <c r="V494" s="535"/>
      <c r="W494" s="558"/>
      <c r="Z494" s="535"/>
      <c r="AA494" s="558"/>
      <c r="AD494" s="535"/>
      <c r="AE494" s="558"/>
      <c r="AH494" s="535"/>
      <c r="AI494" s="558"/>
      <c r="AL494" s="535"/>
      <c r="AP494" s="535"/>
    </row>
    <row r="495">
      <c r="A495" s="552"/>
      <c r="B495" s="552"/>
      <c r="N495" s="535"/>
      <c r="O495" s="558"/>
      <c r="R495" s="535"/>
      <c r="S495" s="558"/>
      <c r="V495" s="535"/>
      <c r="W495" s="558"/>
      <c r="Z495" s="535"/>
      <c r="AA495" s="558"/>
      <c r="AD495" s="535"/>
      <c r="AE495" s="558"/>
      <c r="AH495" s="535"/>
      <c r="AI495" s="558"/>
      <c r="AL495" s="535"/>
      <c r="AP495" s="535"/>
    </row>
    <row r="496">
      <c r="A496" s="552"/>
      <c r="B496" s="552"/>
      <c r="N496" s="535"/>
      <c r="O496" s="558"/>
      <c r="R496" s="535"/>
      <c r="S496" s="558"/>
      <c r="V496" s="535"/>
      <c r="W496" s="558"/>
      <c r="Z496" s="535"/>
      <c r="AA496" s="558"/>
      <c r="AD496" s="535"/>
      <c r="AE496" s="558"/>
      <c r="AH496" s="535"/>
      <c r="AI496" s="558"/>
      <c r="AL496" s="535"/>
      <c r="AP496" s="535"/>
    </row>
    <row r="497">
      <c r="A497" s="552"/>
      <c r="B497" s="552"/>
      <c r="N497" s="535"/>
      <c r="O497" s="558"/>
      <c r="R497" s="535"/>
      <c r="S497" s="558"/>
      <c r="V497" s="535"/>
      <c r="W497" s="558"/>
      <c r="Z497" s="535"/>
      <c r="AA497" s="558"/>
      <c r="AD497" s="535"/>
      <c r="AE497" s="558"/>
      <c r="AH497" s="535"/>
      <c r="AI497" s="558"/>
      <c r="AL497" s="535"/>
      <c r="AP497" s="535"/>
    </row>
    <row r="498">
      <c r="A498" s="552"/>
      <c r="B498" s="552"/>
      <c r="N498" s="535"/>
      <c r="O498" s="558"/>
      <c r="R498" s="535"/>
      <c r="S498" s="558"/>
      <c r="V498" s="535"/>
      <c r="W498" s="558"/>
      <c r="Z498" s="535"/>
      <c r="AA498" s="558"/>
      <c r="AD498" s="535"/>
      <c r="AE498" s="558"/>
      <c r="AH498" s="535"/>
      <c r="AI498" s="558"/>
      <c r="AL498" s="535"/>
      <c r="AP498" s="535"/>
    </row>
    <row r="499">
      <c r="A499" s="552"/>
      <c r="B499" s="552"/>
      <c r="N499" s="535"/>
      <c r="O499" s="558"/>
      <c r="R499" s="535"/>
      <c r="S499" s="558"/>
      <c r="V499" s="535"/>
      <c r="W499" s="558"/>
      <c r="Z499" s="535"/>
      <c r="AA499" s="558"/>
      <c r="AD499" s="535"/>
      <c r="AE499" s="558"/>
      <c r="AH499" s="535"/>
      <c r="AI499" s="558"/>
      <c r="AL499" s="535"/>
      <c r="AP499" s="535"/>
    </row>
    <row r="500">
      <c r="A500" s="552"/>
      <c r="B500" s="552"/>
      <c r="N500" s="535"/>
      <c r="O500" s="558"/>
      <c r="R500" s="535"/>
      <c r="S500" s="558"/>
      <c r="V500" s="535"/>
      <c r="W500" s="558"/>
      <c r="Z500" s="535"/>
      <c r="AA500" s="558"/>
      <c r="AD500" s="535"/>
      <c r="AE500" s="558"/>
      <c r="AH500" s="535"/>
      <c r="AI500" s="558"/>
      <c r="AL500" s="535"/>
      <c r="AP500" s="535"/>
    </row>
    <row r="501">
      <c r="A501" s="552"/>
      <c r="B501" s="552"/>
      <c r="N501" s="535"/>
      <c r="O501" s="558"/>
      <c r="R501" s="535"/>
      <c r="S501" s="558"/>
      <c r="V501" s="535"/>
      <c r="W501" s="558"/>
      <c r="Z501" s="535"/>
      <c r="AA501" s="558"/>
      <c r="AD501" s="535"/>
      <c r="AE501" s="558"/>
      <c r="AH501" s="535"/>
      <c r="AI501" s="558"/>
      <c r="AL501" s="535"/>
      <c r="AP501" s="535"/>
    </row>
    <row r="502">
      <c r="A502" s="552"/>
      <c r="B502" s="552"/>
      <c r="N502" s="535"/>
      <c r="O502" s="558"/>
      <c r="R502" s="535"/>
      <c r="S502" s="558"/>
      <c r="V502" s="535"/>
      <c r="W502" s="558"/>
      <c r="Z502" s="535"/>
      <c r="AA502" s="558"/>
      <c r="AD502" s="535"/>
      <c r="AE502" s="558"/>
      <c r="AH502" s="535"/>
      <c r="AI502" s="558"/>
      <c r="AL502" s="535"/>
      <c r="AP502" s="535"/>
    </row>
    <row r="503">
      <c r="A503" s="552"/>
      <c r="B503" s="552"/>
      <c r="N503" s="535"/>
      <c r="O503" s="558"/>
      <c r="R503" s="535"/>
      <c r="S503" s="558"/>
      <c r="V503" s="535"/>
      <c r="W503" s="558"/>
      <c r="Z503" s="535"/>
      <c r="AA503" s="558"/>
      <c r="AD503" s="535"/>
      <c r="AE503" s="558"/>
      <c r="AH503" s="535"/>
      <c r="AI503" s="558"/>
      <c r="AL503" s="535"/>
      <c r="AP503" s="535"/>
    </row>
    <row r="504">
      <c r="A504" s="552"/>
      <c r="B504" s="552"/>
      <c r="N504" s="535"/>
      <c r="O504" s="558"/>
      <c r="R504" s="535"/>
      <c r="S504" s="558"/>
      <c r="V504" s="535"/>
      <c r="W504" s="558"/>
      <c r="Z504" s="535"/>
      <c r="AA504" s="558"/>
      <c r="AD504" s="535"/>
      <c r="AE504" s="558"/>
      <c r="AH504" s="535"/>
      <c r="AI504" s="558"/>
      <c r="AL504" s="535"/>
      <c r="AP504" s="535"/>
    </row>
    <row r="505">
      <c r="A505" s="552"/>
      <c r="B505" s="552"/>
      <c r="N505" s="535"/>
      <c r="O505" s="558"/>
      <c r="R505" s="535"/>
      <c r="S505" s="558"/>
      <c r="V505" s="535"/>
      <c r="W505" s="558"/>
      <c r="Z505" s="535"/>
      <c r="AA505" s="558"/>
      <c r="AD505" s="535"/>
      <c r="AE505" s="558"/>
      <c r="AH505" s="535"/>
      <c r="AI505" s="558"/>
      <c r="AL505" s="535"/>
      <c r="AP505" s="535"/>
    </row>
    <row r="506">
      <c r="A506" s="552"/>
      <c r="B506" s="552"/>
      <c r="N506" s="535"/>
      <c r="O506" s="558"/>
      <c r="R506" s="535"/>
      <c r="S506" s="558"/>
      <c r="V506" s="535"/>
      <c r="W506" s="558"/>
      <c r="Z506" s="535"/>
      <c r="AA506" s="558"/>
      <c r="AD506" s="535"/>
      <c r="AE506" s="558"/>
      <c r="AH506" s="535"/>
      <c r="AI506" s="558"/>
      <c r="AL506" s="535"/>
      <c r="AP506" s="535"/>
    </row>
    <row r="507">
      <c r="A507" s="552"/>
      <c r="B507" s="552"/>
      <c r="N507" s="535"/>
      <c r="O507" s="558"/>
      <c r="R507" s="535"/>
      <c r="S507" s="558"/>
      <c r="V507" s="535"/>
      <c r="W507" s="558"/>
      <c r="Z507" s="535"/>
      <c r="AA507" s="558"/>
      <c r="AD507" s="535"/>
      <c r="AE507" s="558"/>
      <c r="AH507" s="535"/>
      <c r="AI507" s="558"/>
      <c r="AL507" s="535"/>
      <c r="AP507" s="535"/>
    </row>
    <row r="508">
      <c r="A508" s="552"/>
      <c r="B508" s="552"/>
      <c r="N508" s="535"/>
      <c r="O508" s="558"/>
      <c r="R508" s="535"/>
      <c r="S508" s="558"/>
      <c r="V508" s="535"/>
      <c r="W508" s="558"/>
      <c r="Z508" s="535"/>
      <c r="AA508" s="558"/>
      <c r="AD508" s="535"/>
      <c r="AE508" s="558"/>
      <c r="AH508" s="535"/>
      <c r="AI508" s="558"/>
      <c r="AL508" s="535"/>
      <c r="AP508" s="535"/>
    </row>
    <row r="509">
      <c r="A509" s="552"/>
      <c r="B509" s="552"/>
      <c r="N509" s="535"/>
      <c r="O509" s="558"/>
      <c r="R509" s="535"/>
      <c r="S509" s="558"/>
      <c r="V509" s="535"/>
      <c r="W509" s="558"/>
      <c r="Z509" s="535"/>
      <c r="AA509" s="558"/>
      <c r="AD509" s="535"/>
      <c r="AE509" s="558"/>
      <c r="AH509" s="535"/>
      <c r="AI509" s="558"/>
      <c r="AL509" s="535"/>
      <c r="AP509" s="535"/>
    </row>
    <row r="510">
      <c r="A510" s="552"/>
      <c r="B510" s="552"/>
      <c r="N510" s="535"/>
      <c r="O510" s="558"/>
      <c r="R510" s="535"/>
      <c r="S510" s="558"/>
      <c r="V510" s="535"/>
      <c r="W510" s="558"/>
      <c r="Z510" s="535"/>
      <c r="AA510" s="558"/>
      <c r="AD510" s="535"/>
      <c r="AE510" s="558"/>
      <c r="AH510" s="535"/>
      <c r="AI510" s="558"/>
      <c r="AL510" s="535"/>
      <c r="AP510" s="535"/>
    </row>
    <row r="511">
      <c r="A511" s="552"/>
      <c r="B511" s="552"/>
      <c r="N511" s="535"/>
      <c r="O511" s="558"/>
      <c r="R511" s="535"/>
      <c r="S511" s="558"/>
      <c r="V511" s="535"/>
      <c r="W511" s="558"/>
      <c r="Z511" s="535"/>
      <c r="AA511" s="558"/>
      <c r="AD511" s="535"/>
      <c r="AE511" s="558"/>
      <c r="AH511" s="535"/>
      <c r="AI511" s="558"/>
      <c r="AL511" s="535"/>
      <c r="AP511" s="535"/>
    </row>
    <row r="512">
      <c r="A512" s="552"/>
      <c r="B512" s="552"/>
      <c r="N512" s="535"/>
      <c r="O512" s="558"/>
      <c r="R512" s="535"/>
      <c r="S512" s="558"/>
      <c r="V512" s="535"/>
      <c r="W512" s="558"/>
      <c r="Z512" s="535"/>
      <c r="AA512" s="558"/>
      <c r="AD512" s="535"/>
      <c r="AE512" s="558"/>
      <c r="AH512" s="535"/>
      <c r="AI512" s="558"/>
      <c r="AL512" s="535"/>
      <c r="AP512" s="535"/>
    </row>
    <row r="513">
      <c r="A513" s="552"/>
      <c r="B513" s="552"/>
      <c r="N513" s="535"/>
      <c r="O513" s="558"/>
      <c r="R513" s="535"/>
      <c r="S513" s="558"/>
      <c r="V513" s="535"/>
      <c r="W513" s="558"/>
      <c r="Z513" s="535"/>
      <c r="AA513" s="558"/>
      <c r="AD513" s="535"/>
      <c r="AE513" s="558"/>
      <c r="AH513" s="535"/>
      <c r="AI513" s="558"/>
      <c r="AL513" s="535"/>
      <c r="AP513" s="535"/>
    </row>
    <row r="514">
      <c r="A514" s="552"/>
      <c r="B514" s="552"/>
      <c r="N514" s="535"/>
      <c r="O514" s="558"/>
      <c r="R514" s="535"/>
      <c r="S514" s="558"/>
      <c r="V514" s="535"/>
      <c r="W514" s="558"/>
      <c r="Z514" s="535"/>
      <c r="AA514" s="558"/>
      <c r="AD514" s="535"/>
      <c r="AE514" s="558"/>
      <c r="AH514" s="535"/>
      <c r="AI514" s="558"/>
      <c r="AL514" s="535"/>
      <c r="AP514" s="535"/>
    </row>
    <row r="515">
      <c r="A515" s="552"/>
      <c r="B515" s="552"/>
      <c r="N515" s="535"/>
      <c r="O515" s="558"/>
      <c r="R515" s="535"/>
      <c r="S515" s="558"/>
      <c r="V515" s="535"/>
      <c r="W515" s="558"/>
      <c r="Z515" s="535"/>
      <c r="AA515" s="558"/>
      <c r="AD515" s="535"/>
      <c r="AE515" s="558"/>
      <c r="AH515" s="535"/>
      <c r="AI515" s="558"/>
      <c r="AL515" s="535"/>
      <c r="AP515" s="535"/>
    </row>
    <row r="516">
      <c r="A516" s="552"/>
      <c r="B516" s="552"/>
      <c r="N516" s="535"/>
      <c r="O516" s="558"/>
      <c r="R516" s="535"/>
      <c r="S516" s="558"/>
      <c r="V516" s="535"/>
      <c r="W516" s="558"/>
      <c r="Z516" s="535"/>
      <c r="AA516" s="558"/>
      <c r="AD516" s="535"/>
      <c r="AE516" s="558"/>
      <c r="AH516" s="535"/>
      <c r="AI516" s="558"/>
      <c r="AL516" s="535"/>
      <c r="AP516" s="535"/>
    </row>
    <row r="517">
      <c r="A517" s="552"/>
      <c r="B517" s="552"/>
      <c r="N517" s="535"/>
      <c r="O517" s="558"/>
      <c r="R517" s="535"/>
      <c r="S517" s="558"/>
      <c r="V517" s="535"/>
      <c r="W517" s="558"/>
      <c r="Z517" s="535"/>
      <c r="AA517" s="558"/>
      <c r="AD517" s="535"/>
      <c r="AE517" s="558"/>
      <c r="AH517" s="535"/>
      <c r="AI517" s="558"/>
      <c r="AL517" s="535"/>
      <c r="AP517" s="535"/>
    </row>
    <row r="518">
      <c r="A518" s="552"/>
      <c r="B518" s="552"/>
      <c r="N518" s="535"/>
      <c r="O518" s="558"/>
      <c r="R518" s="535"/>
      <c r="S518" s="558"/>
      <c r="V518" s="535"/>
      <c r="W518" s="558"/>
      <c r="Z518" s="535"/>
      <c r="AA518" s="558"/>
      <c r="AD518" s="535"/>
      <c r="AE518" s="558"/>
      <c r="AH518" s="535"/>
      <c r="AI518" s="558"/>
      <c r="AL518" s="535"/>
      <c r="AP518" s="535"/>
    </row>
    <row r="519">
      <c r="A519" s="552"/>
      <c r="B519" s="552"/>
      <c r="N519" s="535"/>
      <c r="O519" s="558"/>
      <c r="R519" s="535"/>
      <c r="S519" s="558"/>
      <c r="V519" s="535"/>
      <c r="W519" s="558"/>
      <c r="Z519" s="535"/>
      <c r="AA519" s="558"/>
      <c r="AD519" s="535"/>
      <c r="AE519" s="558"/>
      <c r="AH519" s="535"/>
      <c r="AI519" s="558"/>
      <c r="AL519" s="535"/>
      <c r="AP519" s="535"/>
    </row>
    <row r="520">
      <c r="A520" s="552"/>
      <c r="B520" s="552"/>
      <c r="N520" s="535"/>
      <c r="O520" s="558"/>
      <c r="R520" s="535"/>
      <c r="S520" s="558"/>
      <c r="V520" s="535"/>
      <c r="W520" s="558"/>
      <c r="Z520" s="535"/>
      <c r="AA520" s="558"/>
      <c r="AD520" s="535"/>
      <c r="AE520" s="558"/>
      <c r="AH520" s="535"/>
      <c r="AI520" s="558"/>
      <c r="AL520" s="535"/>
      <c r="AP520" s="535"/>
    </row>
    <row r="521">
      <c r="A521" s="552"/>
      <c r="B521" s="552"/>
      <c r="N521" s="535"/>
      <c r="O521" s="558"/>
      <c r="R521" s="535"/>
      <c r="S521" s="558"/>
      <c r="V521" s="535"/>
      <c r="W521" s="558"/>
      <c r="Z521" s="535"/>
      <c r="AA521" s="558"/>
      <c r="AD521" s="535"/>
      <c r="AE521" s="558"/>
      <c r="AH521" s="535"/>
      <c r="AI521" s="558"/>
      <c r="AL521" s="535"/>
      <c r="AP521" s="535"/>
    </row>
    <row r="522">
      <c r="A522" s="552"/>
      <c r="B522" s="552"/>
      <c r="N522" s="535"/>
      <c r="O522" s="558"/>
      <c r="R522" s="535"/>
      <c r="S522" s="558"/>
      <c r="V522" s="535"/>
      <c r="W522" s="558"/>
      <c r="Z522" s="535"/>
      <c r="AA522" s="558"/>
      <c r="AD522" s="535"/>
      <c r="AE522" s="558"/>
      <c r="AH522" s="535"/>
      <c r="AI522" s="558"/>
      <c r="AL522" s="535"/>
      <c r="AP522" s="535"/>
    </row>
    <row r="523">
      <c r="A523" s="552"/>
      <c r="B523" s="552"/>
      <c r="N523" s="535"/>
      <c r="O523" s="558"/>
      <c r="R523" s="535"/>
      <c r="S523" s="558"/>
      <c r="V523" s="535"/>
      <c r="W523" s="558"/>
      <c r="Z523" s="535"/>
      <c r="AA523" s="558"/>
      <c r="AD523" s="535"/>
      <c r="AE523" s="558"/>
      <c r="AH523" s="535"/>
      <c r="AI523" s="558"/>
      <c r="AL523" s="535"/>
      <c r="AP523" s="535"/>
    </row>
    <row r="524">
      <c r="A524" s="552"/>
      <c r="B524" s="552"/>
      <c r="N524" s="535"/>
      <c r="O524" s="558"/>
      <c r="R524" s="535"/>
      <c r="S524" s="558"/>
      <c r="V524" s="535"/>
      <c r="W524" s="558"/>
      <c r="Z524" s="535"/>
      <c r="AA524" s="558"/>
      <c r="AD524" s="535"/>
      <c r="AE524" s="558"/>
      <c r="AH524" s="535"/>
      <c r="AI524" s="558"/>
      <c r="AL524" s="535"/>
      <c r="AP524" s="535"/>
    </row>
    <row r="525">
      <c r="A525" s="552"/>
      <c r="B525" s="552"/>
      <c r="N525" s="535"/>
      <c r="O525" s="558"/>
      <c r="R525" s="535"/>
      <c r="S525" s="558"/>
      <c r="V525" s="535"/>
      <c r="W525" s="558"/>
      <c r="Z525" s="535"/>
      <c r="AA525" s="558"/>
      <c r="AD525" s="535"/>
      <c r="AE525" s="558"/>
      <c r="AH525" s="535"/>
      <c r="AI525" s="558"/>
      <c r="AL525" s="535"/>
      <c r="AP525" s="535"/>
    </row>
    <row r="526">
      <c r="A526" s="552"/>
      <c r="B526" s="552"/>
      <c r="N526" s="535"/>
      <c r="O526" s="558"/>
      <c r="R526" s="535"/>
      <c r="S526" s="558"/>
      <c r="V526" s="535"/>
      <c r="W526" s="558"/>
      <c r="Z526" s="535"/>
      <c r="AA526" s="558"/>
      <c r="AD526" s="535"/>
      <c r="AE526" s="558"/>
      <c r="AH526" s="535"/>
      <c r="AI526" s="558"/>
      <c r="AL526" s="535"/>
      <c r="AP526" s="535"/>
    </row>
    <row r="527">
      <c r="A527" s="552"/>
      <c r="B527" s="552"/>
      <c r="N527" s="535"/>
      <c r="O527" s="558"/>
      <c r="R527" s="535"/>
      <c r="S527" s="558"/>
      <c r="V527" s="535"/>
      <c r="W527" s="558"/>
      <c r="Z527" s="535"/>
      <c r="AA527" s="558"/>
      <c r="AD527" s="535"/>
      <c r="AE527" s="558"/>
      <c r="AH527" s="535"/>
      <c r="AI527" s="558"/>
      <c r="AL527" s="535"/>
      <c r="AP527" s="535"/>
    </row>
    <row r="528">
      <c r="A528" s="552"/>
      <c r="B528" s="552"/>
      <c r="N528" s="535"/>
      <c r="O528" s="558"/>
      <c r="R528" s="535"/>
      <c r="S528" s="558"/>
      <c r="V528" s="535"/>
      <c r="W528" s="558"/>
      <c r="Z528" s="535"/>
      <c r="AA528" s="558"/>
      <c r="AD528" s="535"/>
      <c r="AE528" s="558"/>
      <c r="AH528" s="535"/>
      <c r="AI528" s="558"/>
      <c r="AL528" s="535"/>
      <c r="AP528" s="535"/>
    </row>
    <row r="529">
      <c r="A529" s="552"/>
      <c r="B529" s="552"/>
      <c r="N529" s="535"/>
      <c r="O529" s="558"/>
      <c r="R529" s="535"/>
      <c r="S529" s="558"/>
      <c r="V529" s="535"/>
      <c r="W529" s="558"/>
      <c r="Z529" s="535"/>
      <c r="AA529" s="558"/>
      <c r="AD529" s="535"/>
      <c r="AE529" s="558"/>
      <c r="AH529" s="535"/>
      <c r="AI529" s="558"/>
      <c r="AL529" s="535"/>
      <c r="AP529" s="535"/>
    </row>
    <row r="530">
      <c r="A530" s="552"/>
      <c r="B530" s="552"/>
      <c r="N530" s="535"/>
      <c r="O530" s="558"/>
      <c r="R530" s="535"/>
      <c r="S530" s="558"/>
      <c r="V530" s="535"/>
      <c r="W530" s="558"/>
      <c r="Z530" s="535"/>
      <c r="AA530" s="558"/>
      <c r="AD530" s="535"/>
      <c r="AE530" s="558"/>
      <c r="AH530" s="535"/>
      <c r="AI530" s="558"/>
      <c r="AL530" s="535"/>
      <c r="AP530" s="535"/>
    </row>
    <row r="531">
      <c r="A531" s="552"/>
      <c r="B531" s="552"/>
      <c r="N531" s="535"/>
      <c r="O531" s="558"/>
      <c r="R531" s="535"/>
      <c r="S531" s="558"/>
      <c r="V531" s="535"/>
      <c r="W531" s="558"/>
      <c r="Z531" s="535"/>
      <c r="AA531" s="558"/>
      <c r="AD531" s="535"/>
      <c r="AE531" s="558"/>
      <c r="AH531" s="535"/>
      <c r="AI531" s="558"/>
      <c r="AL531" s="535"/>
      <c r="AP531" s="535"/>
    </row>
    <row r="532">
      <c r="A532" s="552"/>
      <c r="B532" s="552"/>
      <c r="N532" s="535"/>
      <c r="O532" s="558"/>
      <c r="R532" s="535"/>
      <c r="S532" s="558"/>
      <c r="V532" s="535"/>
      <c r="W532" s="558"/>
      <c r="Z532" s="535"/>
      <c r="AA532" s="558"/>
      <c r="AD532" s="535"/>
      <c r="AE532" s="558"/>
      <c r="AH532" s="535"/>
      <c r="AI532" s="558"/>
      <c r="AL532" s="535"/>
      <c r="AP532" s="535"/>
    </row>
    <row r="533">
      <c r="A533" s="552"/>
      <c r="B533" s="552"/>
      <c r="N533" s="535"/>
      <c r="O533" s="558"/>
      <c r="R533" s="535"/>
      <c r="S533" s="558"/>
      <c r="V533" s="535"/>
      <c r="W533" s="558"/>
      <c r="Z533" s="535"/>
      <c r="AA533" s="558"/>
      <c r="AD533" s="535"/>
      <c r="AE533" s="558"/>
      <c r="AH533" s="535"/>
      <c r="AI533" s="558"/>
      <c r="AL533" s="535"/>
      <c r="AP533" s="535"/>
    </row>
    <row r="534">
      <c r="A534" s="552"/>
      <c r="B534" s="552"/>
      <c r="N534" s="535"/>
      <c r="O534" s="558"/>
      <c r="R534" s="535"/>
      <c r="S534" s="558"/>
      <c r="V534" s="535"/>
      <c r="W534" s="558"/>
      <c r="Z534" s="535"/>
      <c r="AA534" s="558"/>
      <c r="AD534" s="535"/>
      <c r="AE534" s="558"/>
      <c r="AH534" s="535"/>
      <c r="AI534" s="558"/>
      <c r="AL534" s="535"/>
      <c r="AP534" s="535"/>
    </row>
    <row r="535">
      <c r="A535" s="552"/>
      <c r="B535" s="552"/>
      <c r="N535" s="535"/>
      <c r="O535" s="558"/>
      <c r="R535" s="535"/>
      <c r="S535" s="558"/>
      <c r="V535" s="535"/>
      <c r="W535" s="558"/>
      <c r="Z535" s="535"/>
      <c r="AA535" s="558"/>
      <c r="AD535" s="535"/>
      <c r="AE535" s="558"/>
      <c r="AH535" s="535"/>
      <c r="AI535" s="558"/>
      <c r="AL535" s="535"/>
      <c r="AP535" s="535"/>
    </row>
    <row r="536">
      <c r="A536" s="552"/>
      <c r="B536" s="552"/>
      <c r="N536" s="535"/>
      <c r="O536" s="558"/>
      <c r="R536" s="535"/>
      <c r="S536" s="558"/>
      <c r="V536" s="535"/>
      <c r="W536" s="558"/>
      <c r="Z536" s="535"/>
      <c r="AA536" s="558"/>
      <c r="AD536" s="535"/>
      <c r="AE536" s="558"/>
      <c r="AH536" s="535"/>
      <c r="AI536" s="558"/>
      <c r="AL536" s="535"/>
      <c r="AP536" s="535"/>
    </row>
    <row r="537">
      <c r="A537" s="552"/>
      <c r="B537" s="552"/>
      <c r="N537" s="535"/>
      <c r="O537" s="558"/>
      <c r="R537" s="535"/>
      <c r="S537" s="558"/>
      <c r="V537" s="535"/>
      <c r="W537" s="558"/>
      <c r="Z537" s="535"/>
      <c r="AA537" s="558"/>
      <c r="AD537" s="535"/>
      <c r="AE537" s="558"/>
      <c r="AH537" s="535"/>
      <c r="AI537" s="558"/>
      <c r="AL537" s="535"/>
      <c r="AP537" s="535"/>
    </row>
    <row r="538">
      <c r="A538" s="552"/>
      <c r="B538" s="552"/>
      <c r="N538" s="535"/>
      <c r="O538" s="558"/>
      <c r="R538" s="535"/>
      <c r="S538" s="558"/>
      <c r="V538" s="535"/>
      <c r="W538" s="558"/>
      <c r="Z538" s="535"/>
      <c r="AA538" s="558"/>
      <c r="AD538" s="535"/>
      <c r="AE538" s="558"/>
      <c r="AH538" s="535"/>
      <c r="AI538" s="558"/>
      <c r="AL538" s="535"/>
      <c r="AP538" s="535"/>
    </row>
    <row r="539">
      <c r="A539" s="552"/>
      <c r="B539" s="552"/>
      <c r="N539" s="535"/>
      <c r="O539" s="558"/>
      <c r="R539" s="535"/>
      <c r="S539" s="558"/>
      <c r="V539" s="535"/>
      <c r="W539" s="558"/>
      <c r="Z539" s="535"/>
      <c r="AA539" s="558"/>
      <c r="AD539" s="535"/>
      <c r="AE539" s="558"/>
      <c r="AH539" s="535"/>
      <c r="AI539" s="558"/>
      <c r="AL539" s="535"/>
      <c r="AP539" s="535"/>
    </row>
    <row r="540">
      <c r="A540" s="552"/>
      <c r="B540" s="552"/>
      <c r="N540" s="535"/>
      <c r="O540" s="558"/>
      <c r="R540" s="535"/>
      <c r="S540" s="558"/>
      <c r="V540" s="535"/>
      <c r="W540" s="558"/>
      <c r="Z540" s="535"/>
      <c r="AA540" s="558"/>
      <c r="AD540" s="535"/>
      <c r="AE540" s="558"/>
      <c r="AH540" s="535"/>
      <c r="AI540" s="558"/>
      <c r="AL540" s="535"/>
      <c r="AP540" s="535"/>
    </row>
    <row r="541">
      <c r="A541" s="552"/>
      <c r="B541" s="552"/>
      <c r="N541" s="535"/>
      <c r="O541" s="558"/>
      <c r="R541" s="535"/>
      <c r="S541" s="558"/>
      <c r="V541" s="535"/>
      <c r="W541" s="558"/>
      <c r="Z541" s="535"/>
      <c r="AA541" s="558"/>
      <c r="AD541" s="535"/>
      <c r="AE541" s="558"/>
      <c r="AH541" s="535"/>
      <c r="AI541" s="558"/>
      <c r="AL541" s="535"/>
      <c r="AP541" s="535"/>
    </row>
    <row r="542">
      <c r="A542" s="552"/>
      <c r="B542" s="552"/>
      <c r="N542" s="535"/>
      <c r="O542" s="558"/>
      <c r="R542" s="535"/>
      <c r="S542" s="558"/>
      <c r="V542" s="535"/>
      <c r="W542" s="558"/>
      <c r="Z542" s="535"/>
      <c r="AA542" s="558"/>
      <c r="AD542" s="535"/>
      <c r="AE542" s="558"/>
      <c r="AH542" s="535"/>
      <c r="AI542" s="558"/>
      <c r="AL542" s="535"/>
      <c r="AP542" s="535"/>
    </row>
    <row r="543">
      <c r="A543" s="552"/>
      <c r="B543" s="552"/>
      <c r="N543" s="535"/>
      <c r="O543" s="558"/>
      <c r="R543" s="535"/>
      <c r="S543" s="558"/>
      <c r="V543" s="535"/>
      <c r="W543" s="558"/>
      <c r="Z543" s="535"/>
      <c r="AA543" s="558"/>
      <c r="AD543" s="535"/>
      <c r="AE543" s="558"/>
      <c r="AH543" s="535"/>
      <c r="AI543" s="558"/>
      <c r="AL543" s="535"/>
      <c r="AP543" s="535"/>
    </row>
    <row r="544">
      <c r="A544" s="552"/>
      <c r="B544" s="552"/>
      <c r="N544" s="535"/>
      <c r="O544" s="558"/>
      <c r="R544" s="535"/>
      <c r="S544" s="558"/>
      <c r="V544" s="535"/>
      <c r="W544" s="558"/>
      <c r="Z544" s="535"/>
      <c r="AA544" s="558"/>
      <c r="AD544" s="535"/>
      <c r="AE544" s="558"/>
      <c r="AH544" s="535"/>
      <c r="AI544" s="558"/>
      <c r="AL544" s="535"/>
      <c r="AP544" s="535"/>
    </row>
    <row r="545">
      <c r="A545" s="552"/>
      <c r="B545" s="552"/>
      <c r="N545" s="535"/>
      <c r="O545" s="558"/>
      <c r="R545" s="535"/>
      <c r="S545" s="558"/>
      <c r="V545" s="535"/>
      <c r="W545" s="558"/>
      <c r="Z545" s="535"/>
      <c r="AA545" s="558"/>
      <c r="AD545" s="535"/>
      <c r="AE545" s="558"/>
      <c r="AH545" s="535"/>
      <c r="AI545" s="558"/>
      <c r="AL545" s="535"/>
      <c r="AP545" s="535"/>
    </row>
    <row r="546">
      <c r="A546" s="552"/>
      <c r="B546" s="552"/>
      <c r="N546" s="535"/>
      <c r="O546" s="558"/>
      <c r="R546" s="535"/>
      <c r="S546" s="558"/>
      <c r="V546" s="535"/>
      <c r="W546" s="558"/>
      <c r="Z546" s="535"/>
      <c r="AA546" s="558"/>
      <c r="AD546" s="535"/>
      <c r="AE546" s="558"/>
      <c r="AH546" s="535"/>
      <c r="AI546" s="558"/>
      <c r="AL546" s="535"/>
      <c r="AP546" s="535"/>
    </row>
    <row r="547">
      <c r="A547" s="552"/>
      <c r="B547" s="552"/>
      <c r="N547" s="535"/>
      <c r="O547" s="558"/>
      <c r="R547" s="535"/>
      <c r="S547" s="558"/>
      <c r="V547" s="535"/>
      <c r="W547" s="558"/>
      <c r="Z547" s="535"/>
      <c r="AA547" s="558"/>
      <c r="AD547" s="535"/>
      <c r="AE547" s="558"/>
      <c r="AH547" s="535"/>
      <c r="AI547" s="558"/>
      <c r="AL547" s="535"/>
      <c r="AP547" s="535"/>
    </row>
    <row r="548">
      <c r="A548" s="552"/>
      <c r="B548" s="552"/>
      <c r="N548" s="535"/>
      <c r="O548" s="558"/>
      <c r="R548" s="535"/>
      <c r="S548" s="558"/>
      <c r="V548" s="535"/>
      <c r="W548" s="558"/>
      <c r="Z548" s="535"/>
      <c r="AA548" s="558"/>
      <c r="AD548" s="535"/>
      <c r="AE548" s="558"/>
      <c r="AH548" s="535"/>
      <c r="AI548" s="558"/>
      <c r="AL548" s="535"/>
      <c r="AP548" s="535"/>
    </row>
    <row r="549">
      <c r="A549" s="552"/>
      <c r="B549" s="552"/>
      <c r="N549" s="535"/>
      <c r="O549" s="558"/>
      <c r="R549" s="535"/>
      <c r="S549" s="558"/>
      <c r="V549" s="535"/>
      <c r="W549" s="558"/>
      <c r="Z549" s="535"/>
      <c r="AA549" s="558"/>
      <c r="AD549" s="535"/>
      <c r="AE549" s="558"/>
      <c r="AH549" s="535"/>
      <c r="AI549" s="558"/>
      <c r="AL549" s="535"/>
      <c r="AP549" s="535"/>
    </row>
    <row r="550">
      <c r="A550" s="552"/>
      <c r="B550" s="552"/>
      <c r="N550" s="535"/>
      <c r="O550" s="558"/>
      <c r="R550" s="535"/>
      <c r="S550" s="558"/>
      <c r="V550" s="535"/>
      <c r="W550" s="558"/>
      <c r="Z550" s="535"/>
      <c r="AA550" s="558"/>
      <c r="AD550" s="535"/>
      <c r="AE550" s="558"/>
      <c r="AH550" s="535"/>
      <c r="AI550" s="558"/>
      <c r="AL550" s="535"/>
      <c r="AP550" s="535"/>
    </row>
    <row r="551">
      <c r="A551" s="552"/>
      <c r="B551" s="552"/>
      <c r="N551" s="535"/>
      <c r="O551" s="558"/>
      <c r="R551" s="535"/>
      <c r="S551" s="558"/>
      <c r="V551" s="535"/>
      <c r="W551" s="558"/>
      <c r="Z551" s="535"/>
      <c r="AA551" s="558"/>
      <c r="AD551" s="535"/>
      <c r="AE551" s="558"/>
      <c r="AH551" s="535"/>
      <c r="AI551" s="558"/>
      <c r="AL551" s="535"/>
      <c r="AP551" s="535"/>
    </row>
    <row r="552">
      <c r="A552" s="552"/>
      <c r="B552" s="552"/>
      <c r="N552" s="535"/>
      <c r="O552" s="558"/>
      <c r="R552" s="535"/>
      <c r="S552" s="558"/>
      <c r="V552" s="535"/>
      <c r="W552" s="558"/>
      <c r="Z552" s="535"/>
      <c r="AA552" s="558"/>
      <c r="AD552" s="535"/>
      <c r="AE552" s="558"/>
      <c r="AH552" s="535"/>
      <c r="AI552" s="558"/>
      <c r="AL552" s="535"/>
      <c r="AP552" s="535"/>
    </row>
    <row r="553">
      <c r="A553" s="552"/>
      <c r="B553" s="552"/>
      <c r="N553" s="535"/>
      <c r="O553" s="558"/>
      <c r="R553" s="535"/>
      <c r="S553" s="558"/>
      <c r="V553" s="535"/>
      <c r="W553" s="558"/>
      <c r="Z553" s="535"/>
      <c r="AA553" s="558"/>
      <c r="AD553" s="535"/>
      <c r="AE553" s="558"/>
      <c r="AH553" s="535"/>
      <c r="AI553" s="558"/>
      <c r="AL553" s="535"/>
      <c r="AP553" s="535"/>
    </row>
    <row r="554">
      <c r="A554" s="552"/>
      <c r="B554" s="552"/>
      <c r="N554" s="535"/>
      <c r="O554" s="558"/>
      <c r="R554" s="535"/>
      <c r="S554" s="558"/>
      <c r="V554" s="535"/>
      <c r="W554" s="558"/>
      <c r="Z554" s="535"/>
      <c r="AA554" s="558"/>
      <c r="AD554" s="535"/>
      <c r="AE554" s="558"/>
      <c r="AH554" s="535"/>
      <c r="AI554" s="558"/>
      <c r="AL554" s="535"/>
      <c r="AP554" s="535"/>
    </row>
    <row r="555">
      <c r="A555" s="552"/>
      <c r="B555" s="552"/>
      <c r="N555" s="535"/>
      <c r="O555" s="558"/>
      <c r="R555" s="535"/>
      <c r="S555" s="558"/>
      <c r="V555" s="535"/>
      <c r="W555" s="558"/>
      <c r="Z555" s="535"/>
      <c r="AA555" s="558"/>
      <c r="AD555" s="535"/>
      <c r="AE555" s="558"/>
      <c r="AH555" s="535"/>
      <c r="AI555" s="558"/>
      <c r="AL555" s="535"/>
      <c r="AP555" s="535"/>
    </row>
    <row r="556">
      <c r="A556" s="552"/>
      <c r="B556" s="552"/>
      <c r="N556" s="535"/>
      <c r="O556" s="558"/>
      <c r="R556" s="535"/>
      <c r="S556" s="558"/>
      <c r="V556" s="535"/>
      <c r="W556" s="558"/>
      <c r="Z556" s="535"/>
      <c r="AA556" s="558"/>
      <c r="AD556" s="535"/>
      <c r="AE556" s="558"/>
      <c r="AH556" s="535"/>
      <c r="AI556" s="558"/>
      <c r="AL556" s="535"/>
      <c r="AP556" s="535"/>
    </row>
    <row r="557">
      <c r="A557" s="552"/>
      <c r="B557" s="552"/>
      <c r="N557" s="535"/>
      <c r="O557" s="558"/>
      <c r="R557" s="535"/>
      <c r="S557" s="558"/>
      <c r="V557" s="535"/>
      <c r="W557" s="558"/>
      <c r="Z557" s="535"/>
      <c r="AA557" s="558"/>
      <c r="AD557" s="535"/>
      <c r="AE557" s="558"/>
      <c r="AH557" s="535"/>
      <c r="AI557" s="558"/>
      <c r="AL557" s="535"/>
      <c r="AP557" s="535"/>
    </row>
    <row r="558">
      <c r="A558" s="552"/>
      <c r="B558" s="552"/>
      <c r="N558" s="535"/>
      <c r="O558" s="558"/>
      <c r="R558" s="535"/>
      <c r="S558" s="558"/>
      <c r="V558" s="535"/>
      <c r="W558" s="558"/>
      <c r="Z558" s="535"/>
      <c r="AA558" s="558"/>
      <c r="AD558" s="535"/>
      <c r="AE558" s="558"/>
      <c r="AH558" s="535"/>
      <c r="AI558" s="558"/>
      <c r="AL558" s="535"/>
      <c r="AP558" s="535"/>
    </row>
    <row r="559">
      <c r="A559" s="552"/>
      <c r="B559" s="552"/>
      <c r="N559" s="535"/>
      <c r="O559" s="558"/>
      <c r="R559" s="535"/>
      <c r="S559" s="558"/>
      <c r="V559" s="535"/>
      <c r="W559" s="558"/>
      <c r="Z559" s="535"/>
      <c r="AA559" s="558"/>
      <c r="AD559" s="535"/>
      <c r="AE559" s="558"/>
      <c r="AH559" s="535"/>
      <c r="AI559" s="558"/>
      <c r="AL559" s="535"/>
      <c r="AP559" s="535"/>
    </row>
    <row r="560">
      <c r="A560" s="552"/>
      <c r="B560" s="552"/>
      <c r="N560" s="535"/>
      <c r="O560" s="558"/>
      <c r="R560" s="535"/>
      <c r="S560" s="558"/>
      <c r="V560" s="535"/>
      <c r="W560" s="558"/>
      <c r="Z560" s="535"/>
      <c r="AA560" s="558"/>
      <c r="AD560" s="535"/>
      <c r="AE560" s="558"/>
      <c r="AH560" s="535"/>
      <c r="AI560" s="558"/>
      <c r="AL560" s="535"/>
      <c r="AP560" s="535"/>
    </row>
    <row r="561">
      <c r="A561" s="552"/>
      <c r="B561" s="552"/>
      <c r="N561" s="535"/>
      <c r="O561" s="558"/>
      <c r="R561" s="535"/>
      <c r="S561" s="558"/>
      <c r="V561" s="535"/>
      <c r="W561" s="558"/>
      <c r="Z561" s="535"/>
      <c r="AA561" s="558"/>
      <c r="AD561" s="535"/>
      <c r="AE561" s="558"/>
      <c r="AH561" s="535"/>
      <c r="AI561" s="558"/>
      <c r="AL561" s="535"/>
      <c r="AP561" s="535"/>
    </row>
    <row r="562">
      <c r="A562" s="552"/>
      <c r="B562" s="552"/>
      <c r="N562" s="535"/>
      <c r="O562" s="558"/>
      <c r="R562" s="535"/>
      <c r="S562" s="558"/>
      <c r="V562" s="535"/>
      <c r="W562" s="558"/>
      <c r="Z562" s="535"/>
      <c r="AA562" s="558"/>
      <c r="AD562" s="535"/>
      <c r="AE562" s="558"/>
      <c r="AH562" s="535"/>
      <c r="AI562" s="558"/>
      <c r="AL562" s="535"/>
      <c r="AP562" s="535"/>
    </row>
    <row r="563">
      <c r="A563" s="552"/>
      <c r="B563" s="552"/>
      <c r="N563" s="535"/>
      <c r="O563" s="558"/>
      <c r="R563" s="535"/>
      <c r="S563" s="558"/>
      <c r="V563" s="535"/>
      <c r="W563" s="558"/>
      <c r="Z563" s="535"/>
      <c r="AA563" s="558"/>
      <c r="AD563" s="535"/>
      <c r="AE563" s="558"/>
      <c r="AH563" s="535"/>
      <c r="AI563" s="558"/>
      <c r="AL563" s="535"/>
      <c r="AP563" s="535"/>
    </row>
    <row r="564">
      <c r="A564" s="552"/>
      <c r="B564" s="552"/>
      <c r="N564" s="535"/>
      <c r="O564" s="558"/>
      <c r="R564" s="535"/>
      <c r="S564" s="558"/>
      <c r="V564" s="535"/>
      <c r="W564" s="558"/>
      <c r="Z564" s="535"/>
      <c r="AA564" s="558"/>
      <c r="AD564" s="535"/>
      <c r="AE564" s="558"/>
      <c r="AH564" s="535"/>
      <c r="AI564" s="558"/>
      <c r="AL564" s="535"/>
      <c r="AP564" s="535"/>
    </row>
    <row r="565">
      <c r="A565" s="552"/>
      <c r="B565" s="552"/>
      <c r="N565" s="535"/>
      <c r="O565" s="558"/>
      <c r="R565" s="535"/>
      <c r="S565" s="558"/>
      <c r="V565" s="535"/>
      <c r="W565" s="558"/>
      <c r="Z565" s="535"/>
      <c r="AA565" s="558"/>
      <c r="AD565" s="535"/>
      <c r="AE565" s="558"/>
      <c r="AH565" s="535"/>
      <c r="AI565" s="558"/>
      <c r="AL565" s="535"/>
      <c r="AP565" s="535"/>
    </row>
    <row r="566">
      <c r="A566" s="552"/>
      <c r="B566" s="552"/>
      <c r="N566" s="535"/>
      <c r="O566" s="558"/>
      <c r="R566" s="535"/>
      <c r="S566" s="558"/>
      <c r="V566" s="535"/>
      <c r="W566" s="558"/>
      <c r="Z566" s="535"/>
      <c r="AA566" s="558"/>
      <c r="AD566" s="535"/>
      <c r="AE566" s="558"/>
      <c r="AH566" s="535"/>
      <c r="AI566" s="558"/>
      <c r="AL566" s="535"/>
      <c r="AP566" s="535"/>
    </row>
    <row r="567">
      <c r="A567" s="552"/>
      <c r="B567" s="552"/>
      <c r="N567" s="535"/>
      <c r="O567" s="558"/>
      <c r="R567" s="535"/>
      <c r="S567" s="558"/>
      <c r="V567" s="535"/>
      <c r="W567" s="558"/>
      <c r="Z567" s="535"/>
      <c r="AA567" s="558"/>
      <c r="AD567" s="535"/>
      <c r="AE567" s="558"/>
      <c r="AH567" s="535"/>
      <c r="AI567" s="558"/>
      <c r="AL567" s="535"/>
      <c r="AP567" s="535"/>
    </row>
    <row r="568">
      <c r="A568" s="552"/>
      <c r="B568" s="552"/>
      <c r="N568" s="535"/>
      <c r="O568" s="558"/>
      <c r="R568" s="535"/>
      <c r="S568" s="558"/>
      <c r="V568" s="535"/>
      <c r="W568" s="558"/>
      <c r="Z568" s="535"/>
      <c r="AA568" s="558"/>
      <c r="AD568" s="535"/>
      <c r="AE568" s="558"/>
      <c r="AH568" s="535"/>
      <c r="AI568" s="558"/>
      <c r="AL568" s="535"/>
      <c r="AP568" s="535"/>
    </row>
    <row r="569">
      <c r="A569" s="552"/>
      <c r="B569" s="552"/>
      <c r="N569" s="535"/>
      <c r="O569" s="558"/>
      <c r="R569" s="535"/>
      <c r="S569" s="558"/>
      <c r="V569" s="535"/>
      <c r="W569" s="558"/>
      <c r="Z569" s="535"/>
      <c r="AA569" s="558"/>
      <c r="AD569" s="535"/>
      <c r="AE569" s="558"/>
      <c r="AH569" s="535"/>
      <c r="AI569" s="558"/>
      <c r="AL569" s="535"/>
      <c r="AP569" s="535"/>
    </row>
    <row r="570">
      <c r="A570" s="552"/>
      <c r="B570" s="552"/>
      <c r="N570" s="535"/>
      <c r="O570" s="558"/>
      <c r="R570" s="535"/>
      <c r="S570" s="558"/>
      <c r="V570" s="535"/>
      <c r="W570" s="558"/>
      <c r="Z570" s="535"/>
      <c r="AA570" s="558"/>
      <c r="AD570" s="535"/>
      <c r="AE570" s="558"/>
      <c r="AH570" s="535"/>
      <c r="AI570" s="558"/>
      <c r="AL570" s="535"/>
      <c r="AP570" s="535"/>
    </row>
    <row r="571">
      <c r="A571" s="552"/>
      <c r="B571" s="552"/>
      <c r="N571" s="535"/>
      <c r="O571" s="558"/>
      <c r="R571" s="535"/>
      <c r="S571" s="558"/>
      <c r="V571" s="535"/>
      <c r="W571" s="558"/>
      <c r="Z571" s="535"/>
      <c r="AA571" s="558"/>
      <c r="AD571" s="535"/>
      <c r="AE571" s="558"/>
      <c r="AH571" s="535"/>
      <c r="AI571" s="558"/>
      <c r="AL571" s="535"/>
      <c r="AP571" s="535"/>
    </row>
    <row r="572">
      <c r="A572" s="552"/>
      <c r="B572" s="552"/>
      <c r="N572" s="535"/>
      <c r="O572" s="558"/>
      <c r="R572" s="535"/>
      <c r="S572" s="558"/>
      <c r="V572" s="535"/>
      <c r="W572" s="558"/>
      <c r="Z572" s="535"/>
      <c r="AA572" s="558"/>
      <c r="AD572" s="535"/>
      <c r="AE572" s="558"/>
      <c r="AH572" s="535"/>
      <c r="AI572" s="558"/>
      <c r="AL572" s="535"/>
      <c r="AP572" s="535"/>
    </row>
    <row r="573">
      <c r="A573" s="552"/>
      <c r="B573" s="552"/>
      <c r="N573" s="535"/>
      <c r="O573" s="558"/>
      <c r="R573" s="535"/>
      <c r="S573" s="558"/>
      <c r="V573" s="535"/>
      <c r="W573" s="558"/>
      <c r="Z573" s="535"/>
      <c r="AA573" s="558"/>
      <c r="AD573" s="535"/>
      <c r="AE573" s="558"/>
      <c r="AH573" s="535"/>
      <c r="AI573" s="558"/>
      <c r="AL573" s="535"/>
      <c r="AP573" s="535"/>
    </row>
    <row r="574">
      <c r="A574" s="552"/>
      <c r="B574" s="552"/>
      <c r="N574" s="535"/>
      <c r="O574" s="558"/>
      <c r="R574" s="535"/>
      <c r="S574" s="558"/>
      <c r="V574" s="535"/>
      <c r="W574" s="558"/>
      <c r="Z574" s="535"/>
      <c r="AA574" s="558"/>
      <c r="AD574" s="535"/>
      <c r="AE574" s="558"/>
      <c r="AH574" s="535"/>
      <c r="AI574" s="558"/>
      <c r="AL574" s="535"/>
      <c r="AP574" s="535"/>
    </row>
    <row r="575">
      <c r="A575" s="552"/>
      <c r="B575" s="552"/>
      <c r="N575" s="535"/>
      <c r="O575" s="558"/>
      <c r="R575" s="535"/>
      <c r="S575" s="558"/>
      <c r="V575" s="535"/>
      <c r="W575" s="558"/>
      <c r="Z575" s="535"/>
      <c r="AA575" s="558"/>
      <c r="AD575" s="535"/>
      <c r="AE575" s="558"/>
      <c r="AH575" s="535"/>
      <c r="AI575" s="558"/>
      <c r="AL575" s="535"/>
      <c r="AP575" s="535"/>
    </row>
    <row r="576">
      <c r="A576" s="552"/>
      <c r="B576" s="552"/>
      <c r="N576" s="535"/>
      <c r="O576" s="558"/>
      <c r="R576" s="535"/>
      <c r="S576" s="558"/>
      <c r="V576" s="535"/>
      <c r="W576" s="558"/>
      <c r="Z576" s="535"/>
      <c r="AA576" s="558"/>
      <c r="AD576" s="535"/>
      <c r="AE576" s="558"/>
      <c r="AH576" s="535"/>
      <c r="AI576" s="558"/>
      <c r="AL576" s="535"/>
      <c r="AP576" s="535"/>
    </row>
    <row r="577">
      <c r="A577" s="552"/>
      <c r="B577" s="552"/>
      <c r="N577" s="535"/>
      <c r="O577" s="558"/>
      <c r="R577" s="535"/>
      <c r="S577" s="558"/>
      <c r="V577" s="535"/>
      <c r="W577" s="558"/>
      <c r="Z577" s="535"/>
      <c r="AA577" s="558"/>
      <c r="AD577" s="535"/>
      <c r="AE577" s="558"/>
      <c r="AH577" s="535"/>
      <c r="AI577" s="558"/>
      <c r="AL577" s="535"/>
      <c r="AP577" s="535"/>
    </row>
    <row r="578">
      <c r="A578" s="552"/>
      <c r="B578" s="552"/>
      <c r="N578" s="535"/>
      <c r="O578" s="558"/>
      <c r="R578" s="535"/>
      <c r="S578" s="558"/>
      <c r="V578" s="535"/>
      <c r="W578" s="558"/>
      <c r="Z578" s="535"/>
      <c r="AA578" s="558"/>
      <c r="AD578" s="535"/>
      <c r="AE578" s="558"/>
      <c r="AH578" s="535"/>
      <c r="AI578" s="558"/>
      <c r="AL578" s="535"/>
      <c r="AP578" s="535"/>
    </row>
    <row r="579">
      <c r="A579" s="552"/>
      <c r="B579" s="552"/>
      <c r="N579" s="535"/>
      <c r="O579" s="558"/>
      <c r="R579" s="535"/>
      <c r="S579" s="558"/>
      <c r="V579" s="535"/>
      <c r="W579" s="558"/>
      <c r="Z579" s="535"/>
      <c r="AA579" s="558"/>
      <c r="AD579" s="535"/>
      <c r="AE579" s="558"/>
      <c r="AH579" s="535"/>
      <c r="AI579" s="558"/>
      <c r="AL579" s="535"/>
      <c r="AP579" s="535"/>
    </row>
    <row r="580">
      <c r="A580" s="552"/>
      <c r="B580" s="552"/>
      <c r="N580" s="535"/>
      <c r="O580" s="558"/>
      <c r="R580" s="535"/>
      <c r="S580" s="558"/>
      <c r="V580" s="535"/>
      <c r="W580" s="558"/>
      <c r="Z580" s="535"/>
      <c r="AA580" s="558"/>
      <c r="AD580" s="535"/>
      <c r="AE580" s="558"/>
      <c r="AH580" s="535"/>
      <c r="AI580" s="558"/>
      <c r="AL580" s="535"/>
      <c r="AP580" s="535"/>
    </row>
    <row r="581">
      <c r="A581" s="552"/>
      <c r="B581" s="552"/>
      <c r="N581" s="535"/>
      <c r="O581" s="558"/>
      <c r="R581" s="535"/>
      <c r="S581" s="558"/>
      <c r="V581" s="535"/>
      <c r="W581" s="558"/>
      <c r="Z581" s="535"/>
      <c r="AA581" s="558"/>
      <c r="AD581" s="535"/>
      <c r="AE581" s="558"/>
      <c r="AH581" s="535"/>
      <c r="AI581" s="558"/>
      <c r="AL581" s="535"/>
      <c r="AP581" s="535"/>
    </row>
    <row r="582">
      <c r="A582" s="552"/>
      <c r="B582" s="552"/>
      <c r="N582" s="535"/>
      <c r="O582" s="558"/>
      <c r="R582" s="535"/>
      <c r="S582" s="558"/>
      <c r="V582" s="535"/>
      <c r="W582" s="558"/>
      <c r="Z582" s="535"/>
      <c r="AA582" s="558"/>
      <c r="AD582" s="535"/>
      <c r="AE582" s="558"/>
      <c r="AH582" s="535"/>
      <c r="AI582" s="558"/>
      <c r="AL582" s="535"/>
      <c r="AP582" s="535"/>
    </row>
    <row r="583">
      <c r="A583" s="552"/>
      <c r="B583" s="552"/>
      <c r="N583" s="535"/>
      <c r="O583" s="558"/>
      <c r="R583" s="535"/>
      <c r="S583" s="558"/>
      <c r="V583" s="535"/>
      <c r="W583" s="558"/>
      <c r="Z583" s="535"/>
      <c r="AA583" s="558"/>
      <c r="AD583" s="535"/>
      <c r="AE583" s="558"/>
      <c r="AH583" s="535"/>
      <c r="AI583" s="558"/>
      <c r="AL583" s="535"/>
      <c r="AP583" s="535"/>
    </row>
    <row r="584">
      <c r="A584" s="552"/>
      <c r="B584" s="552"/>
      <c r="N584" s="535"/>
      <c r="O584" s="558"/>
      <c r="R584" s="535"/>
      <c r="S584" s="558"/>
      <c r="V584" s="535"/>
      <c r="W584" s="558"/>
      <c r="Z584" s="535"/>
      <c r="AA584" s="558"/>
      <c r="AD584" s="535"/>
      <c r="AE584" s="558"/>
      <c r="AH584" s="535"/>
      <c r="AI584" s="558"/>
      <c r="AL584" s="535"/>
      <c r="AP584" s="535"/>
    </row>
    <row r="585">
      <c r="A585" s="552"/>
      <c r="B585" s="552"/>
      <c r="N585" s="535"/>
      <c r="O585" s="558"/>
      <c r="R585" s="535"/>
      <c r="S585" s="558"/>
      <c r="V585" s="535"/>
      <c r="W585" s="558"/>
      <c r="Z585" s="535"/>
      <c r="AA585" s="558"/>
      <c r="AD585" s="535"/>
      <c r="AE585" s="558"/>
      <c r="AH585" s="535"/>
      <c r="AI585" s="558"/>
      <c r="AL585" s="535"/>
      <c r="AP585" s="535"/>
    </row>
    <row r="586">
      <c r="A586" s="552"/>
      <c r="B586" s="552"/>
      <c r="N586" s="535"/>
      <c r="O586" s="558"/>
      <c r="R586" s="535"/>
      <c r="S586" s="558"/>
      <c r="V586" s="535"/>
      <c r="W586" s="558"/>
      <c r="Z586" s="535"/>
      <c r="AA586" s="558"/>
      <c r="AD586" s="535"/>
      <c r="AE586" s="558"/>
      <c r="AH586" s="535"/>
      <c r="AI586" s="558"/>
      <c r="AL586" s="535"/>
      <c r="AP586" s="535"/>
    </row>
    <row r="587">
      <c r="A587" s="552"/>
      <c r="B587" s="552"/>
      <c r="N587" s="535"/>
      <c r="O587" s="558"/>
      <c r="R587" s="535"/>
      <c r="S587" s="558"/>
      <c r="V587" s="535"/>
      <c r="W587" s="558"/>
      <c r="Z587" s="535"/>
      <c r="AA587" s="558"/>
      <c r="AD587" s="535"/>
      <c r="AE587" s="558"/>
      <c r="AH587" s="535"/>
      <c r="AI587" s="558"/>
      <c r="AL587" s="535"/>
      <c r="AP587" s="535"/>
    </row>
    <row r="588">
      <c r="A588" s="552"/>
      <c r="B588" s="552"/>
      <c r="N588" s="535"/>
      <c r="O588" s="558"/>
      <c r="R588" s="535"/>
      <c r="S588" s="558"/>
      <c r="V588" s="535"/>
      <c r="W588" s="558"/>
      <c r="Z588" s="535"/>
      <c r="AA588" s="558"/>
      <c r="AD588" s="535"/>
      <c r="AE588" s="558"/>
      <c r="AH588" s="535"/>
      <c r="AI588" s="558"/>
      <c r="AL588" s="535"/>
      <c r="AP588" s="535"/>
    </row>
    <row r="589">
      <c r="A589" s="552"/>
      <c r="B589" s="552"/>
      <c r="N589" s="535"/>
      <c r="O589" s="558"/>
      <c r="R589" s="535"/>
      <c r="S589" s="558"/>
      <c r="V589" s="535"/>
      <c r="W589" s="558"/>
      <c r="Z589" s="535"/>
      <c r="AA589" s="558"/>
      <c r="AD589" s="535"/>
      <c r="AE589" s="558"/>
      <c r="AH589" s="535"/>
      <c r="AI589" s="558"/>
      <c r="AL589" s="535"/>
      <c r="AP589" s="535"/>
    </row>
    <row r="590">
      <c r="A590" s="552"/>
      <c r="B590" s="552"/>
      <c r="N590" s="535"/>
      <c r="O590" s="558"/>
      <c r="R590" s="535"/>
      <c r="S590" s="558"/>
      <c r="V590" s="535"/>
      <c r="W590" s="558"/>
      <c r="Z590" s="535"/>
      <c r="AA590" s="558"/>
      <c r="AD590" s="535"/>
      <c r="AE590" s="558"/>
      <c r="AH590" s="535"/>
      <c r="AI590" s="558"/>
      <c r="AL590" s="535"/>
      <c r="AP590" s="535"/>
    </row>
    <row r="591">
      <c r="A591" s="552"/>
      <c r="B591" s="552"/>
      <c r="N591" s="535"/>
      <c r="O591" s="558"/>
      <c r="R591" s="535"/>
      <c r="S591" s="558"/>
      <c r="V591" s="535"/>
      <c r="W591" s="558"/>
      <c r="Z591" s="535"/>
      <c r="AA591" s="558"/>
      <c r="AD591" s="535"/>
      <c r="AE591" s="558"/>
      <c r="AH591" s="535"/>
      <c r="AI591" s="558"/>
      <c r="AL591" s="535"/>
      <c r="AP591" s="535"/>
    </row>
    <row r="592">
      <c r="A592" s="552"/>
      <c r="B592" s="552"/>
      <c r="N592" s="535"/>
      <c r="O592" s="558"/>
      <c r="R592" s="535"/>
      <c r="S592" s="558"/>
      <c r="V592" s="535"/>
      <c r="W592" s="558"/>
      <c r="Z592" s="535"/>
      <c r="AA592" s="558"/>
      <c r="AD592" s="535"/>
      <c r="AE592" s="558"/>
      <c r="AH592" s="535"/>
      <c r="AI592" s="558"/>
      <c r="AL592" s="535"/>
      <c r="AP592" s="535"/>
    </row>
    <row r="593">
      <c r="A593" s="552"/>
      <c r="B593" s="552"/>
      <c r="N593" s="535"/>
      <c r="O593" s="558"/>
      <c r="R593" s="535"/>
      <c r="S593" s="558"/>
      <c r="V593" s="535"/>
      <c r="W593" s="558"/>
      <c r="Z593" s="535"/>
      <c r="AA593" s="558"/>
      <c r="AD593" s="535"/>
      <c r="AE593" s="558"/>
      <c r="AH593" s="535"/>
      <c r="AI593" s="558"/>
      <c r="AL593" s="535"/>
      <c r="AP593" s="535"/>
    </row>
    <row r="594">
      <c r="A594" s="552"/>
      <c r="B594" s="552"/>
      <c r="N594" s="535"/>
      <c r="O594" s="558"/>
      <c r="R594" s="535"/>
      <c r="S594" s="558"/>
      <c r="V594" s="535"/>
      <c r="W594" s="558"/>
      <c r="Z594" s="535"/>
      <c r="AA594" s="558"/>
      <c r="AD594" s="535"/>
      <c r="AE594" s="558"/>
      <c r="AH594" s="535"/>
      <c r="AI594" s="558"/>
      <c r="AL594" s="535"/>
      <c r="AP594" s="535"/>
    </row>
    <row r="595">
      <c r="A595" s="552"/>
      <c r="B595" s="552"/>
      <c r="N595" s="535"/>
      <c r="O595" s="558"/>
      <c r="R595" s="535"/>
      <c r="S595" s="558"/>
      <c r="V595" s="535"/>
      <c r="W595" s="558"/>
      <c r="Z595" s="535"/>
      <c r="AA595" s="558"/>
      <c r="AD595" s="535"/>
      <c r="AE595" s="558"/>
      <c r="AH595" s="535"/>
      <c r="AI595" s="558"/>
      <c r="AL595" s="535"/>
      <c r="AP595" s="535"/>
    </row>
    <row r="596">
      <c r="A596" s="552"/>
      <c r="B596" s="552"/>
      <c r="N596" s="535"/>
      <c r="O596" s="558"/>
      <c r="R596" s="535"/>
      <c r="S596" s="558"/>
      <c r="V596" s="535"/>
      <c r="W596" s="558"/>
      <c r="Z596" s="535"/>
      <c r="AA596" s="558"/>
      <c r="AD596" s="535"/>
      <c r="AE596" s="558"/>
      <c r="AH596" s="535"/>
      <c r="AI596" s="558"/>
      <c r="AL596" s="535"/>
      <c r="AP596" s="535"/>
    </row>
    <row r="597">
      <c r="A597" s="552"/>
      <c r="B597" s="552"/>
      <c r="N597" s="535"/>
      <c r="O597" s="558"/>
      <c r="R597" s="535"/>
      <c r="S597" s="558"/>
      <c r="V597" s="535"/>
      <c r="W597" s="558"/>
      <c r="Z597" s="535"/>
      <c r="AA597" s="558"/>
      <c r="AD597" s="535"/>
      <c r="AE597" s="558"/>
      <c r="AH597" s="535"/>
      <c r="AI597" s="558"/>
      <c r="AL597" s="535"/>
      <c r="AP597" s="535"/>
    </row>
    <row r="598">
      <c r="A598" s="552"/>
      <c r="B598" s="552"/>
      <c r="N598" s="535"/>
      <c r="O598" s="558"/>
      <c r="R598" s="535"/>
      <c r="S598" s="558"/>
      <c r="V598" s="535"/>
      <c r="W598" s="558"/>
      <c r="Z598" s="535"/>
      <c r="AA598" s="558"/>
      <c r="AD598" s="535"/>
      <c r="AE598" s="558"/>
      <c r="AH598" s="535"/>
      <c r="AI598" s="558"/>
      <c r="AL598" s="535"/>
      <c r="AP598" s="535"/>
    </row>
    <row r="599">
      <c r="A599" s="552"/>
      <c r="B599" s="552"/>
      <c r="N599" s="535"/>
      <c r="O599" s="558"/>
      <c r="R599" s="535"/>
      <c r="S599" s="558"/>
      <c r="V599" s="535"/>
      <c r="W599" s="558"/>
      <c r="Z599" s="535"/>
      <c r="AA599" s="558"/>
      <c r="AD599" s="535"/>
      <c r="AE599" s="558"/>
      <c r="AH599" s="535"/>
      <c r="AI599" s="558"/>
      <c r="AL599" s="535"/>
      <c r="AP599" s="535"/>
    </row>
    <row r="600">
      <c r="A600" s="552"/>
      <c r="B600" s="552"/>
      <c r="N600" s="535"/>
      <c r="O600" s="558"/>
      <c r="R600" s="535"/>
      <c r="S600" s="558"/>
      <c r="V600" s="535"/>
      <c r="W600" s="558"/>
      <c r="Z600" s="535"/>
      <c r="AA600" s="558"/>
      <c r="AD600" s="535"/>
      <c r="AE600" s="558"/>
      <c r="AH600" s="535"/>
      <c r="AI600" s="558"/>
      <c r="AL600" s="535"/>
      <c r="AP600" s="535"/>
    </row>
    <row r="601">
      <c r="A601" s="552"/>
      <c r="B601" s="552"/>
      <c r="N601" s="535"/>
      <c r="O601" s="558"/>
      <c r="R601" s="535"/>
      <c r="S601" s="558"/>
      <c r="V601" s="535"/>
      <c r="W601" s="558"/>
      <c r="Z601" s="535"/>
      <c r="AA601" s="558"/>
      <c r="AD601" s="535"/>
      <c r="AE601" s="558"/>
      <c r="AH601" s="535"/>
      <c r="AI601" s="558"/>
      <c r="AL601" s="535"/>
      <c r="AP601" s="535"/>
    </row>
    <row r="602">
      <c r="A602" s="552"/>
      <c r="B602" s="552"/>
      <c r="N602" s="535"/>
      <c r="O602" s="558"/>
      <c r="R602" s="535"/>
      <c r="S602" s="558"/>
      <c r="V602" s="535"/>
      <c r="W602" s="558"/>
      <c r="Z602" s="535"/>
      <c r="AA602" s="558"/>
      <c r="AD602" s="535"/>
      <c r="AE602" s="558"/>
      <c r="AH602" s="535"/>
      <c r="AI602" s="558"/>
      <c r="AL602" s="535"/>
      <c r="AP602" s="535"/>
    </row>
    <row r="603">
      <c r="A603" s="552"/>
      <c r="B603" s="552"/>
      <c r="N603" s="535"/>
      <c r="O603" s="558"/>
      <c r="R603" s="535"/>
      <c r="S603" s="558"/>
      <c r="V603" s="535"/>
      <c r="W603" s="558"/>
      <c r="Z603" s="535"/>
      <c r="AA603" s="558"/>
      <c r="AD603" s="535"/>
      <c r="AE603" s="558"/>
      <c r="AH603" s="535"/>
      <c r="AI603" s="558"/>
      <c r="AL603" s="535"/>
      <c r="AP603" s="535"/>
    </row>
    <row r="604">
      <c r="A604" s="552"/>
      <c r="B604" s="552"/>
      <c r="N604" s="535"/>
      <c r="O604" s="558"/>
      <c r="R604" s="535"/>
      <c r="S604" s="558"/>
      <c r="V604" s="535"/>
      <c r="W604" s="558"/>
      <c r="Z604" s="535"/>
      <c r="AA604" s="558"/>
      <c r="AD604" s="535"/>
      <c r="AE604" s="558"/>
      <c r="AH604" s="535"/>
      <c r="AI604" s="558"/>
      <c r="AL604" s="535"/>
      <c r="AP604" s="535"/>
    </row>
    <row r="605">
      <c r="A605" s="552"/>
      <c r="B605" s="552"/>
      <c r="N605" s="535"/>
      <c r="O605" s="558"/>
      <c r="R605" s="535"/>
      <c r="S605" s="558"/>
      <c r="V605" s="535"/>
      <c r="W605" s="558"/>
      <c r="Z605" s="535"/>
      <c r="AA605" s="558"/>
      <c r="AD605" s="535"/>
      <c r="AE605" s="558"/>
      <c r="AH605" s="535"/>
      <c r="AI605" s="558"/>
      <c r="AL605" s="535"/>
      <c r="AP605" s="535"/>
    </row>
    <row r="606">
      <c r="A606" s="552"/>
      <c r="B606" s="552"/>
      <c r="N606" s="535"/>
      <c r="O606" s="558"/>
      <c r="R606" s="535"/>
      <c r="S606" s="558"/>
      <c r="V606" s="535"/>
      <c r="W606" s="558"/>
      <c r="Z606" s="535"/>
      <c r="AA606" s="558"/>
      <c r="AD606" s="535"/>
      <c r="AE606" s="558"/>
      <c r="AH606" s="535"/>
      <c r="AI606" s="558"/>
      <c r="AL606" s="535"/>
      <c r="AP606" s="535"/>
    </row>
    <row r="607">
      <c r="A607" s="552"/>
      <c r="B607" s="552"/>
      <c r="N607" s="535"/>
      <c r="O607" s="558"/>
      <c r="R607" s="535"/>
      <c r="S607" s="558"/>
      <c r="V607" s="535"/>
      <c r="W607" s="558"/>
      <c r="Z607" s="535"/>
      <c r="AA607" s="558"/>
      <c r="AD607" s="535"/>
      <c r="AE607" s="558"/>
      <c r="AH607" s="535"/>
      <c r="AI607" s="558"/>
      <c r="AL607" s="535"/>
      <c r="AP607" s="535"/>
    </row>
    <row r="608">
      <c r="A608" s="552"/>
      <c r="B608" s="552"/>
      <c r="N608" s="535"/>
      <c r="O608" s="558"/>
      <c r="R608" s="535"/>
      <c r="S608" s="558"/>
      <c r="V608" s="535"/>
      <c r="W608" s="558"/>
      <c r="Z608" s="535"/>
      <c r="AA608" s="558"/>
      <c r="AD608" s="535"/>
      <c r="AE608" s="558"/>
      <c r="AH608" s="535"/>
      <c r="AI608" s="558"/>
      <c r="AL608" s="535"/>
      <c r="AP608" s="535"/>
    </row>
    <row r="609">
      <c r="A609" s="552"/>
      <c r="B609" s="552"/>
      <c r="N609" s="535"/>
      <c r="O609" s="558"/>
      <c r="R609" s="535"/>
      <c r="S609" s="558"/>
      <c r="V609" s="535"/>
      <c r="W609" s="558"/>
      <c r="Z609" s="535"/>
      <c r="AA609" s="558"/>
      <c r="AD609" s="535"/>
      <c r="AE609" s="558"/>
      <c r="AH609" s="535"/>
      <c r="AI609" s="558"/>
      <c r="AL609" s="535"/>
      <c r="AP609" s="535"/>
    </row>
    <row r="610">
      <c r="A610" s="552"/>
      <c r="B610" s="552"/>
      <c r="N610" s="535"/>
      <c r="O610" s="558"/>
      <c r="R610" s="535"/>
      <c r="S610" s="558"/>
      <c r="V610" s="535"/>
      <c r="W610" s="558"/>
      <c r="Z610" s="535"/>
      <c r="AA610" s="558"/>
      <c r="AD610" s="535"/>
      <c r="AE610" s="558"/>
      <c r="AH610" s="535"/>
      <c r="AI610" s="558"/>
      <c r="AL610" s="535"/>
      <c r="AP610" s="535"/>
    </row>
    <row r="611">
      <c r="A611" s="552"/>
      <c r="B611" s="552"/>
      <c r="N611" s="535"/>
      <c r="O611" s="558"/>
      <c r="R611" s="535"/>
      <c r="S611" s="558"/>
      <c r="V611" s="535"/>
      <c r="W611" s="558"/>
      <c r="Z611" s="535"/>
      <c r="AA611" s="558"/>
      <c r="AD611" s="535"/>
      <c r="AE611" s="558"/>
      <c r="AH611" s="535"/>
      <c r="AI611" s="558"/>
      <c r="AL611" s="535"/>
      <c r="AP611" s="535"/>
    </row>
    <row r="612">
      <c r="A612" s="552"/>
      <c r="B612" s="552"/>
      <c r="N612" s="535"/>
      <c r="O612" s="558"/>
      <c r="R612" s="535"/>
      <c r="S612" s="558"/>
      <c r="V612" s="535"/>
      <c r="W612" s="558"/>
      <c r="Z612" s="535"/>
      <c r="AA612" s="558"/>
      <c r="AD612" s="535"/>
      <c r="AE612" s="558"/>
      <c r="AH612" s="535"/>
      <c r="AI612" s="558"/>
      <c r="AL612" s="535"/>
      <c r="AP612" s="535"/>
    </row>
    <row r="613">
      <c r="A613" s="552"/>
      <c r="B613" s="552"/>
      <c r="N613" s="535"/>
      <c r="O613" s="558"/>
      <c r="R613" s="535"/>
      <c r="S613" s="558"/>
      <c r="V613" s="535"/>
      <c r="W613" s="558"/>
      <c r="Z613" s="535"/>
      <c r="AA613" s="558"/>
      <c r="AD613" s="535"/>
      <c r="AE613" s="558"/>
      <c r="AH613" s="535"/>
      <c r="AI613" s="558"/>
      <c r="AL613" s="535"/>
      <c r="AP613" s="535"/>
    </row>
    <row r="614">
      <c r="A614" s="552"/>
      <c r="B614" s="552"/>
      <c r="N614" s="535"/>
      <c r="O614" s="558"/>
      <c r="R614" s="535"/>
      <c r="S614" s="558"/>
      <c r="V614" s="535"/>
      <c r="W614" s="558"/>
      <c r="Z614" s="535"/>
      <c r="AA614" s="558"/>
      <c r="AD614" s="535"/>
      <c r="AE614" s="558"/>
      <c r="AH614" s="535"/>
      <c r="AI614" s="558"/>
      <c r="AL614" s="535"/>
      <c r="AP614" s="535"/>
    </row>
    <row r="615">
      <c r="A615" s="552"/>
      <c r="B615" s="552"/>
      <c r="N615" s="535"/>
      <c r="O615" s="558"/>
      <c r="R615" s="535"/>
      <c r="S615" s="558"/>
      <c r="V615" s="535"/>
      <c r="W615" s="558"/>
      <c r="Z615" s="535"/>
      <c r="AA615" s="558"/>
      <c r="AD615" s="535"/>
      <c r="AE615" s="558"/>
      <c r="AH615" s="535"/>
      <c r="AI615" s="558"/>
      <c r="AL615" s="535"/>
      <c r="AP615" s="535"/>
    </row>
    <row r="616">
      <c r="A616" s="552"/>
      <c r="B616" s="552"/>
      <c r="N616" s="535"/>
      <c r="O616" s="558"/>
      <c r="R616" s="535"/>
      <c r="S616" s="558"/>
      <c r="V616" s="535"/>
      <c r="W616" s="558"/>
      <c r="Z616" s="535"/>
      <c r="AA616" s="558"/>
      <c r="AD616" s="535"/>
      <c r="AE616" s="558"/>
      <c r="AH616" s="535"/>
      <c r="AI616" s="558"/>
      <c r="AL616" s="535"/>
      <c r="AP616" s="535"/>
    </row>
    <row r="617">
      <c r="A617" s="552"/>
      <c r="B617" s="552"/>
      <c r="N617" s="535"/>
      <c r="O617" s="558"/>
      <c r="R617" s="535"/>
      <c r="S617" s="558"/>
      <c r="V617" s="535"/>
      <c r="W617" s="558"/>
      <c r="Z617" s="535"/>
      <c r="AA617" s="558"/>
      <c r="AD617" s="535"/>
      <c r="AE617" s="558"/>
      <c r="AH617" s="535"/>
      <c r="AI617" s="558"/>
      <c r="AL617" s="535"/>
      <c r="AP617" s="535"/>
    </row>
    <row r="618">
      <c r="A618" s="552"/>
      <c r="B618" s="552"/>
      <c r="N618" s="535"/>
      <c r="O618" s="558"/>
      <c r="R618" s="535"/>
      <c r="S618" s="558"/>
      <c r="V618" s="535"/>
      <c r="W618" s="558"/>
      <c r="Z618" s="535"/>
      <c r="AA618" s="558"/>
      <c r="AD618" s="535"/>
      <c r="AE618" s="558"/>
      <c r="AH618" s="535"/>
      <c r="AI618" s="558"/>
      <c r="AL618" s="535"/>
      <c r="AP618" s="535"/>
    </row>
    <row r="619">
      <c r="A619" s="552"/>
      <c r="B619" s="552"/>
      <c r="N619" s="535"/>
      <c r="O619" s="558"/>
      <c r="R619" s="535"/>
      <c r="S619" s="558"/>
      <c r="V619" s="535"/>
      <c r="W619" s="558"/>
      <c r="Z619" s="535"/>
      <c r="AA619" s="558"/>
      <c r="AD619" s="535"/>
      <c r="AE619" s="558"/>
      <c r="AH619" s="535"/>
      <c r="AI619" s="558"/>
      <c r="AL619" s="535"/>
      <c r="AP619" s="535"/>
    </row>
    <row r="620">
      <c r="A620" s="552"/>
      <c r="B620" s="552"/>
      <c r="N620" s="535"/>
      <c r="O620" s="558"/>
      <c r="R620" s="535"/>
      <c r="S620" s="558"/>
      <c r="V620" s="535"/>
      <c r="W620" s="558"/>
      <c r="Z620" s="535"/>
      <c r="AA620" s="558"/>
      <c r="AD620" s="535"/>
      <c r="AE620" s="558"/>
      <c r="AH620" s="535"/>
      <c r="AI620" s="558"/>
      <c r="AL620" s="535"/>
      <c r="AP620" s="535"/>
    </row>
    <row r="621">
      <c r="A621" s="552"/>
      <c r="B621" s="552"/>
      <c r="N621" s="535"/>
      <c r="O621" s="558"/>
      <c r="R621" s="535"/>
      <c r="S621" s="558"/>
      <c r="V621" s="535"/>
      <c r="W621" s="558"/>
      <c r="Z621" s="535"/>
      <c r="AA621" s="558"/>
      <c r="AD621" s="535"/>
      <c r="AE621" s="558"/>
      <c r="AH621" s="535"/>
      <c r="AI621" s="558"/>
      <c r="AL621" s="535"/>
      <c r="AP621" s="535"/>
    </row>
    <row r="622">
      <c r="A622" s="552"/>
      <c r="B622" s="552"/>
      <c r="N622" s="535"/>
      <c r="O622" s="558"/>
      <c r="R622" s="535"/>
      <c r="S622" s="558"/>
      <c r="V622" s="535"/>
      <c r="W622" s="558"/>
      <c r="Z622" s="535"/>
      <c r="AA622" s="558"/>
      <c r="AD622" s="535"/>
      <c r="AE622" s="558"/>
      <c r="AH622" s="535"/>
      <c r="AI622" s="558"/>
      <c r="AL622" s="535"/>
      <c r="AP622" s="535"/>
    </row>
    <row r="623">
      <c r="A623" s="552"/>
      <c r="B623" s="552"/>
      <c r="N623" s="535"/>
      <c r="O623" s="558"/>
      <c r="R623" s="535"/>
      <c r="S623" s="558"/>
      <c r="V623" s="535"/>
      <c r="W623" s="558"/>
      <c r="Z623" s="535"/>
      <c r="AA623" s="558"/>
      <c r="AD623" s="535"/>
      <c r="AE623" s="558"/>
      <c r="AH623" s="535"/>
      <c r="AI623" s="558"/>
      <c r="AL623" s="535"/>
      <c r="AP623" s="535"/>
    </row>
    <row r="624">
      <c r="A624" s="552"/>
      <c r="B624" s="552"/>
      <c r="N624" s="535"/>
      <c r="O624" s="558"/>
      <c r="R624" s="535"/>
      <c r="S624" s="558"/>
      <c r="V624" s="535"/>
      <c r="W624" s="558"/>
      <c r="Z624" s="535"/>
      <c r="AA624" s="558"/>
      <c r="AD624" s="535"/>
      <c r="AE624" s="558"/>
      <c r="AH624" s="535"/>
      <c r="AI624" s="558"/>
      <c r="AL624" s="535"/>
      <c r="AP624" s="535"/>
    </row>
    <row r="625">
      <c r="A625" s="552"/>
      <c r="B625" s="552"/>
      <c r="N625" s="535"/>
      <c r="O625" s="558"/>
      <c r="R625" s="535"/>
      <c r="S625" s="558"/>
      <c r="V625" s="535"/>
      <c r="W625" s="558"/>
      <c r="Z625" s="535"/>
      <c r="AA625" s="558"/>
      <c r="AD625" s="535"/>
      <c r="AE625" s="558"/>
      <c r="AH625" s="535"/>
      <c r="AI625" s="558"/>
      <c r="AL625" s="535"/>
      <c r="AP625" s="535"/>
    </row>
    <row r="626">
      <c r="A626" s="552"/>
      <c r="B626" s="552"/>
      <c r="N626" s="535"/>
      <c r="O626" s="558"/>
      <c r="R626" s="535"/>
      <c r="S626" s="558"/>
      <c r="V626" s="535"/>
      <c r="W626" s="558"/>
      <c r="Z626" s="535"/>
      <c r="AA626" s="558"/>
      <c r="AD626" s="535"/>
      <c r="AE626" s="558"/>
      <c r="AH626" s="535"/>
      <c r="AI626" s="558"/>
      <c r="AL626" s="535"/>
      <c r="AP626" s="535"/>
    </row>
    <row r="627">
      <c r="A627" s="552"/>
      <c r="B627" s="552"/>
      <c r="N627" s="535"/>
      <c r="O627" s="558"/>
      <c r="R627" s="535"/>
      <c r="S627" s="558"/>
      <c r="V627" s="535"/>
      <c r="W627" s="558"/>
      <c r="Z627" s="535"/>
      <c r="AA627" s="558"/>
      <c r="AD627" s="535"/>
      <c r="AE627" s="558"/>
      <c r="AH627" s="535"/>
      <c r="AI627" s="558"/>
      <c r="AL627" s="535"/>
      <c r="AP627" s="535"/>
    </row>
    <row r="628">
      <c r="A628" s="552"/>
      <c r="B628" s="552"/>
      <c r="N628" s="535"/>
      <c r="O628" s="558"/>
      <c r="R628" s="535"/>
      <c r="S628" s="558"/>
      <c r="V628" s="535"/>
      <c r="W628" s="558"/>
      <c r="Z628" s="535"/>
      <c r="AA628" s="558"/>
      <c r="AD628" s="535"/>
      <c r="AE628" s="558"/>
      <c r="AH628" s="535"/>
      <c r="AI628" s="558"/>
      <c r="AL628" s="535"/>
      <c r="AP628" s="535"/>
    </row>
    <row r="629">
      <c r="A629" s="552"/>
      <c r="B629" s="552"/>
      <c r="N629" s="535"/>
      <c r="O629" s="558"/>
      <c r="R629" s="535"/>
      <c r="S629" s="558"/>
      <c r="V629" s="535"/>
      <c r="W629" s="558"/>
      <c r="Z629" s="535"/>
      <c r="AA629" s="558"/>
      <c r="AD629" s="535"/>
      <c r="AE629" s="558"/>
      <c r="AH629" s="535"/>
      <c r="AI629" s="558"/>
      <c r="AL629" s="535"/>
      <c r="AP629" s="535"/>
    </row>
    <row r="630">
      <c r="A630" s="552"/>
      <c r="B630" s="552"/>
      <c r="N630" s="535"/>
      <c r="O630" s="558"/>
      <c r="R630" s="535"/>
      <c r="S630" s="558"/>
      <c r="V630" s="535"/>
      <c r="W630" s="558"/>
      <c r="Z630" s="535"/>
      <c r="AA630" s="558"/>
      <c r="AD630" s="535"/>
      <c r="AE630" s="558"/>
      <c r="AH630" s="535"/>
      <c r="AI630" s="558"/>
      <c r="AL630" s="535"/>
      <c r="AP630" s="535"/>
    </row>
    <row r="631">
      <c r="A631" s="552"/>
      <c r="B631" s="552"/>
      <c r="N631" s="535"/>
      <c r="O631" s="558"/>
      <c r="R631" s="535"/>
      <c r="S631" s="558"/>
      <c r="V631" s="535"/>
      <c r="W631" s="558"/>
      <c r="Z631" s="535"/>
      <c r="AA631" s="558"/>
      <c r="AD631" s="535"/>
      <c r="AE631" s="558"/>
      <c r="AH631" s="535"/>
      <c r="AI631" s="558"/>
      <c r="AL631" s="535"/>
      <c r="AP631" s="535"/>
    </row>
    <row r="632">
      <c r="A632" s="552"/>
      <c r="B632" s="552"/>
      <c r="N632" s="535"/>
      <c r="O632" s="558"/>
      <c r="R632" s="535"/>
      <c r="S632" s="558"/>
      <c r="V632" s="535"/>
      <c r="W632" s="558"/>
      <c r="Z632" s="535"/>
      <c r="AA632" s="558"/>
      <c r="AD632" s="535"/>
      <c r="AE632" s="558"/>
      <c r="AH632" s="535"/>
      <c r="AI632" s="558"/>
      <c r="AL632" s="535"/>
      <c r="AP632" s="535"/>
    </row>
    <row r="633">
      <c r="A633" s="552"/>
      <c r="B633" s="552"/>
      <c r="N633" s="535"/>
      <c r="O633" s="558"/>
      <c r="R633" s="535"/>
      <c r="S633" s="558"/>
      <c r="V633" s="535"/>
      <c r="W633" s="558"/>
      <c r="Z633" s="535"/>
      <c r="AA633" s="558"/>
      <c r="AD633" s="535"/>
      <c r="AE633" s="558"/>
      <c r="AH633" s="535"/>
      <c r="AI633" s="558"/>
      <c r="AL633" s="535"/>
      <c r="AP633" s="535"/>
    </row>
    <row r="634">
      <c r="A634" s="552"/>
      <c r="B634" s="552"/>
      <c r="N634" s="535"/>
      <c r="O634" s="558"/>
      <c r="R634" s="535"/>
      <c r="S634" s="558"/>
      <c r="V634" s="535"/>
      <c r="W634" s="558"/>
      <c r="Z634" s="535"/>
      <c r="AA634" s="558"/>
      <c r="AD634" s="535"/>
      <c r="AE634" s="558"/>
      <c r="AH634" s="535"/>
      <c r="AI634" s="558"/>
      <c r="AL634" s="535"/>
      <c r="AP634" s="535"/>
    </row>
    <row r="635">
      <c r="A635" s="552"/>
      <c r="B635" s="552"/>
      <c r="N635" s="535"/>
      <c r="O635" s="558"/>
      <c r="R635" s="535"/>
      <c r="S635" s="558"/>
      <c r="V635" s="535"/>
      <c r="W635" s="558"/>
      <c r="Z635" s="535"/>
      <c r="AA635" s="558"/>
      <c r="AD635" s="535"/>
      <c r="AE635" s="558"/>
      <c r="AH635" s="535"/>
      <c r="AI635" s="558"/>
      <c r="AL635" s="535"/>
      <c r="AP635" s="535"/>
    </row>
    <row r="636">
      <c r="A636" s="552"/>
      <c r="B636" s="552"/>
      <c r="N636" s="535"/>
      <c r="O636" s="558"/>
      <c r="R636" s="535"/>
      <c r="S636" s="558"/>
      <c r="V636" s="535"/>
      <c r="W636" s="558"/>
      <c r="Z636" s="535"/>
      <c r="AA636" s="558"/>
      <c r="AD636" s="535"/>
      <c r="AE636" s="558"/>
      <c r="AH636" s="535"/>
      <c r="AI636" s="558"/>
      <c r="AL636" s="535"/>
      <c r="AP636" s="535"/>
    </row>
    <row r="637">
      <c r="A637" s="552"/>
      <c r="B637" s="552"/>
      <c r="N637" s="535"/>
      <c r="O637" s="558"/>
      <c r="R637" s="535"/>
      <c r="S637" s="558"/>
      <c r="V637" s="535"/>
      <c r="W637" s="558"/>
      <c r="Z637" s="535"/>
      <c r="AA637" s="558"/>
      <c r="AD637" s="535"/>
      <c r="AE637" s="558"/>
      <c r="AH637" s="535"/>
      <c r="AI637" s="558"/>
      <c r="AL637" s="535"/>
      <c r="AP637" s="535"/>
    </row>
    <row r="638">
      <c r="A638" s="552"/>
      <c r="B638" s="552"/>
      <c r="N638" s="535"/>
      <c r="O638" s="558"/>
      <c r="R638" s="535"/>
      <c r="S638" s="558"/>
      <c r="V638" s="535"/>
      <c r="W638" s="558"/>
      <c r="Z638" s="535"/>
      <c r="AA638" s="558"/>
      <c r="AD638" s="535"/>
      <c r="AE638" s="558"/>
      <c r="AH638" s="535"/>
      <c r="AI638" s="558"/>
      <c r="AL638" s="535"/>
      <c r="AP638" s="535"/>
    </row>
    <row r="639">
      <c r="A639" s="552"/>
      <c r="B639" s="552"/>
      <c r="N639" s="535"/>
      <c r="O639" s="558"/>
      <c r="R639" s="535"/>
      <c r="S639" s="558"/>
      <c r="V639" s="535"/>
      <c r="W639" s="558"/>
      <c r="Z639" s="535"/>
      <c r="AA639" s="558"/>
      <c r="AD639" s="535"/>
      <c r="AE639" s="558"/>
      <c r="AH639" s="535"/>
      <c r="AI639" s="558"/>
      <c r="AL639" s="535"/>
      <c r="AP639" s="535"/>
    </row>
    <row r="640">
      <c r="A640" s="552"/>
      <c r="B640" s="552"/>
      <c r="N640" s="535"/>
      <c r="O640" s="558"/>
      <c r="R640" s="535"/>
      <c r="S640" s="558"/>
      <c r="V640" s="535"/>
      <c r="W640" s="558"/>
      <c r="Z640" s="535"/>
      <c r="AA640" s="558"/>
      <c r="AD640" s="535"/>
      <c r="AE640" s="558"/>
      <c r="AH640" s="535"/>
      <c r="AI640" s="558"/>
      <c r="AL640" s="535"/>
      <c r="AP640" s="535"/>
    </row>
    <row r="641">
      <c r="A641" s="552"/>
      <c r="B641" s="552"/>
      <c r="N641" s="535"/>
      <c r="O641" s="558"/>
      <c r="R641" s="535"/>
      <c r="S641" s="558"/>
      <c r="V641" s="535"/>
      <c r="W641" s="558"/>
      <c r="Z641" s="535"/>
      <c r="AA641" s="558"/>
      <c r="AD641" s="535"/>
      <c r="AE641" s="558"/>
      <c r="AH641" s="535"/>
      <c r="AI641" s="558"/>
      <c r="AL641" s="535"/>
      <c r="AP641" s="535"/>
    </row>
    <row r="642">
      <c r="A642" s="552"/>
      <c r="B642" s="552"/>
      <c r="N642" s="535"/>
      <c r="O642" s="558"/>
      <c r="R642" s="535"/>
      <c r="S642" s="558"/>
      <c r="V642" s="535"/>
      <c r="W642" s="558"/>
      <c r="Z642" s="535"/>
      <c r="AA642" s="558"/>
      <c r="AD642" s="535"/>
      <c r="AE642" s="558"/>
      <c r="AH642" s="535"/>
      <c r="AI642" s="558"/>
      <c r="AL642" s="535"/>
      <c r="AP642" s="535"/>
    </row>
    <row r="643">
      <c r="A643" s="552"/>
      <c r="B643" s="552"/>
      <c r="N643" s="535"/>
      <c r="O643" s="558"/>
      <c r="R643" s="535"/>
      <c r="S643" s="558"/>
      <c r="V643" s="535"/>
      <c r="W643" s="558"/>
      <c r="Z643" s="535"/>
      <c r="AA643" s="558"/>
      <c r="AD643" s="535"/>
      <c r="AE643" s="558"/>
      <c r="AH643" s="535"/>
      <c r="AI643" s="558"/>
      <c r="AL643" s="535"/>
      <c r="AP643" s="535"/>
    </row>
    <row r="644">
      <c r="A644" s="552"/>
      <c r="B644" s="552"/>
      <c r="N644" s="535"/>
      <c r="O644" s="558"/>
      <c r="R644" s="535"/>
      <c r="S644" s="558"/>
      <c r="V644" s="535"/>
      <c r="W644" s="558"/>
      <c r="Z644" s="535"/>
      <c r="AA644" s="558"/>
      <c r="AD644" s="535"/>
      <c r="AE644" s="558"/>
      <c r="AH644" s="535"/>
      <c r="AI644" s="558"/>
      <c r="AL644" s="535"/>
      <c r="AP644" s="535"/>
    </row>
    <row r="645">
      <c r="A645" s="552"/>
      <c r="B645" s="552"/>
      <c r="N645" s="535"/>
      <c r="O645" s="558"/>
      <c r="R645" s="535"/>
      <c r="S645" s="558"/>
      <c r="V645" s="535"/>
      <c r="W645" s="558"/>
      <c r="Z645" s="535"/>
      <c r="AA645" s="558"/>
      <c r="AD645" s="535"/>
      <c r="AE645" s="558"/>
      <c r="AH645" s="535"/>
      <c r="AI645" s="558"/>
      <c r="AL645" s="535"/>
      <c r="AP645" s="535"/>
    </row>
    <row r="646">
      <c r="A646" s="552"/>
      <c r="B646" s="552"/>
      <c r="N646" s="535"/>
      <c r="O646" s="558"/>
      <c r="R646" s="535"/>
      <c r="S646" s="558"/>
      <c r="V646" s="535"/>
      <c r="W646" s="558"/>
      <c r="Z646" s="535"/>
      <c r="AA646" s="558"/>
      <c r="AD646" s="535"/>
      <c r="AE646" s="558"/>
      <c r="AH646" s="535"/>
      <c r="AI646" s="558"/>
      <c r="AL646" s="535"/>
      <c r="AP646" s="535"/>
    </row>
    <row r="647">
      <c r="A647" s="552"/>
      <c r="B647" s="552"/>
      <c r="N647" s="535"/>
      <c r="O647" s="558"/>
      <c r="R647" s="535"/>
      <c r="S647" s="558"/>
      <c r="V647" s="535"/>
      <c r="W647" s="558"/>
      <c r="Z647" s="535"/>
      <c r="AA647" s="558"/>
      <c r="AD647" s="535"/>
      <c r="AE647" s="558"/>
      <c r="AH647" s="535"/>
      <c r="AI647" s="558"/>
      <c r="AL647" s="535"/>
      <c r="AP647" s="535"/>
    </row>
    <row r="648">
      <c r="A648" s="552"/>
      <c r="B648" s="552"/>
      <c r="N648" s="535"/>
      <c r="O648" s="558"/>
      <c r="R648" s="535"/>
      <c r="S648" s="558"/>
      <c r="V648" s="535"/>
      <c r="W648" s="558"/>
      <c r="Z648" s="535"/>
      <c r="AA648" s="558"/>
      <c r="AD648" s="535"/>
      <c r="AE648" s="558"/>
      <c r="AH648" s="535"/>
      <c r="AI648" s="558"/>
      <c r="AL648" s="535"/>
      <c r="AP648" s="535"/>
    </row>
    <row r="649">
      <c r="A649" s="552"/>
      <c r="B649" s="552"/>
      <c r="N649" s="535"/>
      <c r="O649" s="558"/>
      <c r="R649" s="535"/>
      <c r="S649" s="558"/>
      <c r="V649" s="535"/>
      <c r="W649" s="558"/>
      <c r="Z649" s="535"/>
      <c r="AA649" s="558"/>
      <c r="AD649" s="535"/>
      <c r="AE649" s="558"/>
      <c r="AH649" s="535"/>
      <c r="AI649" s="558"/>
      <c r="AL649" s="535"/>
      <c r="AP649" s="535"/>
    </row>
    <row r="650">
      <c r="A650" s="552"/>
      <c r="B650" s="552"/>
      <c r="N650" s="535"/>
      <c r="O650" s="558"/>
      <c r="R650" s="535"/>
      <c r="S650" s="558"/>
      <c r="V650" s="535"/>
      <c r="W650" s="558"/>
      <c r="Z650" s="535"/>
      <c r="AA650" s="558"/>
      <c r="AD650" s="535"/>
      <c r="AE650" s="558"/>
      <c r="AH650" s="535"/>
      <c r="AI650" s="558"/>
      <c r="AL650" s="535"/>
      <c r="AP650" s="535"/>
    </row>
    <row r="651">
      <c r="A651" s="552"/>
      <c r="B651" s="552"/>
      <c r="N651" s="535"/>
      <c r="O651" s="558"/>
      <c r="R651" s="535"/>
      <c r="S651" s="558"/>
      <c r="V651" s="535"/>
      <c r="W651" s="558"/>
      <c r="Z651" s="535"/>
      <c r="AA651" s="558"/>
      <c r="AD651" s="535"/>
      <c r="AE651" s="558"/>
      <c r="AH651" s="535"/>
      <c r="AI651" s="558"/>
      <c r="AL651" s="535"/>
      <c r="AP651" s="535"/>
    </row>
    <row r="652">
      <c r="A652" s="552"/>
      <c r="B652" s="552"/>
      <c r="N652" s="535"/>
      <c r="O652" s="558"/>
      <c r="R652" s="535"/>
      <c r="S652" s="558"/>
      <c r="V652" s="535"/>
      <c r="W652" s="558"/>
      <c r="Z652" s="535"/>
      <c r="AA652" s="558"/>
      <c r="AD652" s="535"/>
      <c r="AE652" s="558"/>
      <c r="AH652" s="535"/>
      <c r="AI652" s="558"/>
      <c r="AL652" s="535"/>
      <c r="AP652" s="535"/>
    </row>
    <row r="653">
      <c r="A653" s="552"/>
      <c r="B653" s="552"/>
      <c r="N653" s="535"/>
      <c r="O653" s="558"/>
      <c r="R653" s="535"/>
      <c r="S653" s="558"/>
      <c r="V653" s="535"/>
      <c r="W653" s="558"/>
      <c r="Z653" s="535"/>
      <c r="AA653" s="558"/>
      <c r="AD653" s="535"/>
      <c r="AE653" s="558"/>
      <c r="AH653" s="535"/>
      <c r="AI653" s="558"/>
      <c r="AL653" s="535"/>
      <c r="AP653" s="535"/>
    </row>
    <row r="654">
      <c r="A654" s="552"/>
      <c r="B654" s="552"/>
      <c r="N654" s="535"/>
      <c r="O654" s="558"/>
      <c r="R654" s="535"/>
      <c r="S654" s="558"/>
      <c r="V654" s="535"/>
      <c r="W654" s="558"/>
      <c r="Z654" s="535"/>
      <c r="AA654" s="558"/>
      <c r="AD654" s="535"/>
      <c r="AE654" s="558"/>
      <c r="AH654" s="535"/>
      <c r="AI654" s="558"/>
      <c r="AL654" s="535"/>
      <c r="AP654" s="535"/>
    </row>
    <row r="655">
      <c r="A655" s="552"/>
      <c r="B655" s="552"/>
      <c r="N655" s="535"/>
      <c r="O655" s="558"/>
      <c r="R655" s="535"/>
      <c r="S655" s="558"/>
      <c r="V655" s="535"/>
      <c r="W655" s="558"/>
      <c r="Z655" s="535"/>
      <c r="AA655" s="558"/>
      <c r="AD655" s="535"/>
      <c r="AE655" s="558"/>
      <c r="AH655" s="535"/>
      <c r="AI655" s="558"/>
      <c r="AL655" s="535"/>
      <c r="AP655" s="535"/>
    </row>
    <row r="656">
      <c r="A656" s="552"/>
      <c r="B656" s="552"/>
      <c r="N656" s="535"/>
      <c r="O656" s="558"/>
      <c r="R656" s="535"/>
      <c r="S656" s="558"/>
      <c r="V656" s="535"/>
      <c r="W656" s="558"/>
      <c r="Z656" s="535"/>
      <c r="AA656" s="558"/>
      <c r="AD656" s="535"/>
      <c r="AE656" s="558"/>
      <c r="AH656" s="535"/>
      <c r="AI656" s="558"/>
      <c r="AL656" s="535"/>
      <c r="AP656" s="535"/>
    </row>
    <row r="657">
      <c r="A657" s="552"/>
      <c r="B657" s="552"/>
      <c r="N657" s="535"/>
      <c r="O657" s="558"/>
      <c r="R657" s="535"/>
      <c r="S657" s="558"/>
      <c r="V657" s="535"/>
      <c r="W657" s="558"/>
      <c r="Z657" s="535"/>
      <c r="AA657" s="558"/>
      <c r="AD657" s="535"/>
      <c r="AE657" s="558"/>
      <c r="AH657" s="535"/>
      <c r="AI657" s="558"/>
      <c r="AL657" s="535"/>
      <c r="AP657" s="535"/>
    </row>
    <row r="658">
      <c r="A658" s="552"/>
      <c r="B658" s="552"/>
      <c r="N658" s="535"/>
      <c r="O658" s="558"/>
      <c r="R658" s="535"/>
      <c r="S658" s="558"/>
      <c r="V658" s="535"/>
      <c r="W658" s="558"/>
      <c r="Z658" s="535"/>
      <c r="AA658" s="558"/>
      <c r="AD658" s="535"/>
      <c r="AE658" s="558"/>
      <c r="AH658" s="535"/>
      <c r="AI658" s="558"/>
      <c r="AL658" s="535"/>
      <c r="AP658" s="535"/>
    </row>
    <row r="659">
      <c r="A659" s="552"/>
      <c r="B659" s="552"/>
      <c r="N659" s="535"/>
      <c r="O659" s="558"/>
      <c r="R659" s="535"/>
      <c r="S659" s="558"/>
      <c r="V659" s="535"/>
      <c r="W659" s="558"/>
      <c r="Z659" s="535"/>
      <c r="AA659" s="558"/>
      <c r="AD659" s="535"/>
      <c r="AE659" s="558"/>
      <c r="AH659" s="535"/>
      <c r="AI659" s="558"/>
      <c r="AL659" s="535"/>
      <c r="AP659" s="535"/>
    </row>
    <row r="660">
      <c r="A660" s="552"/>
      <c r="B660" s="552"/>
      <c r="N660" s="535"/>
      <c r="O660" s="558"/>
      <c r="R660" s="535"/>
      <c r="S660" s="558"/>
      <c r="V660" s="535"/>
      <c r="W660" s="558"/>
      <c r="Z660" s="535"/>
      <c r="AA660" s="558"/>
      <c r="AD660" s="535"/>
      <c r="AE660" s="558"/>
      <c r="AH660" s="535"/>
      <c r="AI660" s="558"/>
      <c r="AL660" s="535"/>
      <c r="AP660" s="535"/>
    </row>
    <row r="661">
      <c r="A661" s="552"/>
      <c r="B661" s="552"/>
      <c r="N661" s="535"/>
      <c r="O661" s="558"/>
      <c r="R661" s="535"/>
      <c r="S661" s="558"/>
      <c r="V661" s="535"/>
      <c r="W661" s="558"/>
      <c r="Z661" s="535"/>
      <c r="AA661" s="558"/>
      <c r="AD661" s="535"/>
      <c r="AE661" s="558"/>
      <c r="AH661" s="535"/>
      <c r="AI661" s="558"/>
      <c r="AL661" s="535"/>
      <c r="AP661" s="535"/>
    </row>
    <row r="662">
      <c r="A662" s="552"/>
      <c r="B662" s="552"/>
      <c r="N662" s="535"/>
      <c r="O662" s="558"/>
      <c r="R662" s="535"/>
      <c r="S662" s="558"/>
      <c r="V662" s="535"/>
      <c r="W662" s="558"/>
      <c r="Z662" s="535"/>
      <c r="AA662" s="558"/>
      <c r="AD662" s="535"/>
      <c r="AE662" s="558"/>
      <c r="AH662" s="535"/>
      <c r="AI662" s="558"/>
      <c r="AL662" s="535"/>
      <c r="AP662" s="535"/>
    </row>
    <row r="663">
      <c r="A663" s="552"/>
      <c r="B663" s="552"/>
      <c r="N663" s="535"/>
      <c r="O663" s="558"/>
      <c r="R663" s="535"/>
      <c r="S663" s="558"/>
      <c r="V663" s="535"/>
      <c r="W663" s="558"/>
      <c r="Z663" s="535"/>
      <c r="AA663" s="558"/>
      <c r="AD663" s="535"/>
      <c r="AE663" s="558"/>
      <c r="AH663" s="535"/>
      <c r="AI663" s="558"/>
      <c r="AL663" s="535"/>
      <c r="AP663" s="535"/>
    </row>
    <row r="664">
      <c r="A664" s="552"/>
      <c r="B664" s="552"/>
      <c r="N664" s="535"/>
      <c r="O664" s="558"/>
      <c r="R664" s="535"/>
      <c r="S664" s="558"/>
      <c r="V664" s="535"/>
      <c r="W664" s="558"/>
      <c r="Z664" s="535"/>
      <c r="AA664" s="558"/>
      <c r="AD664" s="535"/>
      <c r="AE664" s="558"/>
      <c r="AH664" s="535"/>
      <c r="AI664" s="558"/>
      <c r="AL664" s="535"/>
      <c r="AP664" s="535"/>
    </row>
    <row r="665">
      <c r="A665" s="552"/>
      <c r="B665" s="552"/>
      <c r="N665" s="535"/>
      <c r="O665" s="558"/>
      <c r="R665" s="535"/>
      <c r="S665" s="558"/>
      <c r="V665" s="535"/>
      <c r="W665" s="558"/>
      <c r="Z665" s="535"/>
      <c r="AA665" s="558"/>
      <c r="AD665" s="535"/>
      <c r="AE665" s="558"/>
      <c r="AH665" s="535"/>
      <c r="AI665" s="558"/>
      <c r="AL665" s="535"/>
      <c r="AP665" s="535"/>
    </row>
    <row r="666">
      <c r="A666" s="552"/>
      <c r="B666" s="552"/>
      <c r="N666" s="535"/>
      <c r="O666" s="558"/>
      <c r="R666" s="535"/>
      <c r="S666" s="558"/>
      <c r="V666" s="535"/>
      <c r="W666" s="558"/>
      <c r="Z666" s="535"/>
      <c r="AA666" s="558"/>
      <c r="AD666" s="535"/>
      <c r="AE666" s="558"/>
      <c r="AH666" s="535"/>
      <c r="AI666" s="558"/>
      <c r="AL666" s="535"/>
      <c r="AP666" s="535"/>
    </row>
    <row r="667">
      <c r="A667" s="552"/>
      <c r="B667" s="552"/>
      <c r="N667" s="535"/>
      <c r="O667" s="558"/>
      <c r="R667" s="535"/>
      <c r="S667" s="558"/>
      <c r="V667" s="535"/>
      <c r="W667" s="558"/>
      <c r="Z667" s="535"/>
      <c r="AA667" s="558"/>
      <c r="AD667" s="535"/>
      <c r="AE667" s="558"/>
      <c r="AH667" s="535"/>
      <c r="AI667" s="558"/>
      <c r="AL667" s="535"/>
      <c r="AP667" s="535"/>
    </row>
    <row r="668">
      <c r="A668" s="552"/>
      <c r="B668" s="552"/>
      <c r="N668" s="535"/>
      <c r="O668" s="558"/>
      <c r="R668" s="535"/>
      <c r="S668" s="558"/>
      <c r="V668" s="535"/>
      <c r="W668" s="558"/>
      <c r="Z668" s="535"/>
      <c r="AA668" s="558"/>
      <c r="AD668" s="535"/>
      <c r="AE668" s="558"/>
      <c r="AH668" s="535"/>
      <c r="AI668" s="558"/>
      <c r="AL668" s="535"/>
      <c r="AP668" s="535"/>
    </row>
    <row r="669">
      <c r="A669" s="552"/>
      <c r="B669" s="552"/>
      <c r="N669" s="535"/>
      <c r="O669" s="558"/>
      <c r="R669" s="535"/>
      <c r="S669" s="558"/>
      <c r="V669" s="535"/>
      <c r="W669" s="558"/>
      <c r="Z669" s="535"/>
      <c r="AA669" s="558"/>
      <c r="AD669" s="535"/>
      <c r="AE669" s="558"/>
      <c r="AH669" s="535"/>
      <c r="AI669" s="558"/>
      <c r="AL669" s="535"/>
      <c r="AP669" s="535"/>
    </row>
    <row r="670">
      <c r="A670" s="552"/>
      <c r="B670" s="552"/>
      <c r="N670" s="535"/>
      <c r="O670" s="558"/>
      <c r="R670" s="535"/>
      <c r="S670" s="558"/>
      <c r="V670" s="535"/>
      <c r="W670" s="558"/>
      <c r="Z670" s="535"/>
      <c r="AA670" s="558"/>
      <c r="AD670" s="535"/>
      <c r="AE670" s="558"/>
      <c r="AH670" s="535"/>
      <c r="AI670" s="558"/>
      <c r="AL670" s="535"/>
      <c r="AP670" s="535"/>
    </row>
    <row r="671">
      <c r="A671" s="552"/>
      <c r="B671" s="552"/>
      <c r="N671" s="535"/>
      <c r="O671" s="558"/>
      <c r="R671" s="535"/>
      <c r="S671" s="558"/>
      <c r="V671" s="535"/>
      <c r="W671" s="558"/>
      <c r="Z671" s="535"/>
      <c r="AA671" s="558"/>
      <c r="AD671" s="535"/>
      <c r="AE671" s="558"/>
      <c r="AH671" s="535"/>
      <c r="AI671" s="558"/>
      <c r="AL671" s="535"/>
      <c r="AP671" s="535"/>
    </row>
    <row r="672">
      <c r="A672" s="552"/>
      <c r="B672" s="552"/>
      <c r="N672" s="535"/>
      <c r="O672" s="558"/>
      <c r="R672" s="535"/>
      <c r="S672" s="558"/>
      <c r="V672" s="535"/>
      <c r="W672" s="558"/>
      <c r="Z672" s="535"/>
      <c r="AA672" s="558"/>
      <c r="AD672" s="535"/>
      <c r="AE672" s="558"/>
      <c r="AH672" s="535"/>
      <c r="AI672" s="558"/>
      <c r="AL672" s="535"/>
      <c r="AP672" s="535"/>
    </row>
    <row r="673">
      <c r="A673" s="552"/>
      <c r="B673" s="552"/>
      <c r="N673" s="535"/>
      <c r="O673" s="558"/>
      <c r="R673" s="535"/>
      <c r="S673" s="558"/>
      <c r="V673" s="535"/>
      <c r="W673" s="558"/>
      <c r="Z673" s="535"/>
      <c r="AA673" s="558"/>
      <c r="AD673" s="535"/>
      <c r="AE673" s="558"/>
      <c r="AH673" s="535"/>
      <c r="AI673" s="558"/>
      <c r="AL673" s="535"/>
      <c r="AP673" s="535"/>
    </row>
    <row r="674">
      <c r="A674" s="552"/>
      <c r="B674" s="552"/>
      <c r="N674" s="535"/>
      <c r="O674" s="558"/>
      <c r="R674" s="535"/>
      <c r="S674" s="558"/>
      <c r="V674" s="535"/>
      <c r="W674" s="558"/>
      <c r="Z674" s="535"/>
      <c r="AA674" s="558"/>
      <c r="AD674" s="535"/>
      <c r="AE674" s="558"/>
      <c r="AH674" s="535"/>
      <c r="AI674" s="558"/>
      <c r="AL674" s="535"/>
      <c r="AP674" s="535"/>
    </row>
    <row r="675">
      <c r="A675" s="552"/>
      <c r="B675" s="552"/>
      <c r="N675" s="535"/>
      <c r="O675" s="558"/>
      <c r="R675" s="535"/>
      <c r="S675" s="558"/>
      <c r="V675" s="535"/>
      <c r="W675" s="558"/>
      <c r="Z675" s="535"/>
      <c r="AA675" s="558"/>
      <c r="AD675" s="535"/>
      <c r="AE675" s="558"/>
      <c r="AH675" s="535"/>
      <c r="AI675" s="558"/>
      <c r="AL675" s="535"/>
      <c r="AP675" s="535"/>
    </row>
    <row r="676">
      <c r="A676" s="552"/>
      <c r="B676" s="552"/>
      <c r="N676" s="535"/>
      <c r="O676" s="558"/>
      <c r="R676" s="535"/>
      <c r="S676" s="558"/>
      <c r="V676" s="535"/>
      <c r="W676" s="558"/>
      <c r="Z676" s="535"/>
      <c r="AA676" s="558"/>
      <c r="AD676" s="535"/>
      <c r="AE676" s="558"/>
      <c r="AH676" s="535"/>
      <c r="AI676" s="558"/>
      <c r="AL676" s="535"/>
      <c r="AP676" s="535"/>
    </row>
    <row r="677">
      <c r="A677" s="552"/>
      <c r="B677" s="552"/>
      <c r="N677" s="535"/>
      <c r="O677" s="558"/>
      <c r="R677" s="535"/>
      <c r="S677" s="558"/>
      <c r="V677" s="535"/>
      <c r="W677" s="558"/>
      <c r="Z677" s="535"/>
      <c r="AA677" s="558"/>
      <c r="AD677" s="535"/>
      <c r="AE677" s="558"/>
      <c r="AH677" s="535"/>
      <c r="AI677" s="558"/>
      <c r="AL677" s="535"/>
      <c r="AP677" s="535"/>
    </row>
    <row r="678">
      <c r="A678" s="552"/>
      <c r="B678" s="552"/>
      <c r="N678" s="535"/>
      <c r="O678" s="558"/>
      <c r="R678" s="535"/>
      <c r="S678" s="558"/>
      <c r="V678" s="535"/>
      <c r="W678" s="558"/>
      <c r="Z678" s="535"/>
      <c r="AA678" s="558"/>
      <c r="AD678" s="535"/>
      <c r="AE678" s="558"/>
      <c r="AH678" s="535"/>
      <c r="AI678" s="558"/>
      <c r="AL678" s="535"/>
      <c r="AP678" s="535"/>
    </row>
    <row r="679">
      <c r="A679" s="552"/>
      <c r="B679" s="552"/>
      <c r="N679" s="535"/>
      <c r="O679" s="558"/>
      <c r="R679" s="535"/>
      <c r="S679" s="558"/>
      <c r="V679" s="535"/>
      <c r="W679" s="558"/>
      <c r="Z679" s="535"/>
      <c r="AA679" s="558"/>
      <c r="AD679" s="535"/>
      <c r="AE679" s="558"/>
      <c r="AH679" s="535"/>
      <c r="AI679" s="558"/>
      <c r="AL679" s="535"/>
      <c r="AP679" s="535"/>
    </row>
    <row r="680">
      <c r="A680" s="552"/>
      <c r="B680" s="552"/>
      <c r="N680" s="535"/>
      <c r="O680" s="558"/>
      <c r="R680" s="535"/>
      <c r="S680" s="558"/>
      <c r="V680" s="535"/>
      <c r="W680" s="558"/>
      <c r="Z680" s="535"/>
      <c r="AA680" s="558"/>
      <c r="AD680" s="535"/>
      <c r="AE680" s="558"/>
      <c r="AH680" s="535"/>
      <c r="AI680" s="558"/>
      <c r="AL680" s="535"/>
      <c r="AP680" s="535"/>
    </row>
    <row r="681">
      <c r="A681" s="552"/>
      <c r="B681" s="552"/>
      <c r="N681" s="535"/>
      <c r="O681" s="558"/>
      <c r="R681" s="535"/>
      <c r="S681" s="558"/>
      <c r="V681" s="535"/>
      <c r="W681" s="558"/>
      <c r="Z681" s="535"/>
      <c r="AA681" s="558"/>
      <c r="AD681" s="535"/>
      <c r="AE681" s="558"/>
      <c r="AH681" s="535"/>
      <c r="AI681" s="558"/>
      <c r="AL681" s="535"/>
      <c r="AP681" s="535"/>
    </row>
    <row r="682">
      <c r="A682" s="552"/>
      <c r="B682" s="552"/>
      <c r="N682" s="535"/>
      <c r="O682" s="558"/>
      <c r="R682" s="535"/>
      <c r="S682" s="558"/>
      <c r="V682" s="535"/>
      <c r="W682" s="558"/>
      <c r="Z682" s="535"/>
      <c r="AA682" s="558"/>
      <c r="AD682" s="535"/>
      <c r="AE682" s="558"/>
      <c r="AH682" s="535"/>
      <c r="AI682" s="558"/>
      <c r="AL682" s="535"/>
      <c r="AP682" s="535"/>
    </row>
    <row r="683">
      <c r="A683" s="552"/>
      <c r="B683" s="552"/>
      <c r="N683" s="535"/>
      <c r="O683" s="558"/>
      <c r="R683" s="535"/>
      <c r="S683" s="558"/>
      <c r="V683" s="535"/>
      <c r="W683" s="558"/>
      <c r="Z683" s="535"/>
      <c r="AA683" s="558"/>
      <c r="AD683" s="535"/>
      <c r="AE683" s="558"/>
      <c r="AH683" s="535"/>
      <c r="AI683" s="558"/>
      <c r="AL683" s="535"/>
      <c r="AP683" s="535"/>
    </row>
    <row r="684">
      <c r="A684" s="552"/>
      <c r="B684" s="552"/>
      <c r="N684" s="535"/>
      <c r="O684" s="558"/>
      <c r="R684" s="535"/>
      <c r="S684" s="558"/>
      <c r="V684" s="535"/>
      <c r="W684" s="558"/>
      <c r="Z684" s="535"/>
      <c r="AA684" s="558"/>
      <c r="AD684" s="535"/>
      <c r="AE684" s="558"/>
      <c r="AH684" s="535"/>
      <c r="AI684" s="558"/>
      <c r="AL684" s="535"/>
      <c r="AP684" s="535"/>
    </row>
    <row r="685">
      <c r="A685" s="552"/>
      <c r="B685" s="552"/>
      <c r="N685" s="535"/>
      <c r="O685" s="558"/>
      <c r="R685" s="535"/>
      <c r="S685" s="558"/>
      <c r="V685" s="535"/>
      <c r="W685" s="558"/>
      <c r="Z685" s="535"/>
      <c r="AA685" s="558"/>
      <c r="AD685" s="535"/>
      <c r="AE685" s="558"/>
      <c r="AH685" s="535"/>
      <c r="AI685" s="558"/>
      <c r="AL685" s="535"/>
      <c r="AP685" s="535"/>
    </row>
    <row r="686">
      <c r="A686" s="552"/>
      <c r="B686" s="552"/>
      <c r="N686" s="535"/>
      <c r="O686" s="558"/>
      <c r="R686" s="535"/>
      <c r="S686" s="558"/>
      <c r="V686" s="535"/>
      <c r="W686" s="558"/>
      <c r="Z686" s="535"/>
      <c r="AA686" s="558"/>
      <c r="AD686" s="535"/>
      <c r="AE686" s="558"/>
      <c r="AH686" s="535"/>
      <c r="AI686" s="558"/>
      <c r="AL686" s="535"/>
      <c r="AP686" s="535"/>
    </row>
    <row r="687">
      <c r="A687" s="552"/>
      <c r="B687" s="552"/>
      <c r="N687" s="535"/>
      <c r="O687" s="558"/>
      <c r="R687" s="535"/>
      <c r="S687" s="558"/>
      <c r="V687" s="535"/>
      <c r="W687" s="558"/>
      <c r="Z687" s="535"/>
      <c r="AA687" s="558"/>
      <c r="AD687" s="535"/>
      <c r="AE687" s="558"/>
      <c r="AH687" s="535"/>
      <c r="AI687" s="558"/>
      <c r="AL687" s="535"/>
      <c r="AP687" s="535"/>
    </row>
    <row r="688">
      <c r="A688" s="552"/>
      <c r="B688" s="552"/>
      <c r="N688" s="535"/>
      <c r="O688" s="558"/>
      <c r="R688" s="535"/>
      <c r="S688" s="558"/>
      <c r="V688" s="535"/>
      <c r="W688" s="558"/>
      <c r="Z688" s="535"/>
      <c r="AA688" s="558"/>
      <c r="AD688" s="535"/>
      <c r="AE688" s="558"/>
      <c r="AH688" s="535"/>
      <c r="AI688" s="558"/>
      <c r="AL688" s="535"/>
      <c r="AP688" s="535"/>
    </row>
    <row r="689">
      <c r="A689" s="552"/>
      <c r="B689" s="552"/>
      <c r="N689" s="535"/>
      <c r="O689" s="558"/>
      <c r="R689" s="535"/>
      <c r="S689" s="558"/>
      <c r="V689" s="535"/>
      <c r="W689" s="558"/>
      <c r="Z689" s="535"/>
      <c r="AA689" s="558"/>
      <c r="AD689" s="535"/>
      <c r="AE689" s="558"/>
      <c r="AH689" s="535"/>
      <c r="AI689" s="558"/>
      <c r="AL689" s="535"/>
      <c r="AP689" s="535"/>
    </row>
    <row r="690">
      <c r="A690" s="552"/>
      <c r="B690" s="552"/>
      <c r="N690" s="535"/>
      <c r="O690" s="558"/>
      <c r="R690" s="535"/>
      <c r="S690" s="558"/>
      <c r="V690" s="535"/>
      <c r="W690" s="558"/>
      <c r="Z690" s="535"/>
      <c r="AA690" s="558"/>
      <c r="AD690" s="535"/>
      <c r="AE690" s="558"/>
      <c r="AH690" s="535"/>
      <c r="AI690" s="558"/>
      <c r="AL690" s="535"/>
      <c r="AP690" s="535"/>
    </row>
    <row r="691">
      <c r="A691" s="552"/>
      <c r="B691" s="552"/>
      <c r="N691" s="535"/>
      <c r="O691" s="558"/>
      <c r="R691" s="535"/>
      <c r="S691" s="558"/>
      <c r="V691" s="535"/>
      <c r="W691" s="558"/>
      <c r="Z691" s="535"/>
      <c r="AA691" s="558"/>
      <c r="AD691" s="535"/>
      <c r="AE691" s="558"/>
      <c r="AH691" s="535"/>
      <c r="AI691" s="558"/>
      <c r="AL691" s="535"/>
      <c r="AP691" s="535"/>
    </row>
    <row r="692">
      <c r="A692" s="552"/>
      <c r="B692" s="552"/>
      <c r="N692" s="535"/>
      <c r="O692" s="558"/>
      <c r="R692" s="535"/>
      <c r="S692" s="558"/>
      <c r="V692" s="535"/>
      <c r="W692" s="558"/>
      <c r="Z692" s="535"/>
      <c r="AA692" s="558"/>
      <c r="AD692" s="535"/>
      <c r="AE692" s="558"/>
      <c r="AH692" s="535"/>
      <c r="AI692" s="558"/>
      <c r="AL692" s="535"/>
      <c r="AP692" s="535"/>
    </row>
    <row r="693">
      <c r="A693" s="552"/>
      <c r="B693" s="552"/>
      <c r="N693" s="535"/>
      <c r="O693" s="558"/>
      <c r="R693" s="535"/>
      <c r="S693" s="558"/>
      <c r="V693" s="535"/>
      <c r="W693" s="558"/>
      <c r="Z693" s="535"/>
      <c r="AA693" s="558"/>
      <c r="AD693" s="535"/>
      <c r="AE693" s="558"/>
      <c r="AH693" s="535"/>
      <c r="AI693" s="558"/>
      <c r="AL693" s="535"/>
      <c r="AP693" s="535"/>
    </row>
    <row r="694">
      <c r="A694" s="552"/>
      <c r="B694" s="552"/>
      <c r="N694" s="535"/>
      <c r="O694" s="558"/>
      <c r="R694" s="535"/>
      <c r="S694" s="558"/>
      <c r="V694" s="535"/>
      <c r="W694" s="558"/>
      <c r="Z694" s="535"/>
      <c r="AA694" s="558"/>
      <c r="AD694" s="535"/>
      <c r="AE694" s="558"/>
      <c r="AH694" s="535"/>
      <c r="AI694" s="558"/>
      <c r="AL694" s="535"/>
      <c r="AP694" s="535"/>
    </row>
    <row r="695">
      <c r="A695" s="552"/>
      <c r="B695" s="552"/>
      <c r="N695" s="535"/>
      <c r="O695" s="558"/>
      <c r="R695" s="535"/>
      <c r="S695" s="558"/>
      <c r="V695" s="535"/>
      <c r="W695" s="558"/>
      <c r="Z695" s="535"/>
      <c r="AA695" s="558"/>
      <c r="AD695" s="535"/>
      <c r="AE695" s="558"/>
      <c r="AH695" s="535"/>
      <c r="AI695" s="558"/>
      <c r="AL695" s="535"/>
      <c r="AP695" s="535"/>
    </row>
    <row r="696">
      <c r="A696" s="552"/>
      <c r="B696" s="552"/>
      <c r="N696" s="535"/>
      <c r="O696" s="558"/>
      <c r="R696" s="535"/>
      <c r="S696" s="558"/>
      <c r="V696" s="535"/>
      <c r="W696" s="558"/>
      <c r="Z696" s="535"/>
      <c r="AA696" s="558"/>
      <c r="AD696" s="535"/>
      <c r="AE696" s="558"/>
      <c r="AH696" s="535"/>
      <c r="AI696" s="558"/>
      <c r="AL696" s="535"/>
      <c r="AP696" s="535"/>
    </row>
    <row r="697">
      <c r="A697" s="552"/>
      <c r="B697" s="552"/>
      <c r="N697" s="535"/>
      <c r="O697" s="558"/>
      <c r="R697" s="535"/>
      <c r="S697" s="558"/>
      <c r="V697" s="535"/>
      <c r="W697" s="558"/>
      <c r="Z697" s="535"/>
      <c r="AA697" s="558"/>
      <c r="AD697" s="535"/>
      <c r="AE697" s="558"/>
      <c r="AH697" s="535"/>
      <c r="AI697" s="558"/>
      <c r="AL697" s="535"/>
      <c r="AP697" s="535"/>
    </row>
    <row r="698">
      <c r="A698" s="552"/>
      <c r="B698" s="552"/>
      <c r="N698" s="535"/>
      <c r="O698" s="558"/>
      <c r="R698" s="535"/>
      <c r="S698" s="558"/>
      <c r="V698" s="535"/>
      <c r="W698" s="558"/>
      <c r="Z698" s="535"/>
      <c r="AA698" s="558"/>
      <c r="AD698" s="535"/>
      <c r="AE698" s="558"/>
      <c r="AH698" s="535"/>
      <c r="AI698" s="558"/>
      <c r="AL698" s="535"/>
      <c r="AP698" s="535"/>
    </row>
    <row r="699">
      <c r="A699" s="552"/>
      <c r="B699" s="552"/>
      <c r="N699" s="535"/>
      <c r="O699" s="558"/>
      <c r="R699" s="535"/>
      <c r="S699" s="558"/>
      <c r="V699" s="535"/>
      <c r="W699" s="558"/>
      <c r="Z699" s="535"/>
      <c r="AA699" s="558"/>
      <c r="AD699" s="535"/>
      <c r="AE699" s="558"/>
      <c r="AH699" s="535"/>
      <c r="AI699" s="558"/>
      <c r="AL699" s="535"/>
      <c r="AP699" s="535"/>
    </row>
    <row r="700">
      <c r="A700" s="552"/>
      <c r="B700" s="552"/>
      <c r="N700" s="535"/>
      <c r="O700" s="558"/>
      <c r="R700" s="535"/>
      <c r="S700" s="558"/>
      <c r="V700" s="535"/>
      <c r="W700" s="558"/>
      <c r="Z700" s="535"/>
      <c r="AA700" s="558"/>
      <c r="AD700" s="535"/>
      <c r="AE700" s="558"/>
      <c r="AH700" s="535"/>
      <c r="AI700" s="558"/>
      <c r="AL700" s="535"/>
      <c r="AP700" s="535"/>
    </row>
    <row r="701">
      <c r="A701" s="552"/>
      <c r="B701" s="552"/>
      <c r="N701" s="535"/>
      <c r="O701" s="558"/>
      <c r="R701" s="535"/>
      <c r="S701" s="558"/>
      <c r="V701" s="535"/>
      <c r="W701" s="558"/>
      <c r="Z701" s="535"/>
      <c r="AA701" s="558"/>
      <c r="AD701" s="535"/>
      <c r="AE701" s="558"/>
      <c r="AH701" s="535"/>
      <c r="AI701" s="558"/>
      <c r="AL701" s="535"/>
      <c r="AP701" s="535"/>
    </row>
    <row r="702">
      <c r="A702" s="552"/>
      <c r="B702" s="552"/>
      <c r="N702" s="535"/>
      <c r="O702" s="558"/>
      <c r="R702" s="535"/>
      <c r="S702" s="558"/>
      <c r="V702" s="535"/>
      <c r="W702" s="558"/>
      <c r="Z702" s="535"/>
      <c r="AA702" s="558"/>
      <c r="AD702" s="535"/>
      <c r="AE702" s="558"/>
      <c r="AH702" s="535"/>
      <c r="AI702" s="558"/>
      <c r="AL702" s="535"/>
      <c r="AP702" s="535"/>
    </row>
    <row r="703">
      <c r="A703" s="552"/>
      <c r="B703" s="552"/>
      <c r="N703" s="535"/>
      <c r="O703" s="558"/>
      <c r="R703" s="535"/>
      <c r="S703" s="558"/>
      <c r="V703" s="535"/>
      <c r="W703" s="558"/>
      <c r="Z703" s="535"/>
      <c r="AA703" s="558"/>
      <c r="AD703" s="535"/>
      <c r="AE703" s="558"/>
      <c r="AH703" s="535"/>
      <c r="AI703" s="558"/>
      <c r="AL703" s="535"/>
      <c r="AP703" s="535"/>
    </row>
    <row r="704">
      <c r="A704" s="552"/>
      <c r="B704" s="552"/>
      <c r="N704" s="535"/>
      <c r="O704" s="558"/>
      <c r="R704" s="535"/>
      <c r="S704" s="558"/>
      <c r="V704" s="535"/>
      <c r="W704" s="558"/>
      <c r="Z704" s="535"/>
      <c r="AA704" s="558"/>
      <c r="AD704" s="535"/>
      <c r="AE704" s="558"/>
      <c r="AH704" s="535"/>
      <c r="AI704" s="558"/>
      <c r="AL704" s="535"/>
      <c r="AP704" s="535"/>
    </row>
    <row r="705">
      <c r="A705" s="552"/>
      <c r="B705" s="552"/>
      <c r="N705" s="535"/>
      <c r="O705" s="558"/>
      <c r="R705" s="535"/>
      <c r="S705" s="558"/>
      <c r="V705" s="535"/>
      <c r="W705" s="558"/>
      <c r="Z705" s="535"/>
      <c r="AA705" s="558"/>
      <c r="AD705" s="535"/>
      <c r="AE705" s="558"/>
      <c r="AH705" s="535"/>
      <c r="AI705" s="558"/>
      <c r="AL705" s="535"/>
      <c r="AP705" s="535"/>
    </row>
    <row r="706">
      <c r="A706" s="552"/>
      <c r="B706" s="552"/>
      <c r="N706" s="535"/>
      <c r="O706" s="558"/>
      <c r="R706" s="535"/>
      <c r="S706" s="558"/>
      <c r="V706" s="535"/>
      <c r="W706" s="558"/>
      <c r="Z706" s="535"/>
      <c r="AA706" s="558"/>
      <c r="AD706" s="535"/>
      <c r="AE706" s="558"/>
      <c r="AH706" s="535"/>
      <c r="AI706" s="558"/>
      <c r="AL706" s="535"/>
      <c r="AP706" s="535"/>
    </row>
    <row r="707">
      <c r="A707" s="552"/>
      <c r="B707" s="552"/>
      <c r="N707" s="535"/>
      <c r="O707" s="558"/>
      <c r="R707" s="535"/>
      <c r="S707" s="558"/>
      <c r="V707" s="535"/>
      <c r="W707" s="558"/>
      <c r="Z707" s="535"/>
      <c r="AA707" s="558"/>
      <c r="AD707" s="535"/>
      <c r="AE707" s="558"/>
      <c r="AH707" s="535"/>
      <c r="AI707" s="558"/>
      <c r="AL707" s="535"/>
      <c r="AP707" s="535"/>
    </row>
    <row r="708">
      <c r="A708" s="552"/>
      <c r="B708" s="552"/>
      <c r="N708" s="535"/>
      <c r="O708" s="558"/>
      <c r="R708" s="535"/>
      <c r="S708" s="558"/>
      <c r="V708" s="535"/>
      <c r="W708" s="558"/>
      <c r="Z708" s="535"/>
      <c r="AA708" s="558"/>
      <c r="AD708" s="535"/>
      <c r="AE708" s="558"/>
      <c r="AH708" s="535"/>
      <c r="AI708" s="558"/>
      <c r="AL708" s="535"/>
      <c r="AP708" s="535"/>
    </row>
    <row r="709">
      <c r="A709" s="552"/>
      <c r="B709" s="552"/>
      <c r="N709" s="535"/>
      <c r="O709" s="558"/>
      <c r="R709" s="535"/>
      <c r="S709" s="558"/>
      <c r="V709" s="535"/>
      <c r="W709" s="558"/>
      <c r="Z709" s="535"/>
      <c r="AA709" s="558"/>
      <c r="AD709" s="535"/>
      <c r="AE709" s="558"/>
      <c r="AH709" s="535"/>
      <c r="AI709" s="558"/>
      <c r="AL709" s="535"/>
      <c r="AP709" s="535"/>
    </row>
    <row r="710">
      <c r="A710" s="552"/>
      <c r="B710" s="552"/>
      <c r="N710" s="535"/>
      <c r="O710" s="558"/>
      <c r="R710" s="535"/>
      <c r="S710" s="558"/>
      <c r="V710" s="535"/>
      <c r="W710" s="558"/>
      <c r="Z710" s="535"/>
      <c r="AA710" s="558"/>
      <c r="AD710" s="535"/>
      <c r="AE710" s="558"/>
      <c r="AH710" s="535"/>
      <c r="AI710" s="558"/>
      <c r="AL710" s="535"/>
      <c r="AP710" s="535"/>
    </row>
    <row r="711">
      <c r="A711" s="552"/>
      <c r="B711" s="552"/>
      <c r="N711" s="535"/>
      <c r="O711" s="558"/>
      <c r="R711" s="535"/>
      <c r="S711" s="558"/>
      <c r="V711" s="535"/>
      <c r="W711" s="558"/>
      <c r="Z711" s="535"/>
      <c r="AA711" s="558"/>
      <c r="AD711" s="535"/>
      <c r="AE711" s="558"/>
      <c r="AH711" s="535"/>
      <c r="AI711" s="558"/>
      <c r="AL711" s="535"/>
      <c r="AP711" s="535"/>
    </row>
    <row r="712">
      <c r="A712" s="552"/>
      <c r="B712" s="552"/>
      <c r="N712" s="535"/>
      <c r="O712" s="558"/>
      <c r="R712" s="535"/>
      <c r="S712" s="558"/>
      <c r="V712" s="535"/>
      <c r="W712" s="558"/>
      <c r="Z712" s="535"/>
      <c r="AA712" s="558"/>
      <c r="AD712" s="535"/>
      <c r="AE712" s="558"/>
      <c r="AH712" s="535"/>
      <c r="AI712" s="558"/>
      <c r="AL712" s="535"/>
      <c r="AP712" s="535"/>
    </row>
    <row r="713">
      <c r="A713" s="552"/>
      <c r="B713" s="552"/>
      <c r="N713" s="535"/>
      <c r="O713" s="558"/>
      <c r="R713" s="535"/>
      <c r="S713" s="558"/>
      <c r="V713" s="535"/>
      <c r="W713" s="558"/>
      <c r="Z713" s="535"/>
      <c r="AA713" s="558"/>
      <c r="AD713" s="535"/>
      <c r="AE713" s="558"/>
      <c r="AH713" s="535"/>
      <c r="AI713" s="558"/>
      <c r="AL713" s="535"/>
      <c r="AP713" s="535"/>
    </row>
    <row r="714">
      <c r="A714" s="552"/>
      <c r="B714" s="552"/>
      <c r="N714" s="535"/>
      <c r="O714" s="558"/>
      <c r="R714" s="535"/>
      <c r="S714" s="558"/>
      <c r="V714" s="535"/>
      <c r="W714" s="558"/>
      <c r="Z714" s="535"/>
      <c r="AA714" s="558"/>
      <c r="AD714" s="535"/>
      <c r="AE714" s="558"/>
      <c r="AH714" s="535"/>
      <c r="AI714" s="558"/>
      <c r="AL714" s="535"/>
      <c r="AP714" s="535"/>
    </row>
    <row r="715">
      <c r="A715" s="552"/>
      <c r="B715" s="552"/>
      <c r="N715" s="535"/>
      <c r="O715" s="558"/>
      <c r="R715" s="535"/>
      <c r="S715" s="558"/>
      <c r="V715" s="535"/>
      <c r="W715" s="558"/>
      <c r="Z715" s="535"/>
      <c r="AA715" s="558"/>
      <c r="AD715" s="535"/>
      <c r="AE715" s="558"/>
      <c r="AH715" s="535"/>
      <c r="AI715" s="558"/>
      <c r="AL715" s="535"/>
      <c r="AP715" s="535"/>
    </row>
    <row r="716">
      <c r="A716" s="552"/>
      <c r="B716" s="552"/>
      <c r="N716" s="535"/>
      <c r="O716" s="558"/>
      <c r="R716" s="535"/>
      <c r="S716" s="558"/>
      <c r="V716" s="535"/>
      <c r="W716" s="558"/>
      <c r="Z716" s="535"/>
      <c r="AA716" s="558"/>
      <c r="AD716" s="535"/>
      <c r="AE716" s="558"/>
      <c r="AH716" s="535"/>
      <c r="AI716" s="558"/>
      <c r="AL716" s="535"/>
      <c r="AP716" s="535"/>
    </row>
    <row r="717">
      <c r="A717" s="552"/>
      <c r="B717" s="552"/>
      <c r="N717" s="535"/>
      <c r="O717" s="558"/>
      <c r="R717" s="535"/>
      <c r="S717" s="558"/>
      <c r="V717" s="535"/>
      <c r="W717" s="558"/>
      <c r="Z717" s="535"/>
      <c r="AA717" s="558"/>
      <c r="AD717" s="535"/>
      <c r="AE717" s="558"/>
      <c r="AH717" s="535"/>
      <c r="AI717" s="558"/>
      <c r="AL717" s="535"/>
      <c r="AP717" s="535"/>
    </row>
    <row r="718">
      <c r="A718" s="552"/>
      <c r="B718" s="552"/>
      <c r="N718" s="535"/>
      <c r="O718" s="558"/>
      <c r="R718" s="535"/>
      <c r="S718" s="558"/>
      <c r="V718" s="535"/>
      <c r="W718" s="558"/>
      <c r="Z718" s="535"/>
      <c r="AA718" s="558"/>
      <c r="AD718" s="535"/>
      <c r="AE718" s="558"/>
      <c r="AH718" s="535"/>
      <c r="AI718" s="558"/>
      <c r="AL718" s="535"/>
      <c r="AP718" s="535"/>
    </row>
    <row r="719">
      <c r="A719" s="552"/>
      <c r="B719" s="552"/>
      <c r="N719" s="535"/>
      <c r="O719" s="558"/>
      <c r="R719" s="535"/>
      <c r="S719" s="558"/>
      <c r="V719" s="535"/>
      <c r="W719" s="558"/>
      <c r="Z719" s="535"/>
      <c r="AA719" s="558"/>
      <c r="AD719" s="535"/>
      <c r="AE719" s="558"/>
      <c r="AH719" s="535"/>
      <c r="AI719" s="558"/>
      <c r="AL719" s="535"/>
      <c r="AP719" s="535"/>
    </row>
    <row r="720">
      <c r="A720" s="552"/>
      <c r="B720" s="552"/>
      <c r="N720" s="535"/>
      <c r="O720" s="558"/>
      <c r="R720" s="535"/>
      <c r="S720" s="558"/>
      <c r="V720" s="535"/>
      <c r="W720" s="558"/>
      <c r="Z720" s="535"/>
      <c r="AA720" s="558"/>
      <c r="AD720" s="535"/>
      <c r="AE720" s="558"/>
      <c r="AH720" s="535"/>
      <c r="AI720" s="558"/>
      <c r="AL720" s="535"/>
      <c r="AP720" s="535"/>
    </row>
    <row r="721">
      <c r="A721" s="552"/>
      <c r="B721" s="552"/>
      <c r="N721" s="535"/>
      <c r="O721" s="558"/>
      <c r="R721" s="535"/>
      <c r="S721" s="558"/>
      <c r="V721" s="535"/>
      <c r="W721" s="558"/>
      <c r="Z721" s="535"/>
      <c r="AA721" s="558"/>
      <c r="AD721" s="535"/>
      <c r="AE721" s="558"/>
      <c r="AH721" s="535"/>
      <c r="AI721" s="558"/>
      <c r="AL721" s="535"/>
      <c r="AP721" s="535"/>
    </row>
    <row r="722">
      <c r="A722" s="552"/>
      <c r="B722" s="552"/>
      <c r="N722" s="535"/>
      <c r="O722" s="558"/>
      <c r="R722" s="535"/>
      <c r="S722" s="558"/>
      <c r="V722" s="535"/>
      <c r="W722" s="558"/>
      <c r="Z722" s="535"/>
      <c r="AA722" s="558"/>
      <c r="AD722" s="535"/>
      <c r="AE722" s="558"/>
      <c r="AH722" s="535"/>
      <c r="AI722" s="558"/>
      <c r="AL722" s="535"/>
      <c r="AP722" s="535"/>
    </row>
    <row r="723">
      <c r="A723" s="552"/>
      <c r="B723" s="552"/>
      <c r="N723" s="535"/>
      <c r="O723" s="558"/>
      <c r="R723" s="535"/>
      <c r="S723" s="558"/>
      <c r="V723" s="535"/>
      <c r="W723" s="558"/>
      <c r="Z723" s="535"/>
      <c r="AA723" s="558"/>
      <c r="AD723" s="535"/>
      <c r="AE723" s="558"/>
      <c r="AH723" s="535"/>
      <c r="AI723" s="558"/>
      <c r="AL723" s="535"/>
      <c r="AP723" s="535"/>
    </row>
    <row r="724">
      <c r="A724" s="552"/>
      <c r="B724" s="552"/>
      <c r="N724" s="535"/>
      <c r="O724" s="558"/>
      <c r="R724" s="535"/>
      <c r="S724" s="558"/>
      <c r="V724" s="535"/>
      <c r="W724" s="558"/>
      <c r="Z724" s="535"/>
      <c r="AA724" s="558"/>
      <c r="AD724" s="535"/>
      <c r="AE724" s="558"/>
      <c r="AH724" s="535"/>
      <c r="AI724" s="558"/>
      <c r="AL724" s="535"/>
      <c r="AP724" s="535"/>
    </row>
    <row r="725">
      <c r="A725" s="552"/>
      <c r="B725" s="552"/>
      <c r="N725" s="535"/>
      <c r="O725" s="558"/>
      <c r="R725" s="535"/>
      <c r="S725" s="558"/>
      <c r="V725" s="535"/>
      <c r="W725" s="558"/>
      <c r="Z725" s="535"/>
      <c r="AA725" s="558"/>
      <c r="AD725" s="535"/>
      <c r="AE725" s="558"/>
      <c r="AH725" s="535"/>
      <c r="AI725" s="558"/>
      <c r="AL725" s="535"/>
      <c r="AP725" s="535"/>
    </row>
    <row r="726">
      <c r="A726" s="552"/>
      <c r="B726" s="552"/>
      <c r="N726" s="535"/>
      <c r="O726" s="558"/>
      <c r="R726" s="535"/>
      <c r="S726" s="558"/>
      <c r="V726" s="535"/>
      <c r="W726" s="558"/>
      <c r="Z726" s="535"/>
      <c r="AA726" s="558"/>
      <c r="AD726" s="535"/>
      <c r="AE726" s="558"/>
      <c r="AH726" s="535"/>
      <c r="AI726" s="558"/>
      <c r="AL726" s="535"/>
      <c r="AP726" s="535"/>
    </row>
    <row r="727">
      <c r="A727" s="552"/>
      <c r="B727" s="552"/>
      <c r="N727" s="535"/>
      <c r="O727" s="558"/>
      <c r="R727" s="535"/>
      <c r="S727" s="558"/>
      <c r="V727" s="535"/>
      <c r="W727" s="558"/>
      <c r="Z727" s="535"/>
      <c r="AA727" s="558"/>
      <c r="AD727" s="535"/>
      <c r="AE727" s="558"/>
      <c r="AH727" s="535"/>
      <c r="AI727" s="558"/>
      <c r="AL727" s="535"/>
      <c r="AP727" s="535"/>
    </row>
    <row r="728">
      <c r="A728" s="552"/>
      <c r="B728" s="552"/>
      <c r="N728" s="535"/>
      <c r="O728" s="558"/>
      <c r="R728" s="535"/>
      <c r="S728" s="558"/>
      <c r="V728" s="535"/>
      <c r="W728" s="558"/>
      <c r="Z728" s="535"/>
      <c r="AA728" s="558"/>
      <c r="AD728" s="535"/>
      <c r="AE728" s="558"/>
      <c r="AH728" s="535"/>
      <c r="AI728" s="558"/>
      <c r="AL728" s="535"/>
      <c r="AP728" s="535"/>
    </row>
    <row r="729">
      <c r="A729" s="552"/>
      <c r="B729" s="552"/>
      <c r="N729" s="535"/>
      <c r="O729" s="558"/>
      <c r="R729" s="535"/>
      <c r="S729" s="558"/>
      <c r="V729" s="535"/>
      <c r="W729" s="558"/>
      <c r="Z729" s="535"/>
      <c r="AA729" s="558"/>
      <c r="AD729" s="535"/>
      <c r="AE729" s="558"/>
      <c r="AH729" s="535"/>
      <c r="AI729" s="558"/>
      <c r="AL729" s="535"/>
      <c r="AP729" s="535"/>
    </row>
    <row r="730">
      <c r="A730" s="552"/>
      <c r="B730" s="552"/>
      <c r="N730" s="535"/>
      <c r="O730" s="558"/>
      <c r="R730" s="535"/>
      <c r="S730" s="558"/>
      <c r="V730" s="535"/>
      <c r="W730" s="558"/>
      <c r="Z730" s="535"/>
      <c r="AA730" s="558"/>
      <c r="AD730" s="535"/>
      <c r="AE730" s="558"/>
      <c r="AH730" s="535"/>
      <c r="AI730" s="558"/>
      <c r="AL730" s="535"/>
      <c r="AP730" s="535"/>
    </row>
    <row r="731">
      <c r="A731" s="552"/>
      <c r="B731" s="552"/>
      <c r="N731" s="535"/>
      <c r="O731" s="558"/>
      <c r="R731" s="535"/>
      <c r="S731" s="558"/>
      <c r="V731" s="535"/>
      <c r="W731" s="558"/>
      <c r="Z731" s="535"/>
      <c r="AA731" s="558"/>
      <c r="AD731" s="535"/>
      <c r="AE731" s="558"/>
      <c r="AH731" s="535"/>
      <c r="AI731" s="558"/>
      <c r="AL731" s="535"/>
      <c r="AP731" s="535"/>
    </row>
    <row r="732">
      <c r="A732" s="552"/>
      <c r="B732" s="552"/>
      <c r="N732" s="535"/>
      <c r="O732" s="558"/>
      <c r="R732" s="535"/>
      <c r="S732" s="558"/>
      <c r="V732" s="535"/>
      <c r="W732" s="558"/>
      <c r="Z732" s="535"/>
      <c r="AA732" s="558"/>
      <c r="AD732" s="535"/>
      <c r="AE732" s="558"/>
      <c r="AH732" s="535"/>
      <c r="AI732" s="558"/>
      <c r="AL732" s="535"/>
      <c r="AP732" s="535"/>
    </row>
    <row r="733">
      <c r="A733" s="552"/>
      <c r="B733" s="552"/>
      <c r="N733" s="535"/>
      <c r="O733" s="558"/>
      <c r="R733" s="535"/>
      <c r="S733" s="558"/>
      <c r="V733" s="535"/>
      <c r="W733" s="558"/>
      <c r="Z733" s="535"/>
      <c r="AA733" s="558"/>
      <c r="AD733" s="535"/>
      <c r="AE733" s="558"/>
      <c r="AH733" s="535"/>
      <c r="AI733" s="558"/>
      <c r="AL733" s="535"/>
      <c r="AP733" s="535"/>
    </row>
    <row r="734">
      <c r="A734" s="552"/>
      <c r="B734" s="552"/>
      <c r="N734" s="535"/>
      <c r="O734" s="558"/>
      <c r="R734" s="535"/>
      <c r="S734" s="558"/>
      <c r="V734" s="535"/>
      <c r="W734" s="558"/>
      <c r="Z734" s="535"/>
      <c r="AA734" s="558"/>
      <c r="AD734" s="535"/>
      <c r="AE734" s="558"/>
      <c r="AH734" s="535"/>
      <c r="AI734" s="558"/>
      <c r="AL734" s="535"/>
      <c r="AP734" s="535"/>
    </row>
    <row r="735">
      <c r="A735" s="552"/>
      <c r="B735" s="552"/>
      <c r="N735" s="535"/>
      <c r="O735" s="558"/>
      <c r="R735" s="535"/>
      <c r="S735" s="558"/>
      <c r="V735" s="535"/>
      <c r="W735" s="558"/>
      <c r="Z735" s="535"/>
      <c r="AA735" s="558"/>
      <c r="AD735" s="535"/>
      <c r="AE735" s="558"/>
      <c r="AH735" s="535"/>
      <c r="AI735" s="558"/>
      <c r="AL735" s="535"/>
      <c r="AP735" s="535"/>
    </row>
    <row r="736">
      <c r="A736" s="552"/>
      <c r="B736" s="552"/>
      <c r="N736" s="535"/>
      <c r="O736" s="558"/>
      <c r="R736" s="535"/>
      <c r="S736" s="558"/>
      <c r="V736" s="535"/>
      <c r="W736" s="558"/>
      <c r="Z736" s="535"/>
      <c r="AA736" s="558"/>
      <c r="AD736" s="535"/>
      <c r="AE736" s="558"/>
      <c r="AH736" s="535"/>
      <c r="AI736" s="558"/>
      <c r="AL736" s="535"/>
      <c r="AP736" s="535"/>
    </row>
    <row r="737">
      <c r="A737" s="552"/>
      <c r="B737" s="552"/>
      <c r="N737" s="535"/>
      <c r="O737" s="558"/>
      <c r="R737" s="535"/>
      <c r="S737" s="558"/>
      <c r="V737" s="535"/>
      <c r="W737" s="558"/>
      <c r="Z737" s="535"/>
      <c r="AA737" s="558"/>
      <c r="AD737" s="535"/>
      <c r="AE737" s="558"/>
      <c r="AH737" s="535"/>
      <c r="AI737" s="558"/>
      <c r="AL737" s="535"/>
      <c r="AP737" s="535"/>
    </row>
    <row r="738">
      <c r="A738" s="552"/>
      <c r="B738" s="552"/>
      <c r="N738" s="535"/>
      <c r="O738" s="558"/>
      <c r="R738" s="535"/>
      <c r="S738" s="558"/>
      <c r="V738" s="535"/>
      <c r="W738" s="558"/>
      <c r="Z738" s="535"/>
      <c r="AA738" s="558"/>
      <c r="AD738" s="535"/>
      <c r="AE738" s="558"/>
      <c r="AH738" s="535"/>
      <c r="AI738" s="558"/>
      <c r="AL738" s="535"/>
      <c r="AP738" s="535"/>
    </row>
    <row r="739">
      <c r="A739" s="552"/>
      <c r="B739" s="552"/>
      <c r="N739" s="535"/>
      <c r="O739" s="558"/>
      <c r="R739" s="535"/>
      <c r="S739" s="558"/>
      <c r="V739" s="535"/>
      <c r="W739" s="558"/>
      <c r="Z739" s="535"/>
      <c r="AA739" s="558"/>
      <c r="AD739" s="535"/>
      <c r="AE739" s="558"/>
      <c r="AH739" s="535"/>
      <c r="AI739" s="558"/>
      <c r="AL739" s="535"/>
      <c r="AP739" s="535"/>
    </row>
    <row r="740">
      <c r="A740" s="552"/>
      <c r="B740" s="552"/>
      <c r="N740" s="535"/>
      <c r="O740" s="558"/>
      <c r="R740" s="535"/>
      <c r="S740" s="558"/>
      <c r="V740" s="535"/>
      <c r="W740" s="558"/>
      <c r="Z740" s="535"/>
      <c r="AA740" s="558"/>
      <c r="AD740" s="535"/>
      <c r="AE740" s="558"/>
      <c r="AH740" s="535"/>
      <c r="AI740" s="558"/>
      <c r="AL740" s="535"/>
      <c r="AP740" s="535"/>
    </row>
    <row r="741">
      <c r="A741" s="552"/>
      <c r="B741" s="552"/>
      <c r="N741" s="535"/>
      <c r="O741" s="558"/>
      <c r="R741" s="535"/>
      <c r="S741" s="558"/>
      <c r="V741" s="535"/>
      <c r="W741" s="558"/>
      <c r="Z741" s="535"/>
      <c r="AA741" s="558"/>
      <c r="AD741" s="535"/>
      <c r="AE741" s="558"/>
      <c r="AH741" s="535"/>
      <c r="AI741" s="558"/>
      <c r="AL741" s="535"/>
      <c r="AP741" s="535"/>
    </row>
    <row r="742">
      <c r="A742" s="552"/>
      <c r="B742" s="552"/>
      <c r="N742" s="535"/>
      <c r="O742" s="558"/>
      <c r="R742" s="535"/>
      <c r="S742" s="558"/>
      <c r="V742" s="535"/>
      <c r="W742" s="558"/>
      <c r="Z742" s="535"/>
      <c r="AA742" s="558"/>
      <c r="AD742" s="535"/>
      <c r="AE742" s="558"/>
      <c r="AH742" s="535"/>
      <c r="AI742" s="558"/>
      <c r="AL742" s="535"/>
      <c r="AP742" s="535"/>
    </row>
    <row r="743">
      <c r="A743" s="552"/>
      <c r="B743" s="552"/>
      <c r="N743" s="535"/>
      <c r="O743" s="558"/>
      <c r="R743" s="535"/>
      <c r="S743" s="558"/>
      <c r="V743" s="535"/>
      <c r="W743" s="558"/>
      <c r="Z743" s="535"/>
      <c r="AA743" s="558"/>
      <c r="AD743" s="535"/>
      <c r="AE743" s="558"/>
      <c r="AH743" s="535"/>
      <c r="AI743" s="558"/>
      <c r="AL743" s="535"/>
      <c r="AP743" s="535"/>
    </row>
    <row r="744">
      <c r="A744" s="552"/>
      <c r="B744" s="552"/>
      <c r="N744" s="535"/>
      <c r="O744" s="558"/>
      <c r="R744" s="535"/>
      <c r="S744" s="558"/>
      <c r="V744" s="535"/>
      <c r="W744" s="558"/>
      <c r="Z744" s="535"/>
      <c r="AA744" s="558"/>
      <c r="AD744" s="535"/>
      <c r="AE744" s="558"/>
      <c r="AH744" s="535"/>
      <c r="AI744" s="558"/>
      <c r="AL744" s="535"/>
      <c r="AP744" s="535"/>
    </row>
    <row r="745">
      <c r="A745" s="552"/>
      <c r="B745" s="552"/>
      <c r="N745" s="535"/>
      <c r="O745" s="558"/>
      <c r="R745" s="535"/>
      <c r="S745" s="558"/>
      <c r="V745" s="535"/>
      <c r="W745" s="558"/>
      <c r="Z745" s="535"/>
      <c r="AA745" s="558"/>
      <c r="AD745" s="535"/>
      <c r="AE745" s="558"/>
      <c r="AH745" s="535"/>
      <c r="AI745" s="558"/>
      <c r="AL745" s="535"/>
      <c r="AP745" s="535"/>
    </row>
    <row r="746">
      <c r="A746" s="552"/>
      <c r="B746" s="552"/>
      <c r="N746" s="535"/>
      <c r="O746" s="558"/>
      <c r="R746" s="535"/>
      <c r="S746" s="558"/>
      <c r="V746" s="535"/>
      <c r="W746" s="558"/>
      <c r="Z746" s="535"/>
      <c r="AA746" s="558"/>
      <c r="AD746" s="535"/>
      <c r="AE746" s="558"/>
      <c r="AH746" s="535"/>
      <c r="AI746" s="558"/>
      <c r="AL746" s="535"/>
      <c r="AP746" s="535"/>
    </row>
    <row r="747">
      <c r="A747" s="552"/>
      <c r="B747" s="552"/>
      <c r="N747" s="535"/>
      <c r="O747" s="558"/>
      <c r="R747" s="535"/>
      <c r="S747" s="558"/>
      <c r="V747" s="535"/>
      <c r="W747" s="558"/>
      <c r="Z747" s="535"/>
      <c r="AA747" s="558"/>
      <c r="AD747" s="535"/>
      <c r="AE747" s="558"/>
      <c r="AH747" s="535"/>
      <c r="AI747" s="558"/>
      <c r="AL747" s="535"/>
      <c r="AP747" s="535"/>
    </row>
    <row r="748">
      <c r="A748" s="552"/>
      <c r="B748" s="552"/>
      <c r="N748" s="535"/>
      <c r="O748" s="558"/>
      <c r="R748" s="535"/>
      <c r="S748" s="558"/>
      <c r="V748" s="535"/>
      <c r="W748" s="558"/>
      <c r="Z748" s="535"/>
      <c r="AA748" s="558"/>
      <c r="AD748" s="535"/>
      <c r="AE748" s="558"/>
      <c r="AH748" s="535"/>
      <c r="AI748" s="558"/>
      <c r="AL748" s="535"/>
      <c r="AP748" s="535"/>
    </row>
    <row r="749">
      <c r="A749" s="552"/>
      <c r="B749" s="552"/>
      <c r="N749" s="535"/>
      <c r="O749" s="558"/>
      <c r="R749" s="535"/>
      <c r="S749" s="558"/>
      <c r="V749" s="535"/>
      <c r="W749" s="558"/>
      <c r="Z749" s="535"/>
      <c r="AA749" s="558"/>
      <c r="AD749" s="535"/>
      <c r="AE749" s="558"/>
      <c r="AH749" s="535"/>
      <c r="AI749" s="558"/>
      <c r="AL749" s="535"/>
      <c r="AP749" s="535"/>
    </row>
    <row r="750">
      <c r="A750" s="552"/>
      <c r="B750" s="552"/>
      <c r="N750" s="535"/>
      <c r="O750" s="558"/>
      <c r="R750" s="535"/>
      <c r="S750" s="558"/>
      <c r="V750" s="535"/>
      <c r="W750" s="558"/>
      <c r="Z750" s="535"/>
      <c r="AA750" s="558"/>
      <c r="AD750" s="535"/>
      <c r="AE750" s="558"/>
      <c r="AH750" s="535"/>
      <c r="AI750" s="558"/>
      <c r="AL750" s="535"/>
      <c r="AP750" s="535"/>
    </row>
    <row r="751">
      <c r="A751" s="552"/>
      <c r="B751" s="552"/>
      <c r="N751" s="535"/>
      <c r="O751" s="558"/>
      <c r="R751" s="535"/>
      <c r="S751" s="558"/>
      <c r="V751" s="535"/>
      <c r="W751" s="558"/>
      <c r="Z751" s="535"/>
      <c r="AA751" s="558"/>
      <c r="AD751" s="535"/>
      <c r="AE751" s="558"/>
      <c r="AH751" s="535"/>
      <c r="AI751" s="558"/>
      <c r="AL751" s="535"/>
      <c r="AP751" s="535"/>
    </row>
    <row r="752">
      <c r="A752" s="552"/>
      <c r="B752" s="552"/>
      <c r="N752" s="535"/>
      <c r="O752" s="558"/>
      <c r="R752" s="535"/>
      <c r="S752" s="558"/>
      <c r="V752" s="535"/>
      <c r="W752" s="558"/>
      <c r="Z752" s="535"/>
      <c r="AA752" s="558"/>
      <c r="AD752" s="535"/>
      <c r="AE752" s="558"/>
      <c r="AH752" s="535"/>
      <c r="AI752" s="558"/>
      <c r="AL752" s="535"/>
      <c r="AP752" s="535"/>
    </row>
    <row r="753">
      <c r="A753" s="552"/>
      <c r="B753" s="552"/>
      <c r="N753" s="535"/>
      <c r="O753" s="558"/>
      <c r="R753" s="535"/>
      <c r="S753" s="558"/>
      <c r="V753" s="535"/>
      <c r="W753" s="558"/>
      <c r="Z753" s="535"/>
      <c r="AA753" s="558"/>
      <c r="AD753" s="535"/>
      <c r="AE753" s="558"/>
      <c r="AH753" s="535"/>
      <c r="AI753" s="558"/>
      <c r="AL753" s="535"/>
      <c r="AP753" s="535"/>
    </row>
    <row r="754">
      <c r="A754" s="552"/>
      <c r="B754" s="552"/>
      <c r="N754" s="535"/>
      <c r="O754" s="558"/>
      <c r="R754" s="535"/>
      <c r="S754" s="558"/>
      <c r="V754" s="535"/>
      <c r="W754" s="558"/>
      <c r="Z754" s="535"/>
      <c r="AA754" s="558"/>
      <c r="AD754" s="535"/>
      <c r="AE754" s="558"/>
      <c r="AH754" s="535"/>
      <c r="AI754" s="558"/>
      <c r="AL754" s="535"/>
      <c r="AP754" s="535"/>
    </row>
    <row r="755">
      <c r="A755" s="552"/>
      <c r="B755" s="552"/>
      <c r="N755" s="535"/>
      <c r="O755" s="558"/>
      <c r="R755" s="535"/>
      <c r="S755" s="558"/>
      <c r="V755" s="535"/>
      <c r="W755" s="558"/>
      <c r="Z755" s="535"/>
      <c r="AA755" s="558"/>
      <c r="AD755" s="535"/>
      <c r="AE755" s="558"/>
      <c r="AH755" s="535"/>
      <c r="AI755" s="558"/>
      <c r="AL755" s="535"/>
      <c r="AP755" s="535"/>
    </row>
    <row r="756">
      <c r="A756" s="552"/>
      <c r="B756" s="552"/>
      <c r="N756" s="535"/>
      <c r="O756" s="558"/>
      <c r="R756" s="535"/>
      <c r="S756" s="558"/>
      <c r="V756" s="535"/>
      <c r="W756" s="558"/>
      <c r="Z756" s="535"/>
      <c r="AA756" s="558"/>
      <c r="AD756" s="535"/>
      <c r="AE756" s="558"/>
      <c r="AH756" s="535"/>
      <c r="AI756" s="558"/>
      <c r="AL756" s="535"/>
      <c r="AP756" s="535"/>
    </row>
    <row r="757">
      <c r="A757" s="552"/>
      <c r="B757" s="552"/>
      <c r="N757" s="535"/>
      <c r="O757" s="558"/>
      <c r="R757" s="535"/>
      <c r="S757" s="558"/>
      <c r="V757" s="535"/>
      <c r="W757" s="558"/>
      <c r="Z757" s="535"/>
      <c r="AA757" s="558"/>
      <c r="AD757" s="535"/>
      <c r="AE757" s="558"/>
      <c r="AH757" s="535"/>
      <c r="AI757" s="558"/>
      <c r="AL757" s="535"/>
      <c r="AP757" s="535"/>
    </row>
    <row r="758">
      <c r="A758" s="552"/>
      <c r="B758" s="552"/>
      <c r="N758" s="535"/>
      <c r="O758" s="558"/>
      <c r="R758" s="535"/>
      <c r="S758" s="558"/>
      <c r="V758" s="535"/>
      <c r="W758" s="558"/>
      <c r="Z758" s="535"/>
      <c r="AA758" s="558"/>
      <c r="AD758" s="535"/>
      <c r="AE758" s="558"/>
      <c r="AH758" s="535"/>
      <c r="AI758" s="558"/>
      <c r="AL758" s="535"/>
      <c r="AP758" s="535"/>
    </row>
    <row r="759">
      <c r="A759" s="552"/>
      <c r="B759" s="552"/>
      <c r="N759" s="535"/>
      <c r="O759" s="558"/>
      <c r="R759" s="535"/>
      <c r="S759" s="558"/>
      <c r="V759" s="535"/>
      <c r="W759" s="558"/>
      <c r="Z759" s="535"/>
      <c r="AA759" s="558"/>
      <c r="AD759" s="535"/>
      <c r="AE759" s="558"/>
      <c r="AH759" s="535"/>
      <c r="AI759" s="558"/>
      <c r="AL759" s="535"/>
      <c r="AP759" s="535"/>
    </row>
    <row r="760">
      <c r="A760" s="552"/>
      <c r="B760" s="552"/>
      <c r="N760" s="535"/>
      <c r="O760" s="558"/>
      <c r="R760" s="535"/>
      <c r="S760" s="558"/>
      <c r="V760" s="535"/>
      <c r="W760" s="558"/>
      <c r="Z760" s="535"/>
      <c r="AA760" s="558"/>
      <c r="AD760" s="535"/>
      <c r="AE760" s="558"/>
      <c r="AH760" s="535"/>
      <c r="AI760" s="558"/>
      <c r="AL760" s="535"/>
      <c r="AP760" s="535"/>
    </row>
    <row r="761">
      <c r="A761" s="552"/>
      <c r="B761" s="552"/>
      <c r="N761" s="535"/>
      <c r="O761" s="558"/>
      <c r="R761" s="535"/>
      <c r="S761" s="558"/>
      <c r="V761" s="535"/>
      <c r="W761" s="558"/>
      <c r="Z761" s="535"/>
      <c r="AA761" s="558"/>
      <c r="AD761" s="535"/>
      <c r="AE761" s="558"/>
      <c r="AH761" s="535"/>
      <c r="AI761" s="558"/>
      <c r="AL761" s="535"/>
      <c r="AP761" s="535"/>
    </row>
    <row r="762">
      <c r="A762" s="552"/>
      <c r="B762" s="552"/>
      <c r="N762" s="535"/>
      <c r="O762" s="558"/>
      <c r="R762" s="535"/>
      <c r="S762" s="558"/>
      <c r="V762" s="535"/>
      <c r="W762" s="558"/>
      <c r="Z762" s="535"/>
      <c r="AA762" s="558"/>
      <c r="AD762" s="535"/>
      <c r="AE762" s="558"/>
      <c r="AH762" s="535"/>
      <c r="AI762" s="558"/>
      <c r="AL762" s="535"/>
      <c r="AP762" s="535"/>
    </row>
    <row r="763">
      <c r="A763" s="552"/>
      <c r="B763" s="552"/>
      <c r="N763" s="535"/>
      <c r="O763" s="558"/>
      <c r="R763" s="535"/>
      <c r="S763" s="558"/>
      <c r="V763" s="535"/>
      <c r="W763" s="558"/>
      <c r="Z763" s="535"/>
      <c r="AA763" s="558"/>
      <c r="AD763" s="535"/>
      <c r="AE763" s="558"/>
      <c r="AH763" s="535"/>
      <c r="AI763" s="558"/>
      <c r="AL763" s="535"/>
      <c r="AP763" s="535"/>
    </row>
    <row r="764">
      <c r="A764" s="552"/>
      <c r="B764" s="552"/>
      <c r="N764" s="535"/>
      <c r="O764" s="558"/>
      <c r="R764" s="535"/>
      <c r="S764" s="558"/>
      <c r="V764" s="535"/>
      <c r="W764" s="558"/>
      <c r="Z764" s="535"/>
      <c r="AA764" s="558"/>
      <c r="AD764" s="535"/>
      <c r="AE764" s="558"/>
      <c r="AH764" s="535"/>
      <c r="AI764" s="558"/>
      <c r="AL764" s="535"/>
      <c r="AP764" s="535"/>
    </row>
    <row r="765">
      <c r="A765" s="552"/>
      <c r="B765" s="552"/>
      <c r="N765" s="535"/>
      <c r="O765" s="558"/>
      <c r="R765" s="535"/>
      <c r="S765" s="558"/>
      <c r="V765" s="535"/>
      <c r="W765" s="558"/>
      <c r="Z765" s="535"/>
      <c r="AA765" s="558"/>
      <c r="AD765" s="535"/>
      <c r="AE765" s="558"/>
      <c r="AH765" s="535"/>
      <c r="AI765" s="558"/>
      <c r="AL765" s="535"/>
      <c r="AP765" s="535"/>
    </row>
    <row r="766">
      <c r="A766" s="552"/>
      <c r="B766" s="552"/>
      <c r="N766" s="535"/>
      <c r="O766" s="558"/>
      <c r="R766" s="535"/>
      <c r="S766" s="558"/>
      <c r="V766" s="535"/>
      <c r="W766" s="558"/>
      <c r="Z766" s="535"/>
      <c r="AA766" s="558"/>
      <c r="AD766" s="535"/>
      <c r="AE766" s="558"/>
      <c r="AH766" s="535"/>
      <c r="AI766" s="558"/>
      <c r="AL766" s="535"/>
      <c r="AP766" s="535"/>
    </row>
    <row r="767">
      <c r="A767" s="552"/>
      <c r="B767" s="552"/>
      <c r="N767" s="535"/>
      <c r="O767" s="558"/>
      <c r="R767" s="535"/>
      <c r="S767" s="558"/>
      <c r="V767" s="535"/>
      <c r="W767" s="558"/>
      <c r="Z767" s="535"/>
      <c r="AA767" s="558"/>
      <c r="AD767" s="535"/>
      <c r="AE767" s="558"/>
      <c r="AH767" s="535"/>
      <c r="AI767" s="558"/>
      <c r="AL767" s="535"/>
      <c r="AP767" s="535"/>
    </row>
    <row r="768">
      <c r="A768" s="552"/>
      <c r="B768" s="552"/>
      <c r="N768" s="535"/>
      <c r="O768" s="558"/>
      <c r="R768" s="535"/>
      <c r="S768" s="558"/>
      <c r="V768" s="535"/>
      <c r="W768" s="558"/>
      <c r="Z768" s="535"/>
      <c r="AA768" s="558"/>
      <c r="AD768" s="535"/>
      <c r="AE768" s="558"/>
      <c r="AH768" s="535"/>
      <c r="AI768" s="558"/>
      <c r="AL768" s="535"/>
      <c r="AP768" s="535"/>
    </row>
    <row r="769">
      <c r="A769" s="552"/>
      <c r="B769" s="552"/>
      <c r="N769" s="535"/>
      <c r="O769" s="558"/>
      <c r="R769" s="535"/>
      <c r="S769" s="558"/>
      <c r="V769" s="535"/>
      <c r="W769" s="558"/>
      <c r="Z769" s="535"/>
      <c r="AA769" s="558"/>
      <c r="AD769" s="535"/>
      <c r="AE769" s="558"/>
      <c r="AH769" s="535"/>
      <c r="AI769" s="558"/>
      <c r="AL769" s="535"/>
      <c r="AP769" s="535"/>
    </row>
    <row r="770">
      <c r="A770" s="552"/>
      <c r="B770" s="552"/>
      <c r="N770" s="535"/>
      <c r="O770" s="558"/>
      <c r="R770" s="535"/>
      <c r="S770" s="558"/>
      <c r="V770" s="535"/>
      <c r="W770" s="558"/>
      <c r="Z770" s="535"/>
      <c r="AA770" s="558"/>
      <c r="AD770" s="535"/>
      <c r="AE770" s="558"/>
      <c r="AH770" s="535"/>
      <c r="AI770" s="558"/>
      <c r="AL770" s="535"/>
      <c r="AP770" s="535"/>
    </row>
    <row r="771">
      <c r="A771" s="552"/>
      <c r="B771" s="552"/>
      <c r="N771" s="535"/>
      <c r="O771" s="558"/>
      <c r="R771" s="535"/>
      <c r="S771" s="558"/>
      <c r="V771" s="535"/>
      <c r="W771" s="558"/>
      <c r="Z771" s="535"/>
      <c r="AA771" s="558"/>
      <c r="AD771" s="535"/>
      <c r="AE771" s="558"/>
      <c r="AH771" s="535"/>
      <c r="AI771" s="558"/>
      <c r="AL771" s="535"/>
      <c r="AP771" s="535"/>
    </row>
    <row r="772">
      <c r="A772" s="552"/>
      <c r="B772" s="552"/>
      <c r="N772" s="535"/>
      <c r="O772" s="558"/>
      <c r="R772" s="535"/>
      <c r="S772" s="558"/>
      <c r="V772" s="535"/>
      <c r="W772" s="558"/>
      <c r="Z772" s="535"/>
      <c r="AA772" s="558"/>
      <c r="AD772" s="535"/>
      <c r="AE772" s="558"/>
      <c r="AH772" s="535"/>
      <c r="AI772" s="558"/>
      <c r="AL772" s="535"/>
      <c r="AP772" s="535"/>
    </row>
    <row r="773">
      <c r="A773" s="552"/>
      <c r="B773" s="552"/>
      <c r="N773" s="535"/>
      <c r="O773" s="558"/>
      <c r="R773" s="535"/>
      <c r="S773" s="558"/>
      <c r="V773" s="535"/>
      <c r="W773" s="558"/>
      <c r="Z773" s="535"/>
      <c r="AA773" s="558"/>
      <c r="AD773" s="535"/>
      <c r="AE773" s="558"/>
      <c r="AH773" s="535"/>
      <c r="AI773" s="558"/>
      <c r="AL773" s="535"/>
      <c r="AP773" s="535"/>
    </row>
    <row r="774">
      <c r="A774" s="552"/>
      <c r="B774" s="552"/>
      <c r="N774" s="535"/>
      <c r="O774" s="558"/>
      <c r="R774" s="535"/>
      <c r="S774" s="558"/>
      <c r="V774" s="535"/>
      <c r="W774" s="558"/>
      <c r="Z774" s="535"/>
      <c r="AA774" s="558"/>
      <c r="AD774" s="535"/>
      <c r="AE774" s="558"/>
      <c r="AH774" s="535"/>
      <c r="AI774" s="558"/>
      <c r="AL774" s="535"/>
      <c r="AP774" s="535"/>
    </row>
    <row r="775">
      <c r="A775" s="552"/>
      <c r="B775" s="552"/>
      <c r="N775" s="535"/>
      <c r="O775" s="558"/>
      <c r="R775" s="535"/>
      <c r="S775" s="558"/>
      <c r="V775" s="535"/>
      <c r="W775" s="558"/>
      <c r="Z775" s="535"/>
      <c r="AA775" s="558"/>
      <c r="AD775" s="535"/>
      <c r="AE775" s="558"/>
      <c r="AH775" s="535"/>
      <c r="AI775" s="558"/>
      <c r="AL775" s="535"/>
      <c r="AP775" s="535"/>
    </row>
    <row r="776">
      <c r="A776" s="552"/>
      <c r="B776" s="552"/>
      <c r="N776" s="535"/>
      <c r="O776" s="558"/>
      <c r="R776" s="535"/>
      <c r="S776" s="558"/>
      <c r="V776" s="535"/>
      <c r="W776" s="558"/>
      <c r="Z776" s="535"/>
      <c r="AA776" s="558"/>
      <c r="AD776" s="535"/>
      <c r="AE776" s="558"/>
      <c r="AH776" s="535"/>
      <c r="AI776" s="558"/>
      <c r="AL776" s="535"/>
      <c r="AP776" s="535"/>
    </row>
    <row r="777">
      <c r="A777" s="552"/>
      <c r="B777" s="552"/>
      <c r="N777" s="535"/>
      <c r="O777" s="558"/>
      <c r="R777" s="535"/>
      <c r="S777" s="558"/>
      <c r="V777" s="535"/>
      <c r="W777" s="558"/>
      <c r="Z777" s="535"/>
      <c r="AA777" s="558"/>
      <c r="AD777" s="535"/>
      <c r="AE777" s="558"/>
      <c r="AH777" s="535"/>
      <c r="AI777" s="558"/>
      <c r="AL777" s="535"/>
      <c r="AP777" s="535"/>
    </row>
    <row r="778">
      <c r="A778" s="552"/>
      <c r="B778" s="552"/>
      <c r="N778" s="535"/>
      <c r="O778" s="558"/>
      <c r="R778" s="535"/>
      <c r="S778" s="558"/>
      <c r="V778" s="535"/>
      <c r="W778" s="558"/>
      <c r="Z778" s="535"/>
      <c r="AA778" s="558"/>
      <c r="AD778" s="535"/>
      <c r="AE778" s="558"/>
      <c r="AH778" s="535"/>
      <c r="AI778" s="558"/>
      <c r="AL778" s="535"/>
      <c r="AP778" s="535"/>
    </row>
    <row r="779">
      <c r="A779" s="552"/>
      <c r="B779" s="552"/>
      <c r="N779" s="535"/>
      <c r="O779" s="558"/>
      <c r="R779" s="535"/>
      <c r="S779" s="558"/>
      <c r="V779" s="535"/>
      <c r="W779" s="558"/>
      <c r="Z779" s="535"/>
      <c r="AA779" s="558"/>
      <c r="AD779" s="535"/>
      <c r="AE779" s="558"/>
      <c r="AH779" s="535"/>
      <c r="AI779" s="558"/>
      <c r="AL779" s="535"/>
      <c r="AP779" s="535"/>
    </row>
    <row r="780">
      <c r="A780" s="552"/>
      <c r="B780" s="552"/>
      <c r="N780" s="535"/>
      <c r="O780" s="558"/>
      <c r="R780" s="535"/>
      <c r="S780" s="558"/>
      <c r="V780" s="535"/>
      <c r="W780" s="558"/>
      <c r="Z780" s="535"/>
      <c r="AA780" s="558"/>
      <c r="AD780" s="535"/>
      <c r="AE780" s="558"/>
      <c r="AH780" s="535"/>
      <c r="AI780" s="558"/>
      <c r="AL780" s="535"/>
      <c r="AP780" s="535"/>
    </row>
    <row r="781">
      <c r="A781" s="552"/>
      <c r="B781" s="552"/>
      <c r="N781" s="535"/>
      <c r="O781" s="558"/>
      <c r="R781" s="535"/>
      <c r="S781" s="558"/>
      <c r="V781" s="535"/>
      <c r="W781" s="558"/>
      <c r="Z781" s="535"/>
      <c r="AA781" s="558"/>
      <c r="AD781" s="535"/>
      <c r="AE781" s="558"/>
      <c r="AH781" s="535"/>
      <c r="AI781" s="558"/>
      <c r="AL781" s="535"/>
      <c r="AP781" s="535"/>
    </row>
    <row r="782">
      <c r="A782" s="552"/>
      <c r="B782" s="552"/>
      <c r="N782" s="535"/>
      <c r="O782" s="558"/>
      <c r="R782" s="535"/>
      <c r="S782" s="558"/>
      <c r="V782" s="535"/>
      <c r="W782" s="558"/>
      <c r="Z782" s="535"/>
      <c r="AA782" s="558"/>
      <c r="AD782" s="535"/>
      <c r="AE782" s="558"/>
      <c r="AH782" s="535"/>
      <c r="AI782" s="558"/>
      <c r="AL782" s="535"/>
      <c r="AP782" s="535"/>
    </row>
    <row r="783">
      <c r="A783" s="552"/>
      <c r="B783" s="552"/>
      <c r="N783" s="535"/>
      <c r="O783" s="558"/>
      <c r="R783" s="535"/>
      <c r="S783" s="558"/>
      <c r="V783" s="535"/>
      <c r="W783" s="558"/>
      <c r="Z783" s="535"/>
      <c r="AA783" s="558"/>
      <c r="AD783" s="535"/>
      <c r="AE783" s="558"/>
      <c r="AH783" s="535"/>
      <c r="AI783" s="558"/>
      <c r="AL783" s="535"/>
      <c r="AP783" s="535"/>
    </row>
    <row r="784">
      <c r="A784" s="552"/>
      <c r="B784" s="552"/>
      <c r="N784" s="535"/>
      <c r="O784" s="558"/>
      <c r="R784" s="535"/>
      <c r="S784" s="558"/>
      <c r="V784" s="535"/>
      <c r="W784" s="558"/>
      <c r="Z784" s="535"/>
      <c r="AA784" s="558"/>
      <c r="AD784" s="535"/>
      <c r="AE784" s="558"/>
      <c r="AH784" s="535"/>
      <c r="AI784" s="558"/>
      <c r="AL784" s="535"/>
      <c r="AP784" s="535"/>
    </row>
    <row r="785">
      <c r="A785" s="552"/>
      <c r="B785" s="552"/>
      <c r="N785" s="535"/>
      <c r="O785" s="558"/>
      <c r="R785" s="535"/>
      <c r="S785" s="558"/>
      <c r="V785" s="535"/>
      <c r="W785" s="558"/>
      <c r="Z785" s="535"/>
      <c r="AA785" s="558"/>
      <c r="AD785" s="535"/>
      <c r="AE785" s="558"/>
      <c r="AH785" s="535"/>
      <c r="AI785" s="558"/>
      <c r="AL785" s="535"/>
      <c r="AP785" s="535"/>
    </row>
    <row r="786">
      <c r="A786" s="552"/>
      <c r="B786" s="552"/>
      <c r="N786" s="535"/>
      <c r="O786" s="558"/>
      <c r="R786" s="535"/>
      <c r="S786" s="558"/>
      <c r="V786" s="535"/>
      <c r="W786" s="558"/>
      <c r="Z786" s="535"/>
      <c r="AA786" s="558"/>
      <c r="AD786" s="535"/>
      <c r="AE786" s="558"/>
      <c r="AH786" s="535"/>
      <c r="AI786" s="558"/>
      <c r="AL786" s="535"/>
      <c r="AP786" s="535"/>
    </row>
    <row r="787">
      <c r="A787" s="552"/>
      <c r="B787" s="552"/>
      <c r="N787" s="535"/>
      <c r="O787" s="558"/>
      <c r="R787" s="535"/>
      <c r="S787" s="558"/>
      <c r="V787" s="535"/>
      <c r="W787" s="558"/>
      <c r="Z787" s="535"/>
      <c r="AA787" s="558"/>
      <c r="AD787" s="535"/>
      <c r="AE787" s="558"/>
      <c r="AH787" s="535"/>
      <c r="AI787" s="558"/>
      <c r="AL787" s="535"/>
      <c r="AP787" s="535"/>
    </row>
    <row r="788">
      <c r="A788" s="552"/>
      <c r="B788" s="552"/>
      <c r="N788" s="535"/>
      <c r="O788" s="558"/>
      <c r="R788" s="535"/>
      <c r="S788" s="558"/>
      <c r="V788" s="535"/>
      <c r="W788" s="558"/>
      <c r="Z788" s="535"/>
      <c r="AA788" s="558"/>
      <c r="AD788" s="535"/>
      <c r="AE788" s="558"/>
      <c r="AH788" s="535"/>
      <c r="AI788" s="558"/>
      <c r="AL788" s="535"/>
      <c r="AP788" s="535"/>
    </row>
    <row r="789">
      <c r="A789" s="552"/>
      <c r="B789" s="552"/>
      <c r="N789" s="535"/>
      <c r="O789" s="558"/>
      <c r="R789" s="535"/>
      <c r="S789" s="558"/>
      <c r="V789" s="535"/>
      <c r="W789" s="558"/>
      <c r="Z789" s="535"/>
      <c r="AA789" s="558"/>
      <c r="AD789" s="535"/>
      <c r="AE789" s="558"/>
      <c r="AH789" s="535"/>
      <c r="AI789" s="558"/>
      <c r="AL789" s="535"/>
      <c r="AP789" s="535"/>
    </row>
    <row r="790">
      <c r="A790" s="552"/>
      <c r="B790" s="552"/>
      <c r="N790" s="535"/>
      <c r="O790" s="558"/>
      <c r="R790" s="535"/>
      <c r="S790" s="558"/>
      <c r="V790" s="535"/>
      <c r="W790" s="558"/>
      <c r="Z790" s="535"/>
      <c r="AA790" s="558"/>
      <c r="AD790" s="535"/>
      <c r="AE790" s="558"/>
      <c r="AH790" s="535"/>
      <c r="AI790" s="558"/>
      <c r="AL790" s="535"/>
      <c r="AP790" s="535"/>
    </row>
    <row r="791">
      <c r="A791" s="552"/>
      <c r="B791" s="552"/>
      <c r="N791" s="535"/>
      <c r="O791" s="558"/>
      <c r="R791" s="535"/>
      <c r="S791" s="558"/>
      <c r="V791" s="535"/>
      <c r="W791" s="558"/>
      <c r="Z791" s="535"/>
      <c r="AA791" s="558"/>
      <c r="AD791" s="535"/>
      <c r="AE791" s="558"/>
      <c r="AH791" s="535"/>
      <c r="AI791" s="558"/>
      <c r="AL791" s="535"/>
      <c r="AP791" s="535"/>
    </row>
    <row r="792">
      <c r="A792" s="552"/>
      <c r="B792" s="552"/>
      <c r="N792" s="535"/>
      <c r="O792" s="558"/>
      <c r="R792" s="535"/>
      <c r="S792" s="558"/>
      <c r="V792" s="535"/>
      <c r="W792" s="558"/>
      <c r="Z792" s="535"/>
      <c r="AA792" s="558"/>
      <c r="AD792" s="535"/>
      <c r="AE792" s="558"/>
      <c r="AH792" s="535"/>
      <c r="AI792" s="558"/>
      <c r="AL792" s="535"/>
      <c r="AP792" s="535"/>
    </row>
    <row r="793">
      <c r="A793" s="552"/>
      <c r="B793" s="552"/>
      <c r="N793" s="535"/>
      <c r="O793" s="558"/>
      <c r="R793" s="535"/>
      <c r="S793" s="558"/>
      <c r="V793" s="535"/>
      <c r="W793" s="558"/>
      <c r="Z793" s="535"/>
      <c r="AA793" s="558"/>
      <c r="AD793" s="535"/>
      <c r="AE793" s="558"/>
      <c r="AH793" s="535"/>
      <c r="AI793" s="558"/>
      <c r="AL793" s="535"/>
      <c r="AP793" s="535"/>
    </row>
    <row r="794">
      <c r="A794" s="552"/>
      <c r="B794" s="552"/>
      <c r="N794" s="535"/>
      <c r="O794" s="558"/>
      <c r="R794" s="535"/>
      <c r="S794" s="558"/>
      <c r="V794" s="535"/>
      <c r="W794" s="558"/>
      <c r="Z794" s="535"/>
      <c r="AA794" s="558"/>
      <c r="AD794" s="535"/>
      <c r="AE794" s="558"/>
      <c r="AH794" s="535"/>
      <c r="AI794" s="558"/>
      <c r="AL794" s="535"/>
      <c r="AP794" s="535"/>
    </row>
    <row r="795">
      <c r="A795" s="552"/>
      <c r="B795" s="552"/>
      <c r="N795" s="535"/>
      <c r="O795" s="558"/>
      <c r="R795" s="535"/>
      <c r="S795" s="558"/>
      <c r="V795" s="535"/>
      <c r="W795" s="558"/>
      <c r="Z795" s="535"/>
      <c r="AA795" s="558"/>
      <c r="AD795" s="535"/>
      <c r="AE795" s="558"/>
      <c r="AH795" s="535"/>
      <c r="AI795" s="558"/>
      <c r="AL795" s="535"/>
      <c r="AP795" s="535"/>
    </row>
    <row r="796">
      <c r="A796" s="552"/>
      <c r="B796" s="552"/>
      <c r="N796" s="535"/>
      <c r="O796" s="558"/>
      <c r="R796" s="535"/>
      <c r="S796" s="558"/>
      <c r="V796" s="535"/>
      <c r="W796" s="558"/>
      <c r="Z796" s="535"/>
      <c r="AA796" s="558"/>
      <c r="AD796" s="535"/>
      <c r="AE796" s="558"/>
      <c r="AH796" s="535"/>
      <c r="AI796" s="558"/>
      <c r="AL796" s="535"/>
      <c r="AP796" s="535"/>
    </row>
    <row r="797">
      <c r="A797" s="552"/>
      <c r="B797" s="552"/>
      <c r="N797" s="535"/>
      <c r="O797" s="558"/>
      <c r="R797" s="535"/>
      <c r="S797" s="558"/>
      <c r="V797" s="535"/>
      <c r="W797" s="558"/>
      <c r="Z797" s="535"/>
      <c r="AA797" s="558"/>
      <c r="AD797" s="535"/>
      <c r="AE797" s="558"/>
      <c r="AH797" s="535"/>
      <c r="AI797" s="558"/>
      <c r="AL797" s="535"/>
      <c r="AP797" s="535"/>
    </row>
    <row r="798">
      <c r="A798" s="552"/>
      <c r="B798" s="552"/>
      <c r="N798" s="535"/>
      <c r="O798" s="558"/>
      <c r="R798" s="535"/>
      <c r="S798" s="558"/>
      <c r="V798" s="535"/>
      <c r="W798" s="558"/>
      <c r="Z798" s="535"/>
      <c r="AA798" s="558"/>
      <c r="AD798" s="535"/>
      <c r="AE798" s="558"/>
      <c r="AH798" s="535"/>
      <c r="AI798" s="558"/>
      <c r="AL798" s="535"/>
      <c r="AP798" s="535"/>
    </row>
    <row r="799">
      <c r="A799" s="552"/>
      <c r="B799" s="552"/>
      <c r="N799" s="535"/>
      <c r="O799" s="558"/>
      <c r="R799" s="535"/>
      <c r="S799" s="558"/>
      <c r="V799" s="535"/>
      <c r="W799" s="558"/>
      <c r="Z799" s="535"/>
      <c r="AA799" s="558"/>
      <c r="AD799" s="535"/>
      <c r="AE799" s="558"/>
      <c r="AH799" s="535"/>
      <c r="AI799" s="558"/>
      <c r="AL799" s="535"/>
      <c r="AP799" s="535"/>
    </row>
    <row r="800">
      <c r="A800" s="552"/>
      <c r="B800" s="552"/>
      <c r="N800" s="535"/>
      <c r="O800" s="558"/>
      <c r="R800" s="535"/>
      <c r="S800" s="558"/>
      <c r="V800" s="535"/>
      <c r="W800" s="558"/>
      <c r="Z800" s="535"/>
      <c r="AA800" s="558"/>
      <c r="AD800" s="535"/>
      <c r="AE800" s="558"/>
      <c r="AH800" s="535"/>
      <c r="AI800" s="558"/>
      <c r="AL800" s="535"/>
      <c r="AP800" s="535"/>
    </row>
    <row r="801">
      <c r="A801" s="552"/>
      <c r="B801" s="552"/>
      <c r="N801" s="535"/>
      <c r="O801" s="558"/>
      <c r="R801" s="535"/>
      <c r="S801" s="558"/>
      <c r="V801" s="535"/>
      <c r="W801" s="558"/>
      <c r="Z801" s="535"/>
      <c r="AA801" s="558"/>
      <c r="AD801" s="535"/>
      <c r="AE801" s="558"/>
      <c r="AH801" s="535"/>
      <c r="AI801" s="558"/>
      <c r="AL801" s="535"/>
      <c r="AP801" s="535"/>
    </row>
    <row r="802">
      <c r="A802" s="552"/>
      <c r="B802" s="552"/>
      <c r="N802" s="535"/>
      <c r="O802" s="558"/>
      <c r="R802" s="535"/>
      <c r="S802" s="558"/>
      <c r="V802" s="535"/>
      <c r="W802" s="558"/>
      <c r="Z802" s="535"/>
      <c r="AA802" s="558"/>
      <c r="AD802" s="535"/>
      <c r="AE802" s="558"/>
      <c r="AH802" s="535"/>
      <c r="AI802" s="558"/>
      <c r="AL802" s="535"/>
      <c r="AP802" s="535"/>
    </row>
    <row r="803">
      <c r="A803" s="552"/>
      <c r="B803" s="552"/>
      <c r="N803" s="535"/>
      <c r="O803" s="558"/>
      <c r="R803" s="535"/>
      <c r="S803" s="558"/>
      <c r="V803" s="535"/>
      <c r="W803" s="558"/>
      <c r="Z803" s="535"/>
      <c r="AA803" s="558"/>
      <c r="AD803" s="535"/>
      <c r="AE803" s="558"/>
      <c r="AH803" s="535"/>
      <c r="AI803" s="558"/>
      <c r="AL803" s="535"/>
      <c r="AP803" s="535"/>
    </row>
    <row r="804">
      <c r="A804" s="552"/>
      <c r="B804" s="552"/>
      <c r="N804" s="535"/>
      <c r="O804" s="558"/>
      <c r="R804" s="535"/>
      <c r="S804" s="558"/>
      <c r="V804" s="535"/>
      <c r="W804" s="558"/>
      <c r="Z804" s="535"/>
      <c r="AA804" s="558"/>
      <c r="AD804" s="535"/>
      <c r="AE804" s="558"/>
      <c r="AH804" s="535"/>
      <c r="AI804" s="558"/>
      <c r="AL804" s="535"/>
      <c r="AP804" s="535"/>
    </row>
    <row r="805">
      <c r="A805" s="552"/>
      <c r="B805" s="552"/>
      <c r="N805" s="535"/>
      <c r="O805" s="558"/>
      <c r="R805" s="535"/>
      <c r="S805" s="558"/>
      <c r="V805" s="535"/>
      <c r="W805" s="558"/>
      <c r="Z805" s="535"/>
      <c r="AA805" s="558"/>
      <c r="AD805" s="535"/>
      <c r="AE805" s="558"/>
      <c r="AH805" s="535"/>
      <c r="AI805" s="558"/>
      <c r="AL805" s="535"/>
      <c r="AP805" s="535"/>
    </row>
    <row r="806">
      <c r="A806" s="552"/>
      <c r="B806" s="552"/>
      <c r="N806" s="535"/>
      <c r="O806" s="558"/>
      <c r="R806" s="535"/>
      <c r="S806" s="558"/>
      <c r="V806" s="535"/>
      <c r="W806" s="558"/>
      <c r="Z806" s="535"/>
      <c r="AA806" s="558"/>
      <c r="AD806" s="535"/>
      <c r="AE806" s="558"/>
      <c r="AH806" s="535"/>
      <c r="AI806" s="558"/>
      <c r="AL806" s="535"/>
      <c r="AP806" s="535"/>
    </row>
    <row r="807">
      <c r="A807" s="552"/>
      <c r="B807" s="552"/>
      <c r="N807" s="535"/>
      <c r="O807" s="558"/>
      <c r="R807" s="535"/>
      <c r="S807" s="558"/>
      <c r="V807" s="535"/>
      <c r="W807" s="558"/>
      <c r="Z807" s="535"/>
      <c r="AA807" s="558"/>
      <c r="AD807" s="535"/>
      <c r="AE807" s="558"/>
      <c r="AH807" s="535"/>
      <c r="AI807" s="558"/>
      <c r="AL807" s="535"/>
      <c r="AP807" s="535"/>
    </row>
    <row r="808">
      <c r="A808" s="552"/>
      <c r="B808" s="552"/>
      <c r="N808" s="535"/>
      <c r="O808" s="558"/>
      <c r="R808" s="535"/>
      <c r="S808" s="558"/>
      <c r="V808" s="535"/>
      <c r="W808" s="558"/>
      <c r="Z808" s="535"/>
      <c r="AA808" s="558"/>
      <c r="AD808" s="535"/>
      <c r="AE808" s="558"/>
      <c r="AH808" s="535"/>
      <c r="AI808" s="558"/>
      <c r="AL808" s="535"/>
      <c r="AP808" s="535"/>
    </row>
    <row r="809">
      <c r="A809" s="552"/>
      <c r="B809" s="552"/>
      <c r="N809" s="535"/>
      <c r="O809" s="558"/>
      <c r="R809" s="535"/>
      <c r="S809" s="558"/>
      <c r="V809" s="535"/>
      <c r="W809" s="558"/>
      <c r="Z809" s="535"/>
      <c r="AA809" s="558"/>
      <c r="AD809" s="535"/>
      <c r="AE809" s="558"/>
      <c r="AH809" s="535"/>
      <c r="AI809" s="558"/>
      <c r="AL809" s="535"/>
      <c r="AP809" s="535"/>
    </row>
    <row r="810">
      <c r="A810" s="552"/>
      <c r="B810" s="552"/>
      <c r="N810" s="535"/>
      <c r="O810" s="558"/>
      <c r="R810" s="535"/>
      <c r="S810" s="558"/>
      <c r="V810" s="535"/>
      <c r="W810" s="558"/>
      <c r="Z810" s="535"/>
      <c r="AA810" s="558"/>
      <c r="AD810" s="535"/>
      <c r="AE810" s="558"/>
      <c r="AH810" s="535"/>
      <c r="AI810" s="558"/>
      <c r="AL810" s="535"/>
      <c r="AP810" s="535"/>
    </row>
    <row r="811">
      <c r="A811" s="552"/>
      <c r="B811" s="552"/>
      <c r="N811" s="535"/>
      <c r="O811" s="558"/>
      <c r="R811" s="535"/>
      <c r="S811" s="558"/>
      <c r="V811" s="535"/>
      <c r="W811" s="558"/>
      <c r="Z811" s="535"/>
      <c r="AA811" s="558"/>
      <c r="AD811" s="535"/>
      <c r="AE811" s="558"/>
      <c r="AH811" s="535"/>
      <c r="AI811" s="558"/>
      <c r="AL811" s="535"/>
      <c r="AP811" s="535"/>
    </row>
    <row r="812">
      <c r="A812" s="552"/>
      <c r="B812" s="552"/>
      <c r="N812" s="535"/>
      <c r="O812" s="558"/>
      <c r="R812" s="535"/>
      <c r="S812" s="558"/>
      <c r="V812" s="535"/>
      <c r="W812" s="558"/>
      <c r="Z812" s="535"/>
      <c r="AA812" s="558"/>
      <c r="AD812" s="535"/>
      <c r="AE812" s="558"/>
      <c r="AH812" s="535"/>
      <c r="AI812" s="558"/>
      <c r="AL812" s="535"/>
      <c r="AP812" s="535"/>
    </row>
    <row r="813">
      <c r="A813" s="552"/>
      <c r="B813" s="552"/>
      <c r="N813" s="535"/>
      <c r="O813" s="558"/>
      <c r="R813" s="535"/>
      <c r="S813" s="558"/>
      <c r="V813" s="535"/>
      <c r="W813" s="558"/>
      <c r="Z813" s="535"/>
      <c r="AA813" s="558"/>
      <c r="AD813" s="535"/>
      <c r="AE813" s="558"/>
      <c r="AH813" s="535"/>
      <c r="AI813" s="558"/>
      <c r="AL813" s="535"/>
      <c r="AP813" s="535"/>
    </row>
    <row r="814">
      <c r="A814" s="552"/>
      <c r="B814" s="552"/>
      <c r="N814" s="535"/>
      <c r="O814" s="558"/>
      <c r="R814" s="535"/>
      <c r="S814" s="558"/>
      <c r="V814" s="535"/>
      <c r="W814" s="558"/>
      <c r="Z814" s="535"/>
      <c r="AA814" s="558"/>
      <c r="AD814" s="535"/>
      <c r="AE814" s="558"/>
      <c r="AH814" s="535"/>
      <c r="AI814" s="558"/>
      <c r="AL814" s="535"/>
      <c r="AP814" s="535"/>
    </row>
    <row r="815">
      <c r="A815" s="552"/>
      <c r="B815" s="552"/>
      <c r="N815" s="535"/>
      <c r="O815" s="558"/>
      <c r="R815" s="535"/>
      <c r="S815" s="558"/>
      <c r="V815" s="535"/>
      <c r="W815" s="558"/>
      <c r="Z815" s="535"/>
      <c r="AA815" s="558"/>
      <c r="AD815" s="535"/>
      <c r="AE815" s="558"/>
      <c r="AH815" s="535"/>
      <c r="AI815" s="558"/>
      <c r="AL815" s="535"/>
      <c r="AP815" s="535"/>
    </row>
    <row r="816">
      <c r="A816" s="552"/>
      <c r="B816" s="552"/>
      <c r="N816" s="535"/>
      <c r="O816" s="558"/>
      <c r="R816" s="535"/>
      <c r="S816" s="558"/>
      <c r="V816" s="535"/>
      <c r="W816" s="558"/>
      <c r="Z816" s="535"/>
      <c r="AA816" s="558"/>
      <c r="AD816" s="535"/>
      <c r="AE816" s="558"/>
      <c r="AH816" s="535"/>
      <c r="AI816" s="558"/>
      <c r="AL816" s="535"/>
      <c r="AP816" s="535"/>
    </row>
    <row r="817">
      <c r="A817" s="552"/>
      <c r="B817" s="552"/>
      <c r="N817" s="535"/>
      <c r="O817" s="558"/>
      <c r="R817" s="535"/>
      <c r="S817" s="558"/>
      <c r="V817" s="535"/>
      <c r="W817" s="558"/>
      <c r="Z817" s="535"/>
      <c r="AA817" s="558"/>
      <c r="AD817" s="535"/>
      <c r="AE817" s="558"/>
      <c r="AH817" s="535"/>
      <c r="AI817" s="558"/>
      <c r="AL817" s="535"/>
      <c r="AP817" s="535"/>
    </row>
    <row r="818">
      <c r="A818" s="552"/>
      <c r="B818" s="552"/>
      <c r="N818" s="535"/>
      <c r="O818" s="558"/>
      <c r="R818" s="535"/>
      <c r="S818" s="558"/>
      <c r="V818" s="535"/>
      <c r="W818" s="558"/>
      <c r="Z818" s="535"/>
      <c r="AA818" s="558"/>
      <c r="AD818" s="535"/>
      <c r="AE818" s="558"/>
      <c r="AH818" s="535"/>
      <c r="AI818" s="558"/>
      <c r="AL818" s="535"/>
      <c r="AP818" s="535"/>
    </row>
    <row r="819">
      <c r="A819" s="552"/>
      <c r="B819" s="552"/>
      <c r="N819" s="535"/>
      <c r="O819" s="558"/>
      <c r="R819" s="535"/>
      <c r="S819" s="558"/>
      <c r="V819" s="535"/>
      <c r="W819" s="558"/>
      <c r="Z819" s="535"/>
      <c r="AA819" s="558"/>
      <c r="AD819" s="535"/>
      <c r="AE819" s="558"/>
      <c r="AH819" s="535"/>
      <c r="AI819" s="558"/>
      <c r="AL819" s="535"/>
      <c r="AP819" s="535"/>
    </row>
    <row r="820">
      <c r="A820" s="552"/>
      <c r="B820" s="552"/>
      <c r="N820" s="535"/>
      <c r="O820" s="558"/>
      <c r="R820" s="535"/>
      <c r="S820" s="558"/>
      <c r="V820" s="535"/>
      <c r="W820" s="558"/>
      <c r="Z820" s="535"/>
      <c r="AA820" s="558"/>
      <c r="AD820" s="535"/>
      <c r="AE820" s="558"/>
      <c r="AH820" s="535"/>
      <c r="AI820" s="558"/>
      <c r="AL820" s="535"/>
      <c r="AP820" s="535"/>
    </row>
    <row r="821">
      <c r="A821" s="552"/>
      <c r="B821" s="552"/>
      <c r="N821" s="535"/>
      <c r="O821" s="558"/>
      <c r="R821" s="535"/>
      <c r="S821" s="558"/>
      <c r="V821" s="535"/>
      <c r="W821" s="558"/>
      <c r="Z821" s="535"/>
      <c r="AA821" s="558"/>
      <c r="AD821" s="535"/>
      <c r="AE821" s="558"/>
      <c r="AH821" s="535"/>
      <c r="AI821" s="558"/>
      <c r="AL821" s="535"/>
      <c r="AP821" s="535"/>
    </row>
    <row r="822">
      <c r="A822" s="552"/>
      <c r="B822" s="552"/>
      <c r="N822" s="535"/>
      <c r="O822" s="558"/>
      <c r="R822" s="535"/>
      <c r="S822" s="558"/>
      <c r="V822" s="535"/>
      <c r="W822" s="558"/>
      <c r="Z822" s="535"/>
      <c r="AA822" s="558"/>
      <c r="AD822" s="535"/>
      <c r="AE822" s="558"/>
      <c r="AH822" s="535"/>
      <c r="AI822" s="558"/>
      <c r="AL822" s="535"/>
      <c r="AP822" s="535"/>
    </row>
    <row r="823">
      <c r="A823" s="552"/>
      <c r="B823" s="552"/>
      <c r="N823" s="535"/>
      <c r="O823" s="558"/>
      <c r="R823" s="535"/>
      <c r="S823" s="558"/>
      <c r="V823" s="535"/>
      <c r="W823" s="558"/>
      <c r="Z823" s="535"/>
      <c r="AA823" s="558"/>
      <c r="AD823" s="535"/>
      <c r="AE823" s="558"/>
      <c r="AH823" s="535"/>
      <c r="AI823" s="558"/>
      <c r="AL823" s="535"/>
      <c r="AP823" s="535"/>
    </row>
    <row r="824">
      <c r="A824" s="552"/>
      <c r="B824" s="552"/>
      <c r="N824" s="535"/>
      <c r="O824" s="558"/>
      <c r="R824" s="535"/>
      <c r="S824" s="558"/>
      <c r="V824" s="535"/>
      <c r="W824" s="558"/>
      <c r="Z824" s="535"/>
      <c r="AA824" s="558"/>
      <c r="AD824" s="535"/>
      <c r="AE824" s="558"/>
      <c r="AH824" s="535"/>
      <c r="AI824" s="558"/>
      <c r="AL824" s="535"/>
      <c r="AP824" s="535"/>
    </row>
    <row r="825">
      <c r="A825" s="552"/>
      <c r="B825" s="552"/>
      <c r="N825" s="535"/>
      <c r="O825" s="558"/>
      <c r="R825" s="535"/>
      <c r="S825" s="558"/>
      <c r="V825" s="535"/>
      <c r="W825" s="558"/>
      <c r="Z825" s="535"/>
      <c r="AA825" s="558"/>
      <c r="AD825" s="535"/>
      <c r="AE825" s="558"/>
      <c r="AH825" s="535"/>
      <c r="AI825" s="558"/>
      <c r="AL825" s="535"/>
      <c r="AP825" s="535"/>
    </row>
    <row r="826">
      <c r="A826" s="552"/>
      <c r="B826" s="552"/>
      <c r="N826" s="535"/>
      <c r="O826" s="558"/>
      <c r="R826" s="535"/>
      <c r="S826" s="558"/>
      <c r="V826" s="535"/>
      <c r="W826" s="558"/>
      <c r="Z826" s="535"/>
      <c r="AA826" s="558"/>
      <c r="AD826" s="535"/>
      <c r="AE826" s="558"/>
      <c r="AH826" s="535"/>
      <c r="AI826" s="558"/>
      <c r="AL826" s="535"/>
      <c r="AP826" s="535"/>
    </row>
    <row r="827">
      <c r="A827" s="552"/>
      <c r="B827" s="552"/>
      <c r="N827" s="535"/>
      <c r="O827" s="558"/>
      <c r="R827" s="535"/>
      <c r="S827" s="558"/>
      <c r="V827" s="535"/>
      <c r="W827" s="558"/>
      <c r="Z827" s="535"/>
      <c r="AA827" s="558"/>
      <c r="AD827" s="535"/>
      <c r="AE827" s="558"/>
      <c r="AH827" s="535"/>
      <c r="AI827" s="558"/>
      <c r="AL827" s="535"/>
      <c r="AP827" s="535"/>
    </row>
    <row r="828">
      <c r="A828" s="552"/>
      <c r="B828" s="552"/>
      <c r="N828" s="535"/>
      <c r="O828" s="558"/>
      <c r="R828" s="535"/>
      <c r="S828" s="558"/>
      <c r="V828" s="535"/>
      <c r="W828" s="558"/>
      <c r="Z828" s="535"/>
      <c r="AA828" s="558"/>
      <c r="AD828" s="535"/>
      <c r="AE828" s="558"/>
      <c r="AH828" s="535"/>
      <c r="AI828" s="558"/>
      <c r="AL828" s="535"/>
      <c r="AP828" s="535"/>
    </row>
    <row r="829">
      <c r="A829" s="552"/>
      <c r="B829" s="552"/>
      <c r="N829" s="535"/>
      <c r="O829" s="558"/>
      <c r="R829" s="535"/>
      <c r="S829" s="558"/>
      <c r="V829" s="535"/>
      <c r="W829" s="558"/>
      <c r="Z829" s="535"/>
      <c r="AA829" s="558"/>
      <c r="AD829" s="535"/>
      <c r="AE829" s="558"/>
      <c r="AH829" s="535"/>
      <c r="AI829" s="558"/>
      <c r="AL829" s="535"/>
      <c r="AP829" s="535"/>
    </row>
    <row r="830">
      <c r="A830" s="552"/>
      <c r="B830" s="552"/>
      <c r="N830" s="535"/>
      <c r="O830" s="558"/>
      <c r="R830" s="535"/>
      <c r="S830" s="558"/>
      <c r="V830" s="535"/>
      <c r="W830" s="558"/>
      <c r="Z830" s="535"/>
      <c r="AA830" s="558"/>
      <c r="AD830" s="535"/>
      <c r="AE830" s="558"/>
      <c r="AH830" s="535"/>
      <c r="AI830" s="558"/>
      <c r="AL830" s="535"/>
      <c r="AP830" s="535"/>
    </row>
    <row r="831">
      <c r="A831" s="552"/>
      <c r="B831" s="552"/>
      <c r="N831" s="535"/>
      <c r="O831" s="558"/>
      <c r="R831" s="535"/>
      <c r="S831" s="558"/>
      <c r="V831" s="535"/>
      <c r="W831" s="558"/>
      <c r="Z831" s="535"/>
      <c r="AA831" s="558"/>
      <c r="AD831" s="535"/>
      <c r="AE831" s="558"/>
      <c r="AH831" s="535"/>
      <c r="AI831" s="558"/>
      <c r="AL831" s="535"/>
      <c r="AP831" s="535"/>
    </row>
    <row r="832">
      <c r="A832" s="552"/>
      <c r="B832" s="552"/>
      <c r="N832" s="535"/>
      <c r="O832" s="558"/>
      <c r="R832" s="535"/>
      <c r="S832" s="558"/>
      <c r="V832" s="535"/>
      <c r="W832" s="558"/>
      <c r="Z832" s="535"/>
      <c r="AA832" s="558"/>
      <c r="AD832" s="535"/>
      <c r="AE832" s="558"/>
      <c r="AH832" s="535"/>
      <c r="AI832" s="558"/>
      <c r="AL832" s="535"/>
      <c r="AP832" s="535"/>
    </row>
    <row r="833">
      <c r="A833" s="552"/>
      <c r="B833" s="552"/>
      <c r="N833" s="535"/>
      <c r="O833" s="558"/>
      <c r="R833" s="535"/>
      <c r="S833" s="558"/>
      <c r="V833" s="535"/>
      <c r="W833" s="558"/>
      <c r="Z833" s="535"/>
      <c r="AA833" s="558"/>
      <c r="AD833" s="535"/>
      <c r="AE833" s="558"/>
      <c r="AH833" s="535"/>
      <c r="AI833" s="558"/>
      <c r="AL833" s="535"/>
      <c r="AP833" s="535"/>
    </row>
    <row r="834">
      <c r="A834" s="552"/>
      <c r="B834" s="552"/>
      <c r="N834" s="535"/>
      <c r="O834" s="558"/>
      <c r="R834" s="535"/>
      <c r="S834" s="558"/>
      <c r="V834" s="535"/>
      <c r="W834" s="558"/>
      <c r="Z834" s="535"/>
      <c r="AA834" s="558"/>
      <c r="AD834" s="535"/>
      <c r="AE834" s="558"/>
      <c r="AH834" s="535"/>
      <c r="AI834" s="558"/>
      <c r="AL834" s="535"/>
      <c r="AP834" s="535"/>
    </row>
    <row r="835">
      <c r="A835" s="552"/>
      <c r="B835" s="552"/>
      <c r="N835" s="535"/>
      <c r="O835" s="558"/>
      <c r="R835" s="535"/>
      <c r="S835" s="558"/>
      <c r="V835" s="535"/>
      <c r="W835" s="558"/>
      <c r="Z835" s="535"/>
      <c r="AA835" s="558"/>
      <c r="AD835" s="535"/>
      <c r="AE835" s="558"/>
      <c r="AH835" s="535"/>
      <c r="AI835" s="558"/>
      <c r="AL835" s="535"/>
      <c r="AP835" s="535"/>
    </row>
    <row r="836">
      <c r="A836" s="552"/>
      <c r="B836" s="552"/>
      <c r="N836" s="535"/>
      <c r="O836" s="558"/>
      <c r="R836" s="535"/>
      <c r="S836" s="558"/>
      <c r="V836" s="535"/>
      <c r="W836" s="558"/>
      <c r="Z836" s="535"/>
      <c r="AA836" s="558"/>
      <c r="AD836" s="535"/>
      <c r="AE836" s="558"/>
      <c r="AH836" s="535"/>
      <c r="AI836" s="558"/>
      <c r="AL836" s="535"/>
      <c r="AP836" s="535"/>
    </row>
    <row r="837">
      <c r="A837" s="552"/>
      <c r="B837" s="552"/>
      <c r="N837" s="535"/>
      <c r="O837" s="558"/>
      <c r="R837" s="535"/>
      <c r="S837" s="558"/>
      <c r="V837" s="535"/>
      <c r="W837" s="558"/>
      <c r="Z837" s="535"/>
      <c r="AA837" s="558"/>
      <c r="AD837" s="535"/>
      <c r="AE837" s="558"/>
      <c r="AH837" s="535"/>
      <c r="AI837" s="558"/>
      <c r="AL837" s="535"/>
      <c r="AP837" s="535"/>
    </row>
    <row r="838">
      <c r="A838" s="552"/>
      <c r="B838" s="552"/>
      <c r="N838" s="535"/>
      <c r="O838" s="558"/>
      <c r="R838" s="535"/>
      <c r="S838" s="558"/>
      <c r="V838" s="535"/>
      <c r="W838" s="558"/>
      <c r="Z838" s="535"/>
      <c r="AA838" s="558"/>
      <c r="AD838" s="535"/>
      <c r="AE838" s="558"/>
      <c r="AH838" s="535"/>
      <c r="AI838" s="558"/>
      <c r="AL838" s="535"/>
      <c r="AP838" s="535"/>
    </row>
    <row r="839">
      <c r="A839" s="552"/>
      <c r="B839" s="552"/>
      <c r="N839" s="535"/>
      <c r="O839" s="558"/>
      <c r="R839" s="535"/>
      <c r="S839" s="558"/>
      <c r="V839" s="535"/>
      <c r="W839" s="558"/>
      <c r="Z839" s="535"/>
      <c r="AA839" s="558"/>
      <c r="AD839" s="535"/>
      <c r="AE839" s="558"/>
      <c r="AH839" s="535"/>
      <c r="AI839" s="558"/>
      <c r="AL839" s="535"/>
      <c r="AP839" s="535"/>
    </row>
    <row r="840">
      <c r="A840" s="552"/>
      <c r="B840" s="552"/>
      <c r="N840" s="535"/>
      <c r="O840" s="558"/>
      <c r="R840" s="535"/>
      <c r="S840" s="558"/>
      <c r="V840" s="535"/>
      <c r="W840" s="558"/>
      <c r="Z840" s="535"/>
      <c r="AA840" s="558"/>
      <c r="AD840" s="535"/>
      <c r="AE840" s="558"/>
      <c r="AH840" s="535"/>
      <c r="AI840" s="558"/>
      <c r="AL840" s="535"/>
      <c r="AP840" s="535"/>
    </row>
    <row r="841">
      <c r="A841" s="552"/>
      <c r="B841" s="552"/>
      <c r="N841" s="535"/>
      <c r="O841" s="558"/>
      <c r="R841" s="535"/>
      <c r="S841" s="558"/>
      <c r="V841" s="535"/>
      <c r="W841" s="558"/>
      <c r="Z841" s="535"/>
      <c r="AA841" s="558"/>
      <c r="AD841" s="535"/>
      <c r="AE841" s="558"/>
      <c r="AH841" s="535"/>
      <c r="AI841" s="558"/>
      <c r="AL841" s="535"/>
      <c r="AP841" s="535"/>
    </row>
    <row r="842">
      <c r="A842" s="552"/>
      <c r="B842" s="552"/>
      <c r="N842" s="535"/>
      <c r="O842" s="558"/>
      <c r="R842" s="535"/>
      <c r="S842" s="558"/>
      <c r="V842" s="535"/>
      <c r="W842" s="558"/>
      <c r="Z842" s="535"/>
      <c r="AA842" s="558"/>
      <c r="AD842" s="535"/>
      <c r="AE842" s="558"/>
      <c r="AH842" s="535"/>
      <c r="AI842" s="558"/>
      <c r="AL842" s="535"/>
      <c r="AP842" s="535"/>
    </row>
    <row r="843">
      <c r="A843" s="552"/>
      <c r="B843" s="552"/>
      <c r="N843" s="535"/>
      <c r="O843" s="558"/>
      <c r="R843" s="535"/>
      <c r="S843" s="558"/>
      <c r="V843" s="535"/>
      <c r="W843" s="558"/>
      <c r="Z843" s="535"/>
      <c r="AA843" s="558"/>
      <c r="AD843" s="535"/>
      <c r="AE843" s="558"/>
      <c r="AH843" s="535"/>
      <c r="AI843" s="558"/>
      <c r="AL843" s="535"/>
      <c r="AP843" s="535"/>
    </row>
    <row r="844">
      <c r="A844" s="552"/>
      <c r="B844" s="552"/>
      <c r="N844" s="535"/>
      <c r="O844" s="558"/>
      <c r="R844" s="535"/>
      <c r="S844" s="558"/>
      <c r="V844" s="535"/>
      <c r="W844" s="558"/>
      <c r="Z844" s="535"/>
      <c r="AA844" s="558"/>
      <c r="AD844" s="535"/>
      <c r="AE844" s="558"/>
      <c r="AH844" s="535"/>
      <c r="AI844" s="558"/>
      <c r="AL844" s="535"/>
      <c r="AP844" s="535"/>
    </row>
    <row r="845">
      <c r="A845" s="552"/>
      <c r="B845" s="552"/>
      <c r="N845" s="535"/>
      <c r="O845" s="558"/>
      <c r="R845" s="535"/>
      <c r="S845" s="558"/>
      <c r="V845" s="535"/>
      <c r="W845" s="558"/>
      <c r="Z845" s="535"/>
      <c r="AA845" s="558"/>
      <c r="AD845" s="535"/>
      <c r="AE845" s="558"/>
      <c r="AH845" s="535"/>
      <c r="AI845" s="558"/>
      <c r="AL845" s="535"/>
      <c r="AP845" s="535"/>
    </row>
    <row r="846">
      <c r="A846" s="552"/>
      <c r="B846" s="552"/>
      <c r="N846" s="535"/>
      <c r="O846" s="558"/>
      <c r="R846" s="535"/>
      <c r="S846" s="558"/>
      <c r="V846" s="535"/>
      <c r="W846" s="558"/>
      <c r="Z846" s="535"/>
      <c r="AA846" s="558"/>
      <c r="AD846" s="535"/>
      <c r="AE846" s="558"/>
      <c r="AH846" s="535"/>
      <c r="AI846" s="558"/>
      <c r="AL846" s="535"/>
      <c r="AP846" s="535"/>
    </row>
    <row r="847">
      <c r="A847" s="552"/>
      <c r="B847" s="552"/>
      <c r="N847" s="535"/>
      <c r="O847" s="558"/>
      <c r="R847" s="535"/>
      <c r="S847" s="558"/>
      <c r="V847" s="535"/>
      <c r="W847" s="558"/>
      <c r="Z847" s="535"/>
      <c r="AA847" s="558"/>
      <c r="AD847" s="535"/>
      <c r="AE847" s="558"/>
      <c r="AH847" s="535"/>
      <c r="AI847" s="558"/>
      <c r="AL847" s="535"/>
      <c r="AP847" s="535"/>
    </row>
    <row r="848">
      <c r="A848" s="552"/>
      <c r="B848" s="552"/>
      <c r="N848" s="535"/>
      <c r="O848" s="558"/>
      <c r="R848" s="535"/>
      <c r="S848" s="558"/>
      <c r="V848" s="535"/>
      <c r="W848" s="558"/>
      <c r="Z848" s="535"/>
      <c r="AA848" s="558"/>
      <c r="AD848" s="535"/>
      <c r="AE848" s="558"/>
      <c r="AH848" s="535"/>
      <c r="AI848" s="558"/>
      <c r="AL848" s="535"/>
      <c r="AP848" s="535"/>
    </row>
    <row r="849">
      <c r="A849" s="552"/>
      <c r="B849" s="552"/>
      <c r="N849" s="535"/>
      <c r="O849" s="558"/>
      <c r="R849" s="535"/>
      <c r="S849" s="558"/>
      <c r="V849" s="535"/>
      <c r="W849" s="558"/>
      <c r="Z849" s="535"/>
      <c r="AA849" s="558"/>
      <c r="AD849" s="535"/>
      <c r="AE849" s="558"/>
      <c r="AH849" s="535"/>
      <c r="AI849" s="558"/>
      <c r="AL849" s="535"/>
      <c r="AP849" s="535"/>
    </row>
    <row r="850">
      <c r="A850" s="552"/>
      <c r="B850" s="552"/>
      <c r="N850" s="535"/>
      <c r="O850" s="558"/>
      <c r="R850" s="535"/>
      <c r="S850" s="558"/>
      <c r="V850" s="535"/>
      <c r="W850" s="558"/>
      <c r="Z850" s="535"/>
      <c r="AA850" s="558"/>
      <c r="AD850" s="535"/>
      <c r="AE850" s="558"/>
      <c r="AH850" s="535"/>
      <c r="AI850" s="558"/>
      <c r="AL850" s="535"/>
      <c r="AP850" s="535"/>
    </row>
    <row r="851">
      <c r="A851" s="552"/>
      <c r="B851" s="552"/>
      <c r="N851" s="535"/>
      <c r="O851" s="558"/>
      <c r="R851" s="535"/>
      <c r="S851" s="558"/>
      <c r="V851" s="535"/>
      <c r="W851" s="558"/>
      <c r="Z851" s="535"/>
      <c r="AA851" s="558"/>
      <c r="AD851" s="535"/>
      <c r="AE851" s="558"/>
      <c r="AH851" s="535"/>
      <c r="AI851" s="558"/>
      <c r="AL851" s="535"/>
      <c r="AP851" s="535"/>
    </row>
    <row r="852">
      <c r="A852" s="552"/>
      <c r="B852" s="552"/>
      <c r="N852" s="535"/>
      <c r="O852" s="558"/>
      <c r="R852" s="535"/>
      <c r="S852" s="558"/>
      <c r="V852" s="535"/>
      <c r="W852" s="558"/>
      <c r="Z852" s="535"/>
      <c r="AA852" s="558"/>
      <c r="AD852" s="535"/>
      <c r="AE852" s="558"/>
      <c r="AH852" s="535"/>
      <c r="AI852" s="558"/>
      <c r="AL852" s="535"/>
      <c r="AP852" s="535"/>
    </row>
    <row r="853">
      <c r="A853" s="552"/>
      <c r="B853" s="552"/>
      <c r="N853" s="535"/>
      <c r="O853" s="558"/>
      <c r="R853" s="535"/>
      <c r="S853" s="558"/>
      <c r="V853" s="535"/>
      <c r="W853" s="558"/>
      <c r="Z853" s="535"/>
      <c r="AA853" s="558"/>
      <c r="AD853" s="535"/>
      <c r="AE853" s="558"/>
      <c r="AH853" s="535"/>
      <c r="AI853" s="558"/>
      <c r="AL853" s="535"/>
      <c r="AP853" s="535"/>
    </row>
    <row r="854">
      <c r="A854" s="552"/>
      <c r="B854" s="552"/>
      <c r="N854" s="535"/>
      <c r="O854" s="558"/>
      <c r="R854" s="535"/>
      <c r="S854" s="558"/>
      <c r="V854" s="535"/>
      <c r="W854" s="558"/>
      <c r="Z854" s="535"/>
      <c r="AA854" s="558"/>
      <c r="AD854" s="535"/>
      <c r="AE854" s="558"/>
      <c r="AH854" s="535"/>
      <c r="AI854" s="558"/>
      <c r="AL854" s="535"/>
      <c r="AP854" s="535"/>
    </row>
    <row r="855">
      <c r="A855" s="552"/>
      <c r="B855" s="552"/>
      <c r="N855" s="535"/>
      <c r="O855" s="558"/>
      <c r="R855" s="535"/>
      <c r="S855" s="558"/>
      <c r="V855" s="535"/>
      <c r="W855" s="558"/>
      <c r="Z855" s="535"/>
      <c r="AA855" s="558"/>
      <c r="AD855" s="535"/>
      <c r="AE855" s="558"/>
      <c r="AH855" s="535"/>
      <c r="AI855" s="558"/>
      <c r="AL855" s="535"/>
      <c r="AP855" s="535"/>
    </row>
    <row r="856">
      <c r="A856" s="552"/>
      <c r="B856" s="552"/>
      <c r="N856" s="535"/>
      <c r="O856" s="558"/>
      <c r="R856" s="535"/>
      <c r="S856" s="558"/>
      <c r="V856" s="535"/>
      <c r="W856" s="558"/>
      <c r="Z856" s="535"/>
      <c r="AA856" s="558"/>
      <c r="AD856" s="535"/>
      <c r="AE856" s="558"/>
      <c r="AH856" s="535"/>
      <c r="AI856" s="558"/>
      <c r="AL856" s="535"/>
      <c r="AP856" s="535"/>
    </row>
    <row r="857">
      <c r="A857" s="552"/>
      <c r="B857" s="552"/>
      <c r="N857" s="535"/>
      <c r="O857" s="558"/>
      <c r="R857" s="535"/>
      <c r="S857" s="558"/>
      <c r="V857" s="535"/>
      <c r="W857" s="558"/>
      <c r="Z857" s="535"/>
      <c r="AA857" s="558"/>
      <c r="AD857" s="535"/>
      <c r="AE857" s="558"/>
      <c r="AH857" s="535"/>
      <c r="AI857" s="558"/>
      <c r="AL857" s="535"/>
      <c r="AP857" s="535"/>
    </row>
    <row r="858">
      <c r="A858" s="552"/>
      <c r="B858" s="552"/>
      <c r="N858" s="535"/>
      <c r="O858" s="558"/>
      <c r="R858" s="535"/>
      <c r="S858" s="558"/>
      <c r="V858" s="535"/>
      <c r="W858" s="558"/>
      <c r="Z858" s="535"/>
      <c r="AA858" s="558"/>
      <c r="AD858" s="535"/>
      <c r="AE858" s="558"/>
      <c r="AH858" s="535"/>
      <c r="AI858" s="558"/>
      <c r="AL858" s="535"/>
      <c r="AP858" s="535"/>
    </row>
    <row r="859">
      <c r="A859" s="552"/>
      <c r="B859" s="552"/>
      <c r="N859" s="535"/>
      <c r="O859" s="558"/>
      <c r="R859" s="535"/>
      <c r="S859" s="558"/>
      <c r="V859" s="535"/>
      <c r="W859" s="558"/>
      <c r="Z859" s="535"/>
      <c r="AA859" s="558"/>
      <c r="AD859" s="535"/>
      <c r="AE859" s="558"/>
      <c r="AH859" s="535"/>
      <c r="AI859" s="558"/>
      <c r="AL859" s="535"/>
      <c r="AP859" s="535"/>
    </row>
    <row r="860">
      <c r="A860" s="552"/>
      <c r="B860" s="552"/>
      <c r="N860" s="535"/>
      <c r="O860" s="558"/>
      <c r="R860" s="535"/>
      <c r="S860" s="558"/>
      <c r="V860" s="535"/>
      <c r="W860" s="558"/>
      <c r="Z860" s="535"/>
      <c r="AA860" s="558"/>
      <c r="AD860" s="535"/>
      <c r="AE860" s="558"/>
      <c r="AH860" s="535"/>
      <c r="AI860" s="558"/>
      <c r="AL860" s="535"/>
      <c r="AP860" s="535"/>
    </row>
    <row r="861">
      <c r="A861" s="552"/>
      <c r="B861" s="552"/>
      <c r="N861" s="535"/>
      <c r="O861" s="558"/>
      <c r="R861" s="535"/>
      <c r="S861" s="558"/>
      <c r="V861" s="535"/>
      <c r="W861" s="558"/>
      <c r="Z861" s="535"/>
      <c r="AA861" s="558"/>
      <c r="AD861" s="535"/>
      <c r="AE861" s="558"/>
      <c r="AH861" s="535"/>
      <c r="AI861" s="558"/>
      <c r="AL861" s="535"/>
      <c r="AP861" s="535"/>
    </row>
    <row r="862">
      <c r="A862" s="552"/>
      <c r="B862" s="552"/>
      <c r="N862" s="535"/>
      <c r="O862" s="558"/>
      <c r="R862" s="535"/>
      <c r="S862" s="558"/>
      <c r="V862" s="535"/>
      <c r="W862" s="558"/>
      <c r="Z862" s="535"/>
      <c r="AA862" s="558"/>
      <c r="AD862" s="535"/>
      <c r="AE862" s="558"/>
      <c r="AH862" s="535"/>
      <c r="AI862" s="558"/>
      <c r="AL862" s="535"/>
      <c r="AP862" s="535"/>
    </row>
    <row r="863">
      <c r="A863" s="552"/>
      <c r="B863" s="552"/>
      <c r="N863" s="535"/>
      <c r="O863" s="558"/>
      <c r="R863" s="535"/>
      <c r="S863" s="558"/>
      <c r="V863" s="535"/>
      <c r="W863" s="558"/>
      <c r="Z863" s="535"/>
      <c r="AA863" s="558"/>
      <c r="AD863" s="535"/>
      <c r="AE863" s="558"/>
      <c r="AH863" s="535"/>
      <c r="AI863" s="558"/>
      <c r="AL863" s="535"/>
      <c r="AP863" s="535"/>
    </row>
    <row r="864">
      <c r="A864" s="552"/>
      <c r="B864" s="552"/>
      <c r="N864" s="535"/>
      <c r="O864" s="558"/>
      <c r="R864" s="535"/>
      <c r="S864" s="558"/>
      <c r="V864" s="535"/>
      <c r="W864" s="558"/>
      <c r="Z864" s="535"/>
      <c r="AA864" s="558"/>
      <c r="AD864" s="535"/>
      <c r="AE864" s="558"/>
      <c r="AH864" s="535"/>
      <c r="AI864" s="558"/>
      <c r="AL864" s="535"/>
      <c r="AP864" s="535"/>
    </row>
    <row r="865">
      <c r="A865" s="552"/>
      <c r="B865" s="552"/>
      <c r="N865" s="535"/>
      <c r="O865" s="558"/>
      <c r="R865" s="535"/>
      <c r="S865" s="558"/>
      <c r="V865" s="535"/>
      <c r="W865" s="558"/>
      <c r="Z865" s="535"/>
      <c r="AA865" s="558"/>
      <c r="AD865" s="535"/>
      <c r="AE865" s="558"/>
      <c r="AH865" s="535"/>
      <c r="AI865" s="558"/>
      <c r="AL865" s="535"/>
      <c r="AP865" s="535"/>
    </row>
    <row r="866">
      <c r="A866" s="552"/>
      <c r="B866" s="552"/>
      <c r="N866" s="535"/>
      <c r="O866" s="558"/>
      <c r="R866" s="535"/>
      <c r="S866" s="558"/>
      <c r="V866" s="535"/>
      <c r="W866" s="558"/>
      <c r="Z866" s="535"/>
      <c r="AA866" s="558"/>
      <c r="AD866" s="535"/>
      <c r="AE866" s="558"/>
      <c r="AH866" s="535"/>
      <c r="AI866" s="558"/>
      <c r="AL866" s="535"/>
      <c r="AP866" s="535"/>
    </row>
    <row r="867">
      <c r="A867" s="552"/>
      <c r="B867" s="552"/>
      <c r="N867" s="535"/>
      <c r="O867" s="558"/>
      <c r="R867" s="535"/>
      <c r="S867" s="558"/>
      <c r="V867" s="535"/>
      <c r="W867" s="558"/>
      <c r="Z867" s="535"/>
      <c r="AA867" s="558"/>
      <c r="AD867" s="535"/>
      <c r="AE867" s="558"/>
      <c r="AH867" s="535"/>
      <c r="AI867" s="558"/>
      <c r="AL867" s="535"/>
      <c r="AP867" s="535"/>
    </row>
    <row r="868">
      <c r="A868" s="552"/>
      <c r="B868" s="552"/>
      <c r="N868" s="535"/>
      <c r="O868" s="558"/>
      <c r="R868" s="535"/>
      <c r="S868" s="558"/>
      <c r="V868" s="535"/>
      <c r="W868" s="558"/>
      <c r="Z868" s="535"/>
      <c r="AA868" s="558"/>
      <c r="AD868" s="535"/>
      <c r="AE868" s="558"/>
      <c r="AH868" s="535"/>
      <c r="AI868" s="558"/>
      <c r="AL868" s="535"/>
      <c r="AP868" s="535"/>
    </row>
    <row r="869">
      <c r="A869" s="552"/>
      <c r="B869" s="552"/>
      <c r="N869" s="535"/>
      <c r="O869" s="558"/>
      <c r="R869" s="535"/>
      <c r="S869" s="558"/>
      <c r="V869" s="535"/>
      <c r="W869" s="558"/>
      <c r="Z869" s="535"/>
      <c r="AA869" s="558"/>
      <c r="AD869" s="535"/>
      <c r="AE869" s="558"/>
      <c r="AH869" s="535"/>
      <c r="AI869" s="558"/>
      <c r="AL869" s="535"/>
      <c r="AP869" s="535"/>
    </row>
    <row r="870">
      <c r="A870" s="552"/>
      <c r="B870" s="552"/>
      <c r="N870" s="535"/>
      <c r="O870" s="558"/>
      <c r="R870" s="535"/>
      <c r="S870" s="558"/>
      <c r="V870" s="535"/>
      <c r="W870" s="558"/>
      <c r="Z870" s="535"/>
      <c r="AA870" s="558"/>
      <c r="AD870" s="535"/>
      <c r="AE870" s="558"/>
      <c r="AH870" s="535"/>
      <c r="AI870" s="558"/>
      <c r="AL870" s="535"/>
      <c r="AP870" s="535"/>
    </row>
    <row r="871">
      <c r="A871" s="552"/>
      <c r="B871" s="552"/>
      <c r="N871" s="535"/>
      <c r="O871" s="558"/>
      <c r="R871" s="535"/>
      <c r="S871" s="558"/>
      <c r="V871" s="535"/>
      <c r="W871" s="558"/>
      <c r="Z871" s="535"/>
      <c r="AA871" s="558"/>
      <c r="AD871" s="535"/>
      <c r="AE871" s="558"/>
      <c r="AH871" s="535"/>
      <c r="AI871" s="558"/>
      <c r="AL871" s="535"/>
      <c r="AP871" s="535"/>
    </row>
    <row r="872">
      <c r="A872" s="552"/>
      <c r="B872" s="552"/>
      <c r="N872" s="535"/>
      <c r="O872" s="558"/>
      <c r="R872" s="535"/>
      <c r="S872" s="558"/>
      <c r="V872" s="535"/>
      <c r="W872" s="558"/>
      <c r="Z872" s="535"/>
      <c r="AA872" s="558"/>
      <c r="AD872" s="535"/>
      <c r="AE872" s="558"/>
      <c r="AH872" s="535"/>
      <c r="AI872" s="558"/>
      <c r="AL872" s="535"/>
      <c r="AP872" s="535"/>
    </row>
    <row r="873">
      <c r="A873" s="552"/>
      <c r="B873" s="552"/>
      <c r="N873" s="535"/>
      <c r="O873" s="558"/>
      <c r="R873" s="535"/>
      <c r="S873" s="558"/>
      <c r="V873" s="535"/>
      <c r="W873" s="558"/>
      <c r="Z873" s="535"/>
      <c r="AA873" s="558"/>
      <c r="AD873" s="535"/>
      <c r="AE873" s="558"/>
      <c r="AH873" s="535"/>
      <c r="AI873" s="558"/>
      <c r="AL873" s="535"/>
      <c r="AP873" s="535"/>
    </row>
    <row r="874">
      <c r="A874" s="552"/>
      <c r="B874" s="552"/>
      <c r="N874" s="535"/>
      <c r="O874" s="558"/>
      <c r="R874" s="535"/>
      <c r="S874" s="558"/>
      <c r="V874" s="535"/>
      <c r="W874" s="558"/>
      <c r="Z874" s="535"/>
      <c r="AA874" s="558"/>
      <c r="AD874" s="535"/>
      <c r="AE874" s="558"/>
      <c r="AH874" s="535"/>
      <c r="AI874" s="558"/>
      <c r="AL874" s="535"/>
      <c r="AP874" s="535"/>
    </row>
    <row r="875">
      <c r="A875" s="552"/>
      <c r="B875" s="552"/>
      <c r="N875" s="535"/>
      <c r="O875" s="558"/>
      <c r="R875" s="535"/>
      <c r="S875" s="558"/>
      <c r="V875" s="535"/>
      <c r="W875" s="558"/>
      <c r="Z875" s="535"/>
      <c r="AA875" s="558"/>
      <c r="AD875" s="535"/>
      <c r="AE875" s="558"/>
      <c r="AH875" s="535"/>
      <c r="AI875" s="558"/>
      <c r="AL875" s="535"/>
      <c r="AP875" s="535"/>
    </row>
    <row r="876">
      <c r="A876" s="552"/>
      <c r="B876" s="552"/>
      <c r="N876" s="535"/>
      <c r="O876" s="558"/>
      <c r="R876" s="535"/>
      <c r="S876" s="558"/>
      <c r="V876" s="535"/>
      <c r="W876" s="558"/>
      <c r="Z876" s="535"/>
      <c r="AA876" s="558"/>
      <c r="AD876" s="535"/>
      <c r="AE876" s="558"/>
      <c r="AH876" s="535"/>
      <c r="AI876" s="558"/>
      <c r="AL876" s="535"/>
      <c r="AP876" s="535"/>
    </row>
    <row r="877">
      <c r="A877" s="552"/>
      <c r="B877" s="552"/>
      <c r="N877" s="535"/>
      <c r="O877" s="558"/>
      <c r="R877" s="535"/>
      <c r="S877" s="558"/>
      <c r="V877" s="535"/>
      <c r="W877" s="558"/>
      <c r="Z877" s="535"/>
      <c r="AA877" s="558"/>
      <c r="AD877" s="535"/>
      <c r="AE877" s="558"/>
      <c r="AH877" s="535"/>
      <c r="AI877" s="558"/>
      <c r="AL877" s="535"/>
      <c r="AP877" s="535"/>
    </row>
    <row r="878">
      <c r="A878" s="552"/>
      <c r="B878" s="552"/>
      <c r="N878" s="535"/>
      <c r="O878" s="558"/>
      <c r="R878" s="535"/>
      <c r="S878" s="558"/>
      <c r="V878" s="535"/>
      <c r="W878" s="558"/>
      <c r="Z878" s="535"/>
      <c r="AA878" s="558"/>
      <c r="AD878" s="535"/>
      <c r="AE878" s="558"/>
      <c r="AH878" s="535"/>
      <c r="AI878" s="558"/>
      <c r="AL878" s="535"/>
      <c r="AP878" s="535"/>
    </row>
    <row r="879">
      <c r="A879" s="552"/>
      <c r="B879" s="552"/>
      <c r="N879" s="535"/>
      <c r="O879" s="558"/>
      <c r="R879" s="535"/>
      <c r="S879" s="558"/>
      <c r="V879" s="535"/>
      <c r="W879" s="558"/>
      <c r="Z879" s="535"/>
      <c r="AA879" s="558"/>
      <c r="AD879" s="535"/>
      <c r="AE879" s="558"/>
      <c r="AH879" s="535"/>
      <c r="AI879" s="558"/>
      <c r="AL879" s="535"/>
      <c r="AP879" s="535"/>
    </row>
    <row r="880">
      <c r="A880" s="552"/>
      <c r="B880" s="552"/>
      <c r="N880" s="535"/>
      <c r="O880" s="558"/>
      <c r="R880" s="535"/>
      <c r="S880" s="558"/>
      <c r="V880" s="535"/>
      <c r="W880" s="558"/>
      <c r="Z880" s="535"/>
      <c r="AA880" s="558"/>
      <c r="AD880" s="535"/>
      <c r="AE880" s="558"/>
      <c r="AH880" s="535"/>
      <c r="AI880" s="558"/>
      <c r="AL880" s="535"/>
      <c r="AP880" s="535"/>
    </row>
    <row r="881">
      <c r="A881" s="552"/>
      <c r="B881" s="552"/>
      <c r="N881" s="535"/>
      <c r="O881" s="558"/>
      <c r="R881" s="535"/>
      <c r="S881" s="558"/>
      <c r="V881" s="535"/>
      <c r="W881" s="558"/>
      <c r="Z881" s="535"/>
      <c r="AA881" s="558"/>
      <c r="AD881" s="535"/>
      <c r="AE881" s="558"/>
      <c r="AH881" s="535"/>
      <c r="AI881" s="558"/>
      <c r="AL881" s="535"/>
      <c r="AP881" s="535"/>
    </row>
    <row r="882">
      <c r="A882" s="552"/>
      <c r="B882" s="552"/>
      <c r="N882" s="535"/>
      <c r="O882" s="558"/>
      <c r="R882" s="535"/>
      <c r="S882" s="558"/>
      <c r="V882" s="535"/>
      <c r="W882" s="558"/>
      <c r="Z882" s="535"/>
      <c r="AA882" s="558"/>
      <c r="AD882" s="535"/>
      <c r="AE882" s="558"/>
      <c r="AH882" s="535"/>
      <c r="AI882" s="558"/>
      <c r="AL882" s="535"/>
      <c r="AP882" s="535"/>
    </row>
    <row r="883">
      <c r="A883" s="552"/>
      <c r="B883" s="552"/>
      <c r="N883" s="535"/>
      <c r="O883" s="558"/>
      <c r="R883" s="535"/>
      <c r="S883" s="558"/>
      <c r="V883" s="535"/>
      <c r="W883" s="558"/>
      <c r="Z883" s="535"/>
      <c r="AA883" s="558"/>
      <c r="AD883" s="535"/>
      <c r="AE883" s="558"/>
      <c r="AH883" s="535"/>
      <c r="AI883" s="558"/>
      <c r="AL883" s="535"/>
      <c r="AP883" s="535"/>
    </row>
    <row r="884">
      <c r="A884" s="552"/>
      <c r="B884" s="552"/>
      <c r="N884" s="535"/>
      <c r="O884" s="558"/>
      <c r="R884" s="535"/>
      <c r="S884" s="558"/>
      <c r="V884" s="535"/>
      <c r="W884" s="558"/>
      <c r="Z884" s="535"/>
      <c r="AA884" s="558"/>
      <c r="AD884" s="535"/>
      <c r="AE884" s="558"/>
      <c r="AH884" s="535"/>
      <c r="AI884" s="558"/>
      <c r="AL884" s="535"/>
      <c r="AP884" s="535"/>
    </row>
    <row r="885">
      <c r="A885" s="552"/>
      <c r="B885" s="552"/>
      <c r="N885" s="535"/>
      <c r="O885" s="558"/>
      <c r="R885" s="535"/>
      <c r="S885" s="558"/>
      <c r="V885" s="535"/>
      <c r="W885" s="558"/>
      <c r="Z885" s="535"/>
      <c r="AA885" s="558"/>
      <c r="AD885" s="535"/>
      <c r="AE885" s="558"/>
      <c r="AH885" s="535"/>
      <c r="AI885" s="558"/>
      <c r="AL885" s="535"/>
      <c r="AP885" s="535"/>
    </row>
    <row r="886">
      <c r="A886" s="552"/>
      <c r="B886" s="552"/>
      <c r="N886" s="535"/>
      <c r="O886" s="558"/>
      <c r="R886" s="535"/>
      <c r="S886" s="558"/>
      <c r="V886" s="535"/>
      <c r="W886" s="558"/>
      <c r="Z886" s="535"/>
      <c r="AA886" s="558"/>
      <c r="AD886" s="535"/>
      <c r="AE886" s="558"/>
      <c r="AH886" s="535"/>
      <c r="AI886" s="558"/>
      <c r="AL886" s="535"/>
      <c r="AP886" s="535"/>
    </row>
    <row r="887">
      <c r="A887" s="552"/>
      <c r="B887" s="552"/>
      <c r="N887" s="535"/>
      <c r="O887" s="558"/>
      <c r="R887" s="535"/>
      <c r="S887" s="558"/>
      <c r="V887" s="535"/>
      <c r="W887" s="558"/>
      <c r="Z887" s="535"/>
      <c r="AA887" s="558"/>
      <c r="AD887" s="535"/>
      <c r="AE887" s="558"/>
      <c r="AH887" s="535"/>
      <c r="AI887" s="558"/>
      <c r="AL887" s="535"/>
      <c r="AP887" s="535"/>
    </row>
    <row r="888">
      <c r="A888" s="552"/>
      <c r="B888" s="552"/>
      <c r="N888" s="535"/>
      <c r="O888" s="558"/>
      <c r="R888" s="535"/>
      <c r="S888" s="558"/>
      <c r="V888" s="535"/>
      <c r="W888" s="558"/>
      <c r="Z888" s="535"/>
      <c r="AA888" s="558"/>
      <c r="AD888" s="535"/>
      <c r="AE888" s="558"/>
      <c r="AH888" s="535"/>
      <c r="AI888" s="558"/>
      <c r="AL888" s="535"/>
      <c r="AP888" s="535"/>
    </row>
    <row r="889">
      <c r="A889" s="552"/>
      <c r="B889" s="552"/>
      <c r="N889" s="535"/>
      <c r="O889" s="558"/>
      <c r="R889" s="535"/>
      <c r="S889" s="558"/>
      <c r="V889" s="535"/>
      <c r="W889" s="558"/>
      <c r="Z889" s="535"/>
      <c r="AA889" s="558"/>
      <c r="AD889" s="535"/>
      <c r="AE889" s="558"/>
      <c r="AH889" s="535"/>
      <c r="AI889" s="558"/>
      <c r="AL889" s="535"/>
      <c r="AP889" s="535"/>
    </row>
    <row r="890">
      <c r="A890" s="552"/>
      <c r="B890" s="552"/>
      <c r="N890" s="535"/>
      <c r="O890" s="558"/>
      <c r="R890" s="535"/>
      <c r="S890" s="558"/>
      <c r="V890" s="535"/>
      <c r="W890" s="558"/>
      <c r="Z890" s="535"/>
      <c r="AA890" s="558"/>
      <c r="AD890" s="535"/>
      <c r="AE890" s="558"/>
      <c r="AH890" s="535"/>
      <c r="AI890" s="558"/>
      <c r="AL890" s="535"/>
      <c r="AP890" s="535"/>
    </row>
    <row r="891">
      <c r="A891" s="552"/>
      <c r="B891" s="552"/>
      <c r="N891" s="535"/>
      <c r="O891" s="558"/>
      <c r="R891" s="535"/>
      <c r="S891" s="558"/>
      <c r="V891" s="535"/>
      <c r="W891" s="558"/>
      <c r="Z891" s="535"/>
      <c r="AA891" s="558"/>
      <c r="AD891" s="535"/>
      <c r="AE891" s="558"/>
      <c r="AH891" s="535"/>
      <c r="AI891" s="558"/>
      <c r="AL891" s="535"/>
      <c r="AP891" s="535"/>
    </row>
    <row r="892">
      <c r="A892" s="552"/>
      <c r="B892" s="552"/>
      <c r="N892" s="535"/>
      <c r="O892" s="558"/>
      <c r="R892" s="535"/>
      <c r="S892" s="558"/>
      <c r="V892" s="535"/>
      <c r="W892" s="558"/>
      <c r="Z892" s="535"/>
      <c r="AA892" s="558"/>
      <c r="AD892" s="535"/>
      <c r="AE892" s="558"/>
      <c r="AH892" s="535"/>
      <c r="AI892" s="558"/>
      <c r="AL892" s="535"/>
      <c r="AP892" s="535"/>
    </row>
    <row r="893">
      <c r="A893" s="552"/>
      <c r="B893" s="552"/>
      <c r="N893" s="535"/>
      <c r="O893" s="558"/>
      <c r="R893" s="535"/>
      <c r="S893" s="558"/>
      <c r="V893" s="535"/>
      <c r="W893" s="558"/>
      <c r="Z893" s="535"/>
      <c r="AA893" s="558"/>
      <c r="AD893" s="535"/>
      <c r="AE893" s="558"/>
      <c r="AH893" s="535"/>
      <c r="AI893" s="558"/>
      <c r="AL893" s="535"/>
      <c r="AP893" s="535"/>
    </row>
    <row r="894">
      <c r="A894" s="552"/>
      <c r="B894" s="552"/>
      <c r="N894" s="535"/>
      <c r="O894" s="558"/>
      <c r="R894" s="535"/>
      <c r="S894" s="558"/>
      <c r="V894" s="535"/>
      <c r="W894" s="558"/>
      <c r="Z894" s="535"/>
      <c r="AA894" s="558"/>
      <c r="AD894" s="535"/>
      <c r="AE894" s="558"/>
      <c r="AH894" s="535"/>
      <c r="AI894" s="558"/>
      <c r="AL894" s="535"/>
      <c r="AP894" s="535"/>
    </row>
    <row r="895">
      <c r="A895" s="552"/>
      <c r="B895" s="552"/>
      <c r="N895" s="535"/>
      <c r="O895" s="558"/>
      <c r="R895" s="535"/>
      <c r="S895" s="558"/>
      <c r="V895" s="535"/>
      <c r="W895" s="558"/>
      <c r="Z895" s="535"/>
      <c r="AA895" s="558"/>
      <c r="AD895" s="535"/>
      <c r="AE895" s="558"/>
      <c r="AH895" s="535"/>
      <c r="AI895" s="558"/>
      <c r="AL895" s="535"/>
      <c r="AP895" s="535"/>
    </row>
    <row r="896">
      <c r="A896" s="552"/>
      <c r="B896" s="552"/>
      <c r="N896" s="535"/>
      <c r="O896" s="558"/>
      <c r="R896" s="535"/>
      <c r="S896" s="558"/>
      <c r="V896" s="535"/>
      <c r="W896" s="558"/>
      <c r="Z896" s="535"/>
      <c r="AA896" s="558"/>
      <c r="AD896" s="535"/>
      <c r="AE896" s="558"/>
      <c r="AH896" s="535"/>
      <c r="AI896" s="558"/>
      <c r="AL896" s="535"/>
      <c r="AP896" s="535"/>
    </row>
    <row r="897">
      <c r="A897" s="552"/>
      <c r="B897" s="552"/>
      <c r="N897" s="535"/>
      <c r="O897" s="558"/>
      <c r="R897" s="535"/>
      <c r="S897" s="558"/>
      <c r="V897" s="535"/>
      <c r="W897" s="558"/>
      <c r="Z897" s="535"/>
      <c r="AA897" s="558"/>
      <c r="AD897" s="535"/>
      <c r="AE897" s="558"/>
      <c r="AH897" s="535"/>
      <c r="AI897" s="558"/>
      <c r="AL897" s="535"/>
      <c r="AP897" s="535"/>
    </row>
    <row r="898">
      <c r="A898" s="552"/>
      <c r="B898" s="552"/>
      <c r="N898" s="535"/>
      <c r="O898" s="558"/>
      <c r="R898" s="535"/>
      <c r="S898" s="558"/>
      <c r="V898" s="535"/>
      <c r="W898" s="558"/>
      <c r="Z898" s="535"/>
      <c r="AA898" s="558"/>
      <c r="AD898" s="535"/>
      <c r="AE898" s="558"/>
      <c r="AH898" s="535"/>
      <c r="AI898" s="558"/>
      <c r="AL898" s="535"/>
      <c r="AP898" s="535"/>
    </row>
    <row r="899">
      <c r="A899" s="552"/>
      <c r="B899" s="552"/>
      <c r="N899" s="535"/>
      <c r="O899" s="558"/>
      <c r="R899" s="535"/>
      <c r="S899" s="558"/>
      <c r="V899" s="535"/>
      <c r="W899" s="558"/>
      <c r="Z899" s="535"/>
      <c r="AA899" s="558"/>
      <c r="AD899" s="535"/>
      <c r="AE899" s="558"/>
      <c r="AH899" s="535"/>
      <c r="AI899" s="558"/>
      <c r="AL899" s="535"/>
      <c r="AP899" s="535"/>
    </row>
    <row r="900">
      <c r="A900" s="552"/>
      <c r="B900" s="552"/>
      <c r="N900" s="535"/>
      <c r="O900" s="558"/>
      <c r="R900" s="535"/>
      <c r="S900" s="558"/>
      <c r="V900" s="535"/>
      <c r="W900" s="558"/>
      <c r="Z900" s="535"/>
      <c r="AA900" s="558"/>
      <c r="AD900" s="535"/>
      <c r="AE900" s="558"/>
      <c r="AH900" s="535"/>
      <c r="AI900" s="558"/>
      <c r="AL900" s="535"/>
      <c r="AP900" s="535"/>
    </row>
    <row r="901">
      <c r="A901" s="552"/>
      <c r="B901" s="552"/>
      <c r="N901" s="535"/>
      <c r="O901" s="558"/>
      <c r="R901" s="535"/>
      <c r="S901" s="558"/>
      <c r="V901" s="535"/>
      <c r="W901" s="558"/>
      <c r="Z901" s="535"/>
      <c r="AA901" s="558"/>
      <c r="AD901" s="535"/>
      <c r="AE901" s="558"/>
      <c r="AH901" s="535"/>
      <c r="AI901" s="558"/>
      <c r="AL901" s="535"/>
      <c r="AP901" s="535"/>
    </row>
    <row r="902">
      <c r="A902" s="552"/>
      <c r="B902" s="552"/>
      <c r="N902" s="535"/>
      <c r="O902" s="558"/>
      <c r="R902" s="535"/>
      <c r="S902" s="558"/>
      <c r="V902" s="535"/>
      <c r="W902" s="558"/>
      <c r="Z902" s="535"/>
      <c r="AA902" s="558"/>
      <c r="AD902" s="535"/>
      <c r="AE902" s="558"/>
      <c r="AH902" s="535"/>
      <c r="AI902" s="558"/>
      <c r="AL902" s="535"/>
      <c r="AP902" s="535"/>
    </row>
    <row r="903">
      <c r="A903" s="552"/>
      <c r="B903" s="552"/>
      <c r="N903" s="535"/>
      <c r="O903" s="558"/>
      <c r="R903" s="535"/>
      <c r="S903" s="558"/>
      <c r="V903" s="535"/>
      <c r="W903" s="558"/>
      <c r="Z903" s="535"/>
      <c r="AA903" s="558"/>
      <c r="AD903" s="535"/>
      <c r="AE903" s="558"/>
      <c r="AH903" s="535"/>
      <c r="AI903" s="558"/>
      <c r="AL903" s="535"/>
      <c r="AP903" s="535"/>
    </row>
    <row r="904">
      <c r="A904" s="552"/>
      <c r="B904" s="552"/>
      <c r="N904" s="535"/>
      <c r="O904" s="558"/>
      <c r="R904" s="535"/>
      <c r="S904" s="558"/>
      <c r="V904" s="535"/>
      <c r="W904" s="558"/>
      <c r="Z904" s="535"/>
      <c r="AA904" s="558"/>
      <c r="AD904" s="535"/>
      <c r="AE904" s="558"/>
      <c r="AH904" s="535"/>
      <c r="AI904" s="558"/>
      <c r="AL904" s="535"/>
      <c r="AP904" s="535"/>
    </row>
    <row r="905">
      <c r="A905" s="552"/>
      <c r="B905" s="552"/>
      <c r="N905" s="535"/>
      <c r="O905" s="558"/>
      <c r="R905" s="535"/>
      <c r="S905" s="558"/>
      <c r="V905" s="535"/>
      <c r="W905" s="558"/>
      <c r="Z905" s="535"/>
      <c r="AA905" s="558"/>
      <c r="AD905" s="535"/>
      <c r="AE905" s="558"/>
      <c r="AH905" s="535"/>
      <c r="AI905" s="558"/>
      <c r="AL905" s="535"/>
      <c r="AP905" s="535"/>
    </row>
    <row r="906">
      <c r="A906" s="552"/>
      <c r="B906" s="552"/>
      <c r="N906" s="535"/>
      <c r="O906" s="558"/>
      <c r="R906" s="535"/>
      <c r="S906" s="558"/>
      <c r="V906" s="535"/>
      <c r="W906" s="558"/>
      <c r="Z906" s="535"/>
      <c r="AA906" s="558"/>
      <c r="AD906" s="535"/>
      <c r="AE906" s="558"/>
      <c r="AH906" s="535"/>
      <c r="AI906" s="558"/>
      <c r="AL906" s="535"/>
      <c r="AP906" s="535"/>
    </row>
    <row r="907">
      <c r="A907" s="552"/>
      <c r="B907" s="552"/>
      <c r="N907" s="535"/>
      <c r="O907" s="558"/>
      <c r="R907" s="535"/>
      <c r="S907" s="558"/>
      <c r="V907" s="535"/>
      <c r="W907" s="558"/>
      <c r="Z907" s="535"/>
      <c r="AA907" s="558"/>
      <c r="AD907" s="535"/>
      <c r="AE907" s="558"/>
      <c r="AH907" s="535"/>
      <c r="AI907" s="558"/>
      <c r="AL907" s="535"/>
      <c r="AP907" s="535"/>
    </row>
    <row r="908">
      <c r="A908" s="552"/>
      <c r="B908" s="552"/>
      <c r="N908" s="535"/>
      <c r="O908" s="558"/>
      <c r="R908" s="535"/>
      <c r="S908" s="558"/>
      <c r="V908" s="535"/>
      <c r="W908" s="558"/>
      <c r="Z908" s="535"/>
      <c r="AA908" s="558"/>
      <c r="AD908" s="535"/>
      <c r="AE908" s="558"/>
      <c r="AH908" s="535"/>
      <c r="AI908" s="558"/>
      <c r="AL908" s="535"/>
      <c r="AP908" s="535"/>
    </row>
    <row r="909">
      <c r="A909" s="552"/>
      <c r="B909" s="552"/>
      <c r="N909" s="535"/>
      <c r="O909" s="558"/>
      <c r="R909" s="535"/>
      <c r="S909" s="558"/>
      <c r="V909" s="535"/>
      <c r="W909" s="558"/>
      <c r="Z909" s="535"/>
      <c r="AA909" s="558"/>
      <c r="AD909" s="535"/>
      <c r="AE909" s="558"/>
      <c r="AH909" s="535"/>
      <c r="AI909" s="558"/>
      <c r="AL909" s="535"/>
      <c r="AP909" s="535"/>
    </row>
    <row r="910">
      <c r="A910" s="552"/>
      <c r="B910" s="552"/>
      <c r="N910" s="535"/>
      <c r="O910" s="558"/>
      <c r="R910" s="535"/>
      <c r="S910" s="558"/>
      <c r="V910" s="535"/>
      <c r="W910" s="558"/>
      <c r="Z910" s="535"/>
      <c r="AA910" s="558"/>
      <c r="AD910" s="535"/>
      <c r="AE910" s="558"/>
      <c r="AH910" s="535"/>
      <c r="AI910" s="558"/>
      <c r="AL910" s="535"/>
      <c r="AP910" s="535"/>
    </row>
    <row r="911">
      <c r="A911" s="552"/>
      <c r="B911" s="552"/>
      <c r="N911" s="535"/>
      <c r="O911" s="558"/>
      <c r="R911" s="535"/>
      <c r="S911" s="558"/>
      <c r="V911" s="535"/>
      <c r="W911" s="558"/>
      <c r="Z911" s="535"/>
      <c r="AA911" s="558"/>
      <c r="AD911" s="535"/>
      <c r="AE911" s="558"/>
      <c r="AH911" s="535"/>
      <c r="AI911" s="558"/>
      <c r="AL911" s="535"/>
      <c r="AP911" s="535"/>
    </row>
    <row r="912">
      <c r="A912" s="552"/>
      <c r="B912" s="552"/>
      <c r="N912" s="535"/>
      <c r="O912" s="558"/>
      <c r="R912" s="535"/>
      <c r="S912" s="558"/>
      <c r="V912" s="535"/>
      <c r="W912" s="558"/>
      <c r="Z912" s="535"/>
      <c r="AA912" s="558"/>
      <c r="AD912" s="535"/>
      <c r="AE912" s="558"/>
      <c r="AH912" s="535"/>
      <c r="AI912" s="558"/>
      <c r="AL912" s="535"/>
      <c r="AP912" s="535"/>
    </row>
    <row r="913">
      <c r="A913" s="552"/>
      <c r="B913" s="552"/>
      <c r="N913" s="535"/>
      <c r="O913" s="558"/>
      <c r="R913" s="535"/>
      <c r="S913" s="558"/>
      <c r="V913" s="535"/>
      <c r="W913" s="558"/>
      <c r="Z913" s="535"/>
      <c r="AA913" s="558"/>
      <c r="AD913" s="535"/>
      <c r="AE913" s="558"/>
      <c r="AH913" s="535"/>
      <c r="AI913" s="558"/>
      <c r="AL913" s="535"/>
      <c r="AP913" s="535"/>
    </row>
    <row r="914">
      <c r="A914" s="552"/>
      <c r="B914" s="552"/>
      <c r="N914" s="535"/>
      <c r="O914" s="558"/>
      <c r="R914" s="535"/>
      <c r="S914" s="558"/>
      <c r="V914" s="535"/>
      <c r="W914" s="558"/>
      <c r="Z914" s="535"/>
      <c r="AA914" s="558"/>
      <c r="AD914" s="535"/>
      <c r="AE914" s="558"/>
      <c r="AH914" s="535"/>
      <c r="AI914" s="558"/>
      <c r="AL914" s="535"/>
      <c r="AP914" s="535"/>
    </row>
    <row r="915">
      <c r="A915" s="552"/>
      <c r="B915" s="552"/>
      <c r="N915" s="535"/>
      <c r="O915" s="558"/>
      <c r="R915" s="535"/>
      <c r="S915" s="558"/>
      <c r="V915" s="535"/>
      <c r="W915" s="558"/>
      <c r="Z915" s="535"/>
      <c r="AA915" s="558"/>
      <c r="AD915" s="535"/>
      <c r="AE915" s="558"/>
      <c r="AH915" s="535"/>
      <c r="AI915" s="558"/>
      <c r="AL915" s="535"/>
      <c r="AP915" s="535"/>
    </row>
    <row r="916">
      <c r="A916" s="552"/>
      <c r="B916" s="552"/>
      <c r="N916" s="535"/>
      <c r="O916" s="558"/>
      <c r="R916" s="535"/>
      <c r="S916" s="558"/>
      <c r="V916" s="535"/>
      <c r="W916" s="558"/>
      <c r="Z916" s="535"/>
      <c r="AA916" s="558"/>
      <c r="AD916" s="535"/>
      <c r="AE916" s="558"/>
      <c r="AH916" s="535"/>
      <c r="AI916" s="558"/>
      <c r="AL916" s="535"/>
      <c r="AP916" s="535"/>
    </row>
    <row r="917">
      <c r="A917" s="552"/>
      <c r="B917" s="552"/>
      <c r="N917" s="535"/>
      <c r="O917" s="558"/>
      <c r="R917" s="535"/>
      <c r="S917" s="558"/>
      <c r="V917" s="535"/>
      <c r="W917" s="558"/>
      <c r="Z917" s="535"/>
      <c r="AA917" s="558"/>
      <c r="AD917" s="535"/>
      <c r="AE917" s="558"/>
      <c r="AH917" s="535"/>
      <c r="AI917" s="558"/>
      <c r="AL917" s="535"/>
      <c r="AP917" s="535"/>
    </row>
    <row r="918">
      <c r="A918" s="552"/>
      <c r="B918" s="552"/>
      <c r="N918" s="535"/>
      <c r="O918" s="558"/>
      <c r="R918" s="535"/>
      <c r="S918" s="558"/>
      <c r="V918" s="535"/>
      <c r="W918" s="558"/>
      <c r="Z918" s="535"/>
      <c r="AA918" s="558"/>
      <c r="AD918" s="535"/>
      <c r="AE918" s="558"/>
      <c r="AH918" s="535"/>
      <c r="AI918" s="558"/>
      <c r="AL918" s="535"/>
      <c r="AP918" s="535"/>
    </row>
    <row r="919">
      <c r="A919" s="552"/>
      <c r="B919" s="552"/>
      <c r="N919" s="535"/>
      <c r="O919" s="558"/>
      <c r="R919" s="535"/>
      <c r="S919" s="558"/>
      <c r="V919" s="535"/>
      <c r="W919" s="558"/>
      <c r="Z919" s="535"/>
      <c r="AA919" s="558"/>
      <c r="AD919" s="535"/>
      <c r="AE919" s="558"/>
      <c r="AH919" s="535"/>
      <c r="AI919" s="558"/>
      <c r="AL919" s="535"/>
      <c r="AP919" s="535"/>
    </row>
    <row r="920">
      <c r="A920" s="552"/>
      <c r="B920" s="552"/>
      <c r="N920" s="535"/>
      <c r="O920" s="558"/>
      <c r="R920" s="535"/>
      <c r="S920" s="558"/>
      <c r="V920" s="535"/>
      <c r="W920" s="558"/>
      <c r="Z920" s="535"/>
      <c r="AA920" s="558"/>
      <c r="AD920" s="535"/>
      <c r="AE920" s="558"/>
      <c r="AH920" s="535"/>
      <c r="AI920" s="558"/>
      <c r="AL920" s="535"/>
      <c r="AP920" s="535"/>
    </row>
    <row r="921">
      <c r="A921" s="552"/>
      <c r="B921" s="552"/>
      <c r="N921" s="535"/>
      <c r="O921" s="558"/>
      <c r="R921" s="535"/>
      <c r="S921" s="558"/>
      <c r="V921" s="535"/>
      <c r="W921" s="558"/>
      <c r="Z921" s="535"/>
      <c r="AA921" s="558"/>
      <c r="AD921" s="535"/>
      <c r="AE921" s="558"/>
      <c r="AH921" s="535"/>
      <c r="AI921" s="558"/>
      <c r="AL921" s="535"/>
      <c r="AP921" s="535"/>
    </row>
    <row r="922">
      <c r="A922" s="552"/>
      <c r="B922" s="552"/>
      <c r="N922" s="535"/>
      <c r="O922" s="558"/>
      <c r="R922" s="535"/>
      <c r="S922" s="558"/>
      <c r="V922" s="535"/>
      <c r="W922" s="558"/>
      <c r="Z922" s="535"/>
      <c r="AA922" s="558"/>
      <c r="AD922" s="535"/>
      <c r="AE922" s="558"/>
      <c r="AH922" s="535"/>
      <c r="AI922" s="558"/>
      <c r="AL922" s="535"/>
      <c r="AP922" s="535"/>
    </row>
    <row r="923">
      <c r="A923" s="552"/>
      <c r="B923" s="552"/>
      <c r="N923" s="535"/>
      <c r="O923" s="558"/>
      <c r="R923" s="535"/>
      <c r="S923" s="558"/>
      <c r="V923" s="535"/>
      <c r="W923" s="558"/>
      <c r="Z923" s="535"/>
      <c r="AA923" s="558"/>
      <c r="AD923" s="535"/>
      <c r="AE923" s="558"/>
      <c r="AH923" s="535"/>
      <c r="AI923" s="558"/>
      <c r="AL923" s="535"/>
      <c r="AP923" s="535"/>
    </row>
    <row r="924">
      <c r="A924" s="552"/>
      <c r="B924" s="552"/>
      <c r="N924" s="535"/>
      <c r="O924" s="558"/>
      <c r="R924" s="535"/>
      <c r="S924" s="558"/>
      <c r="V924" s="535"/>
      <c r="W924" s="558"/>
      <c r="Z924" s="535"/>
      <c r="AA924" s="558"/>
      <c r="AD924" s="535"/>
      <c r="AE924" s="558"/>
      <c r="AH924" s="535"/>
      <c r="AI924" s="558"/>
      <c r="AL924" s="535"/>
      <c r="AP924" s="535"/>
    </row>
    <row r="925">
      <c r="A925" s="552"/>
      <c r="B925" s="552"/>
      <c r="N925" s="535"/>
      <c r="O925" s="558"/>
      <c r="R925" s="535"/>
      <c r="S925" s="558"/>
      <c r="V925" s="535"/>
      <c r="W925" s="558"/>
      <c r="Z925" s="535"/>
      <c r="AA925" s="558"/>
      <c r="AD925" s="535"/>
      <c r="AE925" s="558"/>
      <c r="AH925" s="535"/>
      <c r="AI925" s="558"/>
      <c r="AL925" s="535"/>
      <c r="AP925" s="535"/>
    </row>
    <row r="926">
      <c r="A926" s="552"/>
      <c r="B926" s="552"/>
      <c r="N926" s="535"/>
      <c r="O926" s="558"/>
      <c r="R926" s="535"/>
      <c r="S926" s="558"/>
      <c r="V926" s="535"/>
      <c r="W926" s="558"/>
      <c r="Z926" s="535"/>
      <c r="AA926" s="558"/>
      <c r="AD926" s="535"/>
      <c r="AE926" s="558"/>
      <c r="AH926" s="535"/>
      <c r="AI926" s="558"/>
      <c r="AL926" s="535"/>
      <c r="AP926" s="535"/>
    </row>
    <row r="927">
      <c r="A927" s="552"/>
      <c r="B927" s="552"/>
      <c r="N927" s="535"/>
      <c r="O927" s="558"/>
      <c r="R927" s="535"/>
      <c r="S927" s="558"/>
      <c r="V927" s="535"/>
      <c r="W927" s="558"/>
      <c r="Z927" s="535"/>
      <c r="AA927" s="558"/>
      <c r="AD927" s="535"/>
      <c r="AE927" s="558"/>
      <c r="AH927" s="535"/>
      <c r="AI927" s="558"/>
      <c r="AL927" s="535"/>
      <c r="AP927" s="535"/>
    </row>
    <row r="928">
      <c r="A928" s="552"/>
      <c r="B928" s="552"/>
      <c r="N928" s="535"/>
      <c r="O928" s="558"/>
      <c r="R928" s="535"/>
      <c r="S928" s="558"/>
      <c r="V928" s="535"/>
      <c r="W928" s="558"/>
      <c r="Z928" s="535"/>
      <c r="AA928" s="558"/>
      <c r="AD928" s="535"/>
      <c r="AE928" s="558"/>
      <c r="AH928" s="535"/>
      <c r="AI928" s="558"/>
      <c r="AL928" s="535"/>
      <c r="AP928" s="535"/>
    </row>
    <row r="929">
      <c r="A929" s="552"/>
      <c r="B929" s="552"/>
      <c r="N929" s="535"/>
      <c r="O929" s="558"/>
      <c r="R929" s="535"/>
      <c r="S929" s="558"/>
      <c r="V929" s="535"/>
      <c r="W929" s="558"/>
      <c r="Z929" s="535"/>
      <c r="AA929" s="558"/>
      <c r="AD929" s="535"/>
      <c r="AE929" s="558"/>
      <c r="AH929" s="535"/>
      <c r="AI929" s="558"/>
      <c r="AL929" s="535"/>
      <c r="AP929" s="535"/>
    </row>
    <row r="930">
      <c r="A930" s="552"/>
      <c r="B930" s="552"/>
      <c r="N930" s="535"/>
      <c r="O930" s="558"/>
      <c r="R930" s="535"/>
      <c r="S930" s="558"/>
      <c r="V930" s="535"/>
      <c r="W930" s="558"/>
      <c r="Z930" s="535"/>
      <c r="AA930" s="558"/>
      <c r="AD930" s="535"/>
      <c r="AE930" s="558"/>
      <c r="AH930" s="535"/>
      <c r="AI930" s="558"/>
      <c r="AL930" s="535"/>
      <c r="AP930" s="535"/>
    </row>
    <row r="931">
      <c r="A931" s="552"/>
      <c r="B931" s="552"/>
      <c r="N931" s="535"/>
      <c r="O931" s="558"/>
      <c r="R931" s="535"/>
      <c r="S931" s="558"/>
      <c r="V931" s="535"/>
      <c r="W931" s="558"/>
      <c r="Z931" s="535"/>
      <c r="AA931" s="558"/>
      <c r="AD931" s="535"/>
      <c r="AE931" s="558"/>
      <c r="AH931" s="535"/>
      <c r="AI931" s="558"/>
      <c r="AL931" s="535"/>
      <c r="AP931" s="535"/>
    </row>
    <row r="932">
      <c r="A932" s="552"/>
      <c r="B932" s="552"/>
      <c r="N932" s="535"/>
      <c r="O932" s="558"/>
      <c r="R932" s="535"/>
      <c r="S932" s="558"/>
      <c r="V932" s="535"/>
      <c r="W932" s="558"/>
      <c r="Z932" s="535"/>
      <c r="AA932" s="558"/>
      <c r="AD932" s="535"/>
      <c r="AE932" s="558"/>
      <c r="AH932" s="535"/>
      <c r="AI932" s="558"/>
      <c r="AL932" s="535"/>
      <c r="AP932" s="535"/>
    </row>
    <row r="933">
      <c r="A933" s="552"/>
      <c r="B933" s="552"/>
      <c r="N933" s="535"/>
      <c r="O933" s="558"/>
      <c r="R933" s="535"/>
      <c r="S933" s="558"/>
      <c r="V933" s="535"/>
      <c r="W933" s="558"/>
      <c r="Z933" s="535"/>
      <c r="AA933" s="558"/>
      <c r="AD933" s="535"/>
      <c r="AE933" s="558"/>
      <c r="AH933" s="535"/>
      <c r="AI933" s="558"/>
      <c r="AL933" s="535"/>
      <c r="AP933" s="535"/>
    </row>
    <row r="934">
      <c r="A934" s="552"/>
      <c r="B934" s="552"/>
      <c r="N934" s="535"/>
      <c r="O934" s="558"/>
      <c r="R934" s="535"/>
      <c r="S934" s="558"/>
      <c r="V934" s="535"/>
      <c r="W934" s="558"/>
      <c r="Z934" s="535"/>
      <c r="AA934" s="558"/>
      <c r="AD934" s="535"/>
      <c r="AE934" s="558"/>
      <c r="AH934" s="535"/>
      <c r="AI934" s="558"/>
      <c r="AL934" s="535"/>
      <c r="AP934" s="535"/>
    </row>
    <row r="935">
      <c r="A935" s="552"/>
      <c r="B935" s="552"/>
      <c r="N935" s="535"/>
      <c r="O935" s="558"/>
      <c r="R935" s="535"/>
      <c r="S935" s="558"/>
      <c r="V935" s="535"/>
      <c r="W935" s="558"/>
      <c r="Z935" s="535"/>
      <c r="AA935" s="558"/>
      <c r="AD935" s="535"/>
      <c r="AE935" s="558"/>
      <c r="AH935" s="535"/>
      <c r="AI935" s="558"/>
      <c r="AL935" s="535"/>
      <c r="AP935" s="535"/>
    </row>
    <row r="936">
      <c r="A936" s="552"/>
      <c r="B936" s="552"/>
      <c r="N936" s="535"/>
      <c r="O936" s="558"/>
      <c r="R936" s="535"/>
      <c r="S936" s="558"/>
      <c r="V936" s="535"/>
      <c r="W936" s="558"/>
      <c r="Z936" s="535"/>
      <c r="AA936" s="558"/>
      <c r="AD936" s="535"/>
      <c r="AE936" s="558"/>
      <c r="AH936" s="535"/>
      <c r="AI936" s="558"/>
      <c r="AL936" s="535"/>
      <c r="AP936" s="535"/>
    </row>
    <row r="937">
      <c r="A937" s="552"/>
      <c r="B937" s="552"/>
      <c r="N937" s="535"/>
      <c r="O937" s="558"/>
      <c r="R937" s="535"/>
      <c r="S937" s="558"/>
      <c r="V937" s="535"/>
      <c r="W937" s="558"/>
      <c r="Z937" s="535"/>
      <c r="AA937" s="558"/>
      <c r="AD937" s="535"/>
      <c r="AE937" s="558"/>
      <c r="AH937" s="535"/>
      <c r="AI937" s="558"/>
      <c r="AL937" s="535"/>
      <c r="AP937" s="535"/>
    </row>
    <row r="938">
      <c r="A938" s="552"/>
      <c r="B938" s="552"/>
      <c r="N938" s="535"/>
      <c r="O938" s="558"/>
      <c r="R938" s="535"/>
      <c r="S938" s="558"/>
      <c r="V938" s="535"/>
      <c r="W938" s="558"/>
      <c r="Z938" s="535"/>
      <c r="AA938" s="558"/>
      <c r="AD938" s="535"/>
      <c r="AE938" s="558"/>
      <c r="AH938" s="535"/>
      <c r="AI938" s="558"/>
      <c r="AL938" s="535"/>
      <c r="AP938" s="535"/>
    </row>
    <row r="939">
      <c r="A939" s="552"/>
      <c r="B939" s="552"/>
      <c r="N939" s="535"/>
      <c r="O939" s="558"/>
      <c r="R939" s="535"/>
      <c r="S939" s="558"/>
      <c r="V939" s="535"/>
      <c r="W939" s="558"/>
      <c r="Z939" s="535"/>
      <c r="AA939" s="558"/>
      <c r="AD939" s="535"/>
      <c r="AE939" s="558"/>
      <c r="AH939" s="535"/>
      <c r="AI939" s="558"/>
      <c r="AL939" s="535"/>
      <c r="AP939" s="535"/>
    </row>
    <row r="940">
      <c r="A940" s="552"/>
      <c r="B940" s="552"/>
      <c r="N940" s="535"/>
      <c r="O940" s="558"/>
      <c r="R940" s="535"/>
      <c r="S940" s="558"/>
      <c r="V940" s="535"/>
      <c r="W940" s="558"/>
      <c r="Z940" s="535"/>
      <c r="AA940" s="558"/>
      <c r="AD940" s="535"/>
      <c r="AE940" s="558"/>
      <c r="AH940" s="535"/>
      <c r="AI940" s="558"/>
      <c r="AL940" s="535"/>
      <c r="AP940" s="535"/>
    </row>
    <row r="941">
      <c r="A941" s="552"/>
      <c r="B941" s="552"/>
      <c r="N941" s="535"/>
      <c r="O941" s="558"/>
      <c r="R941" s="535"/>
      <c r="S941" s="558"/>
      <c r="V941" s="535"/>
      <c r="W941" s="558"/>
      <c r="Z941" s="535"/>
      <c r="AA941" s="558"/>
      <c r="AD941" s="535"/>
      <c r="AE941" s="558"/>
      <c r="AH941" s="535"/>
      <c r="AI941" s="558"/>
      <c r="AL941" s="535"/>
      <c r="AP941" s="535"/>
    </row>
    <row r="942">
      <c r="A942" s="552"/>
      <c r="B942" s="552"/>
      <c r="N942" s="535"/>
      <c r="O942" s="558"/>
      <c r="R942" s="535"/>
      <c r="S942" s="558"/>
      <c r="V942" s="535"/>
      <c r="W942" s="558"/>
      <c r="Z942" s="535"/>
      <c r="AA942" s="558"/>
      <c r="AD942" s="535"/>
      <c r="AE942" s="558"/>
      <c r="AH942" s="535"/>
      <c r="AI942" s="558"/>
      <c r="AL942" s="535"/>
      <c r="AP942" s="535"/>
    </row>
    <row r="943">
      <c r="A943" s="552"/>
      <c r="B943" s="552"/>
      <c r="N943" s="535"/>
      <c r="O943" s="558"/>
      <c r="R943" s="535"/>
      <c r="S943" s="558"/>
      <c r="V943" s="535"/>
      <c r="W943" s="558"/>
      <c r="Z943" s="535"/>
      <c r="AA943" s="558"/>
      <c r="AD943" s="535"/>
      <c r="AE943" s="558"/>
      <c r="AH943" s="535"/>
      <c r="AI943" s="558"/>
      <c r="AL943" s="535"/>
      <c r="AP943" s="535"/>
    </row>
    <row r="944">
      <c r="A944" s="552"/>
      <c r="B944" s="552"/>
      <c r="N944" s="535"/>
      <c r="O944" s="558"/>
      <c r="R944" s="535"/>
      <c r="S944" s="558"/>
      <c r="V944" s="535"/>
      <c r="W944" s="558"/>
      <c r="Z944" s="535"/>
      <c r="AA944" s="558"/>
      <c r="AD944" s="535"/>
      <c r="AE944" s="558"/>
      <c r="AH944" s="535"/>
      <c r="AI944" s="558"/>
      <c r="AL944" s="535"/>
      <c r="AP944" s="535"/>
    </row>
    <row r="945">
      <c r="A945" s="552"/>
      <c r="B945" s="552"/>
      <c r="N945" s="535"/>
      <c r="O945" s="558"/>
      <c r="R945" s="535"/>
      <c r="S945" s="558"/>
      <c r="V945" s="535"/>
      <c r="W945" s="558"/>
      <c r="Z945" s="535"/>
      <c r="AA945" s="558"/>
      <c r="AD945" s="535"/>
      <c r="AE945" s="558"/>
      <c r="AH945" s="535"/>
      <c r="AI945" s="558"/>
      <c r="AL945" s="535"/>
      <c r="AP945" s="535"/>
    </row>
    <row r="946">
      <c r="A946" s="552"/>
      <c r="B946" s="552"/>
      <c r="N946" s="535"/>
      <c r="O946" s="558"/>
      <c r="R946" s="535"/>
      <c r="S946" s="558"/>
      <c r="V946" s="535"/>
      <c r="W946" s="558"/>
      <c r="Z946" s="535"/>
      <c r="AA946" s="558"/>
      <c r="AD946" s="535"/>
      <c r="AE946" s="558"/>
      <c r="AH946" s="535"/>
      <c r="AI946" s="558"/>
      <c r="AL946" s="535"/>
      <c r="AP946" s="535"/>
    </row>
    <row r="947">
      <c r="A947" s="552"/>
      <c r="B947" s="552"/>
      <c r="N947" s="535"/>
      <c r="O947" s="558"/>
      <c r="R947" s="535"/>
      <c r="S947" s="558"/>
      <c r="V947" s="535"/>
      <c r="W947" s="558"/>
      <c r="Z947" s="535"/>
      <c r="AA947" s="558"/>
      <c r="AD947" s="535"/>
      <c r="AE947" s="558"/>
      <c r="AH947" s="535"/>
      <c r="AI947" s="558"/>
      <c r="AL947" s="535"/>
      <c r="AP947" s="535"/>
    </row>
    <row r="948">
      <c r="A948" s="552"/>
      <c r="B948" s="552"/>
      <c r="N948" s="535"/>
      <c r="O948" s="558"/>
      <c r="R948" s="535"/>
      <c r="S948" s="558"/>
      <c r="V948" s="535"/>
      <c r="W948" s="558"/>
      <c r="Z948" s="535"/>
      <c r="AA948" s="558"/>
      <c r="AD948" s="535"/>
      <c r="AE948" s="558"/>
      <c r="AH948" s="535"/>
      <c r="AI948" s="558"/>
      <c r="AL948" s="535"/>
      <c r="AP948" s="535"/>
    </row>
    <row r="949">
      <c r="A949" s="552"/>
      <c r="B949" s="552"/>
      <c r="N949" s="535"/>
      <c r="O949" s="558"/>
      <c r="R949" s="535"/>
      <c r="S949" s="558"/>
      <c r="V949" s="535"/>
      <c r="W949" s="558"/>
      <c r="Z949" s="535"/>
      <c r="AA949" s="558"/>
      <c r="AD949" s="535"/>
      <c r="AE949" s="558"/>
      <c r="AH949" s="535"/>
      <c r="AI949" s="558"/>
      <c r="AL949" s="535"/>
      <c r="AP949" s="535"/>
    </row>
    <row r="950">
      <c r="A950" s="552"/>
      <c r="B950" s="552"/>
      <c r="N950" s="535"/>
      <c r="O950" s="558"/>
      <c r="R950" s="535"/>
      <c r="S950" s="558"/>
      <c r="V950" s="535"/>
      <c r="W950" s="558"/>
      <c r="Z950" s="535"/>
      <c r="AA950" s="558"/>
      <c r="AD950" s="535"/>
      <c r="AE950" s="558"/>
      <c r="AH950" s="535"/>
      <c r="AI950" s="558"/>
      <c r="AL950" s="535"/>
      <c r="AP950" s="535"/>
    </row>
    <row r="951">
      <c r="A951" s="552"/>
      <c r="B951" s="552"/>
      <c r="N951" s="535"/>
      <c r="O951" s="558"/>
      <c r="R951" s="535"/>
      <c r="S951" s="558"/>
      <c r="V951" s="535"/>
      <c r="W951" s="558"/>
      <c r="Z951" s="535"/>
      <c r="AA951" s="558"/>
      <c r="AD951" s="535"/>
      <c r="AE951" s="558"/>
      <c r="AH951" s="535"/>
      <c r="AI951" s="558"/>
      <c r="AL951" s="535"/>
      <c r="AP951" s="535"/>
    </row>
    <row r="952">
      <c r="A952" s="552"/>
      <c r="B952" s="552"/>
      <c r="N952" s="535"/>
      <c r="O952" s="558"/>
      <c r="R952" s="535"/>
      <c r="S952" s="558"/>
      <c r="V952" s="535"/>
      <c r="W952" s="558"/>
      <c r="Z952" s="535"/>
      <c r="AA952" s="558"/>
      <c r="AD952" s="535"/>
      <c r="AE952" s="558"/>
      <c r="AH952" s="535"/>
      <c r="AI952" s="558"/>
      <c r="AL952" s="535"/>
      <c r="AP952" s="535"/>
    </row>
    <row r="953">
      <c r="A953" s="552"/>
      <c r="B953" s="552"/>
      <c r="N953" s="535"/>
      <c r="O953" s="558"/>
      <c r="R953" s="535"/>
      <c r="S953" s="558"/>
      <c r="V953" s="535"/>
      <c r="W953" s="558"/>
      <c r="Z953" s="535"/>
      <c r="AA953" s="558"/>
      <c r="AD953" s="535"/>
      <c r="AE953" s="558"/>
      <c r="AH953" s="535"/>
      <c r="AI953" s="558"/>
      <c r="AL953" s="535"/>
      <c r="AP953" s="535"/>
    </row>
    <row r="954">
      <c r="A954" s="552"/>
      <c r="B954" s="552"/>
      <c r="N954" s="535"/>
      <c r="O954" s="558"/>
      <c r="R954" s="535"/>
      <c r="S954" s="558"/>
      <c r="V954" s="535"/>
      <c r="W954" s="558"/>
      <c r="Z954" s="535"/>
      <c r="AA954" s="558"/>
      <c r="AD954" s="535"/>
      <c r="AE954" s="558"/>
      <c r="AH954" s="535"/>
      <c r="AI954" s="558"/>
      <c r="AL954" s="535"/>
      <c r="AP954" s="535"/>
    </row>
    <row r="955">
      <c r="A955" s="552"/>
      <c r="B955" s="552"/>
      <c r="N955" s="535"/>
      <c r="O955" s="558"/>
      <c r="R955" s="535"/>
      <c r="S955" s="558"/>
      <c r="V955" s="535"/>
      <c r="W955" s="558"/>
      <c r="Z955" s="535"/>
      <c r="AA955" s="558"/>
      <c r="AD955" s="535"/>
      <c r="AE955" s="558"/>
      <c r="AH955" s="535"/>
      <c r="AI955" s="558"/>
      <c r="AL955" s="535"/>
      <c r="AP955" s="535"/>
    </row>
    <row r="956">
      <c r="A956" s="552"/>
      <c r="B956" s="552"/>
      <c r="N956" s="535"/>
      <c r="O956" s="558"/>
      <c r="R956" s="535"/>
      <c r="S956" s="558"/>
      <c r="V956" s="535"/>
      <c r="W956" s="558"/>
      <c r="Z956" s="535"/>
      <c r="AA956" s="558"/>
      <c r="AD956" s="535"/>
      <c r="AE956" s="558"/>
      <c r="AH956" s="535"/>
      <c r="AI956" s="558"/>
      <c r="AL956" s="535"/>
      <c r="AP956" s="535"/>
    </row>
    <row r="957">
      <c r="A957" s="552"/>
      <c r="B957" s="552"/>
      <c r="N957" s="535"/>
      <c r="O957" s="558"/>
      <c r="R957" s="535"/>
      <c r="S957" s="558"/>
      <c r="V957" s="535"/>
      <c r="W957" s="558"/>
      <c r="Z957" s="535"/>
      <c r="AA957" s="558"/>
      <c r="AD957" s="535"/>
      <c r="AE957" s="558"/>
      <c r="AH957" s="535"/>
      <c r="AI957" s="558"/>
      <c r="AL957" s="535"/>
      <c r="AP957" s="535"/>
    </row>
    <row r="958">
      <c r="A958" s="552"/>
      <c r="B958" s="552"/>
      <c r="N958" s="535"/>
      <c r="O958" s="558"/>
      <c r="R958" s="535"/>
      <c r="S958" s="558"/>
      <c r="V958" s="535"/>
      <c r="W958" s="558"/>
      <c r="Z958" s="535"/>
      <c r="AA958" s="558"/>
      <c r="AD958" s="535"/>
      <c r="AE958" s="558"/>
      <c r="AH958" s="535"/>
      <c r="AI958" s="558"/>
      <c r="AL958" s="535"/>
      <c r="AP958" s="535"/>
    </row>
    <row r="959">
      <c r="A959" s="552"/>
      <c r="B959" s="552"/>
      <c r="N959" s="535"/>
      <c r="O959" s="558"/>
      <c r="R959" s="535"/>
      <c r="S959" s="558"/>
      <c r="V959" s="535"/>
      <c r="W959" s="558"/>
      <c r="Z959" s="535"/>
      <c r="AA959" s="558"/>
      <c r="AD959" s="535"/>
      <c r="AE959" s="558"/>
      <c r="AH959" s="535"/>
      <c r="AI959" s="558"/>
      <c r="AL959" s="535"/>
      <c r="AP959" s="535"/>
    </row>
    <row r="960">
      <c r="A960" s="552"/>
      <c r="B960" s="552"/>
      <c r="N960" s="535"/>
      <c r="O960" s="558"/>
      <c r="R960" s="535"/>
      <c r="S960" s="558"/>
      <c r="V960" s="535"/>
      <c r="W960" s="558"/>
      <c r="Z960" s="535"/>
      <c r="AA960" s="558"/>
      <c r="AD960" s="535"/>
      <c r="AE960" s="558"/>
      <c r="AH960" s="535"/>
      <c r="AI960" s="558"/>
      <c r="AL960" s="535"/>
      <c r="AP960" s="535"/>
    </row>
    <row r="961">
      <c r="A961" s="552"/>
      <c r="B961" s="552"/>
      <c r="N961" s="535"/>
      <c r="O961" s="558"/>
      <c r="R961" s="535"/>
      <c r="S961" s="558"/>
      <c r="V961" s="535"/>
      <c r="W961" s="558"/>
      <c r="Z961" s="535"/>
      <c r="AA961" s="558"/>
      <c r="AD961" s="535"/>
      <c r="AE961" s="558"/>
      <c r="AH961" s="535"/>
      <c r="AI961" s="558"/>
      <c r="AL961" s="535"/>
      <c r="AP961" s="535"/>
    </row>
    <row r="962">
      <c r="A962" s="552"/>
      <c r="B962" s="552"/>
      <c r="N962" s="535"/>
      <c r="O962" s="558"/>
      <c r="R962" s="535"/>
      <c r="S962" s="558"/>
      <c r="V962" s="535"/>
      <c r="W962" s="558"/>
      <c r="Z962" s="535"/>
      <c r="AA962" s="558"/>
      <c r="AD962" s="535"/>
      <c r="AE962" s="558"/>
      <c r="AH962" s="535"/>
      <c r="AI962" s="558"/>
      <c r="AL962" s="535"/>
      <c r="AP962" s="535"/>
    </row>
    <row r="963">
      <c r="A963" s="552"/>
      <c r="B963" s="552"/>
      <c r="N963" s="535"/>
      <c r="O963" s="558"/>
      <c r="R963" s="535"/>
      <c r="S963" s="558"/>
      <c r="V963" s="535"/>
      <c r="W963" s="558"/>
      <c r="Z963" s="535"/>
      <c r="AA963" s="558"/>
      <c r="AD963" s="535"/>
      <c r="AE963" s="558"/>
      <c r="AH963" s="535"/>
      <c r="AI963" s="558"/>
      <c r="AL963" s="535"/>
      <c r="AP963" s="535"/>
    </row>
    <row r="964">
      <c r="A964" s="552"/>
      <c r="B964" s="552"/>
      <c r="N964" s="535"/>
      <c r="O964" s="558"/>
      <c r="R964" s="535"/>
      <c r="S964" s="558"/>
      <c r="V964" s="535"/>
      <c r="W964" s="558"/>
      <c r="Z964" s="535"/>
      <c r="AA964" s="558"/>
      <c r="AD964" s="535"/>
      <c r="AE964" s="558"/>
      <c r="AH964" s="535"/>
      <c r="AI964" s="558"/>
      <c r="AL964" s="535"/>
      <c r="AP964" s="535"/>
    </row>
    <row r="965">
      <c r="A965" s="552"/>
      <c r="B965" s="552"/>
      <c r="N965" s="535"/>
      <c r="O965" s="558"/>
      <c r="R965" s="535"/>
      <c r="S965" s="558"/>
      <c r="V965" s="535"/>
      <c r="W965" s="558"/>
      <c r="Z965" s="535"/>
      <c r="AA965" s="558"/>
      <c r="AD965" s="535"/>
      <c r="AE965" s="558"/>
      <c r="AH965" s="535"/>
      <c r="AI965" s="558"/>
      <c r="AL965" s="535"/>
      <c r="AP965" s="535"/>
    </row>
    <row r="966">
      <c r="A966" s="552"/>
      <c r="B966" s="552"/>
      <c r="N966" s="535"/>
      <c r="O966" s="558"/>
      <c r="R966" s="535"/>
      <c r="S966" s="558"/>
      <c r="V966" s="535"/>
      <c r="W966" s="558"/>
      <c r="Z966" s="535"/>
      <c r="AA966" s="558"/>
      <c r="AD966" s="535"/>
      <c r="AE966" s="558"/>
      <c r="AH966" s="535"/>
      <c r="AI966" s="558"/>
      <c r="AL966" s="535"/>
      <c r="AP966" s="535"/>
    </row>
    <row r="967">
      <c r="A967" s="552"/>
      <c r="B967" s="552"/>
      <c r="N967" s="535"/>
      <c r="O967" s="558"/>
      <c r="R967" s="535"/>
      <c r="S967" s="558"/>
      <c r="V967" s="535"/>
      <c r="W967" s="558"/>
      <c r="Z967" s="535"/>
      <c r="AA967" s="558"/>
      <c r="AD967" s="535"/>
      <c r="AE967" s="558"/>
      <c r="AH967" s="535"/>
      <c r="AI967" s="558"/>
      <c r="AL967" s="535"/>
      <c r="AP967" s="535"/>
    </row>
    <row r="968">
      <c r="A968" s="552"/>
      <c r="B968" s="552"/>
      <c r="N968" s="535"/>
      <c r="O968" s="558"/>
      <c r="R968" s="535"/>
      <c r="S968" s="558"/>
      <c r="V968" s="535"/>
      <c r="W968" s="558"/>
      <c r="Z968" s="535"/>
      <c r="AA968" s="558"/>
      <c r="AD968" s="535"/>
      <c r="AE968" s="558"/>
      <c r="AH968" s="535"/>
      <c r="AI968" s="558"/>
      <c r="AL968" s="535"/>
      <c r="AP968" s="535"/>
    </row>
    <row r="969">
      <c r="A969" s="552"/>
      <c r="B969" s="552"/>
      <c r="N969" s="535"/>
      <c r="O969" s="558"/>
      <c r="R969" s="535"/>
      <c r="S969" s="558"/>
      <c r="V969" s="535"/>
      <c r="W969" s="558"/>
      <c r="Z969" s="535"/>
      <c r="AA969" s="558"/>
      <c r="AD969" s="535"/>
      <c r="AE969" s="558"/>
      <c r="AH969" s="535"/>
      <c r="AI969" s="558"/>
      <c r="AL969" s="535"/>
      <c r="AP969" s="535"/>
    </row>
    <row r="970">
      <c r="A970" s="552"/>
      <c r="B970" s="552"/>
      <c r="N970" s="535"/>
      <c r="O970" s="558"/>
      <c r="R970" s="535"/>
      <c r="S970" s="558"/>
      <c r="V970" s="535"/>
      <c r="W970" s="558"/>
      <c r="Z970" s="535"/>
      <c r="AA970" s="558"/>
      <c r="AD970" s="535"/>
      <c r="AE970" s="558"/>
      <c r="AH970" s="535"/>
      <c r="AI970" s="558"/>
      <c r="AL970" s="535"/>
      <c r="AP970" s="535"/>
    </row>
    <row r="971">
      <c r="A971" s="552"/>
      <c r="B971" s="552"/>
      <c r="N971" s="535"/>
      <c r="O971" s="558"/>
      <c r="R971" s="535"/>
      <c r="S971" s="558"/>
      <c r="V971" s="535"/>
      <c r="W971" s="558"/>
      <c r="Z971" s="535"/>
      <c r="AA971" s="558"/>
      <c r="AD971" s="535"/>
      <c r="AE971" s="558"/>
      <c r="AH971" s="535"/>
      <c r="AI971" s="558"/>
      <c r="AL971" s="535"/>
      <c r="AP971" s="535"/>
    </row>
    <row r="972">
      <c r="A972" s="552"/>
      <c r="B972" s="552"/>
      <c r="N972" s="535"/>
      <c r="O972" s="558"/>
      <c r="R972" s="535"/>
      <c r="S972" s="558"/>
      <c r="V972" s="535"/>
      <c r="W972" s="558"/>
      <c r="Z972" s="535"/>
      <c r="AA972" s="558"/>
      <c r="AD972" s="535"/>
      <c r="AE972" s="558"/>
      <c r="AH972" s="535"/>
      <c r="AI972" s="558"/>
      <c r="AL972" s="535"/>
      <c r="AP972" s="535"/>
    </row>
    <row r="973">
      <c r="A973" s="552"/>
      <c r="B973" s="552"/>
      <c r="N973" s="535"/>
      <c r="O973" s="558"/>
      <c r="R973" s="535"/>
      <c r="S973" s="558"/>
      <c r="V973" s="535"/>
      <c r="W973" s="558"/>
      <c r="Z973" s="535"/>
      <c r="AA973" s="558"/>
      <c r="AD973" s="535"/>
      <c r="AE973" s="558"/>
      <c r="AH973" s="535"/>
      <c r="AI973" s="558"/>
      <c r="AL973" s="535"/>
      <c r="AP973" s="535"/>
    </row>
    <row r="974">
      <c r="A974" s="552"/>
      <c r="B974" s="552"/>
      <c r="N974" s="535"/>
      <c r="O974" s="558"/>
      <c r="R974" s="535"/>
      <c r="S974" s="558"/>
      <c r="V974" s="535"/>
      <c r="W974" s="558"/>
      <c r="Z974" s="535"/>
      <c r="AA974" s="558"/>
      <c r="AD974" s="535"/>
      <c r="AE974" s="558"/>
      <c r="AH974" s="535"/>
      <c r="AI974" s="558"/>
      <c r="AL974" s="535"/>
      <c r="AP974" s="535"/>
    </row>
    <row r="975">
      <c r="A975" s="552"/>
      <c r="B975" s="552"/>
      <c r="N975" s="535"/>
      <c r="O975" s="558"/>
      <c r="R975" s="535"/>
      <c r="S975" s="558"/>
      <c r="V975" s="535"/>
      <c r="W975" s="558"/>
      <c r="Z975" s="535"/>
      <c r="AA975" s="558"/>
      <c r="AD975" s="535"/>
      <c r="AE975" s="558"/>
      <c r="AH975" s="535"/>
      <c r="AI975" s="558"/>
      <c r="AL975" s="535"/>
      <c r="AP975" s="535"/>
    </row>
    <row r="976">
      <c r="A976" s="552"/>
      <c r="B976" s="552"/>
      <c r="N976" s="535"/>
      <c r="O976" s="558"/>
      <c r="R976" s="535"/>
      <c r="S976" s="558"/>
      <c r="V976" s="535"/>
      <c r="W976" s="558"/>
      <c r="Z976" s="535"/>
      <c r="AA976" s="558"/>
      <c r="AD976" s="535"/>
      <c r="AE976" s="558"/>
      <c r="AH976" s="535"/>
      <c r="AI976" s="558"/>
      <c r="AL976" s="535"/>
      <c r="AP976" s="535"/>
    </row>
    <row r="977">
      <c r="A977" s="552"/>
      <c r="B977" s="552"/>
      <c r="N977" s="535"/>
      <c r="O977" s="558"/>
      <c r="R977" s="535"/>
      <c r="S977" s="558"/>
      <c r="V977" s="535"/>
      <c r="W977" s="558"/>
      <c r="Z977" s="535"/>
      <c r="AA977" s="558"/>
      <c r="AD977" s="535"/>
      <c r="AE977" s="558"/>
      <c r="AH977" s="535"/>
      <c r="AI977" s="558"/>
      <c r="AL977" s="535"/>
      <c r="AP977" s="535"/>
    </row>
    <row r="978">
      <c r="A978" s="552"/>
      <c r="B978" s="552"/>
      <c r="N978" s="535"/>
      <c r="O978" s="558"/>
      <c r="R978" s="535"/>
      <c r="S978" s="558"/>
      <c r="V978" s="535"/>
      <c r="W978" s="558"/>
      <c r="Z978" s="535"/>
      <c r="AA978" s="558"/>
      <c r="AD978" s="535"/>
      <c r="AE978" s="558"/>
      <c r="AH978" s="535"/>
      <c r="AI978" s="558"/>
      <c r="AL978" s="535"/>
      <c r="AP978" s="535"/>
    </row>
    <row r="979">
      <c r="A979" s="552"/>
      <c r="B979" s="552"/>
      <c r="N979" s="535"/>
      <c r="O979" s="558"/>
      <c r="R979" s="535"/>
      <c r="S979" s="558"/>
      <c r="V979" s="535"/>
      <c r="W979" s="558"/>
      <c r="Z979" s="535"/>
      <c r="AA979" s="558"/>
      <c r="AD979" s="535"/>
      <c r="AE979" s="558"/>
      <c r="AH979" s="535"/>
      <c r="AI979" s="558"/>
      <c r="AL979" s="535"/>
      <c r="AP979" s="535"/>
    </row>
    <row r="980">
      <c r="A980" s="552"/>
      <c r="B980" s="552"/>
      <c r="N980" s="535"/>
      <c r="O980" s="558"/>
      <c r="R980" s="535"/>
      <c r="S980" s="558"/>
      <c r="V980" s="535"/>
      <c r="W980" s="558"/>
      <c r="Z980" s="535"/>
      <c r="AA980" s="558"/>
      <c r="AD980" s="535"/>
      <c r="AE980" s="558"/>
      <c r="AH980" s="535"/>
      <c r="AI980" s="558"/>
      <c r="AL980" s="535"/>
      <c r="AP980" s="535"/>
    </row>
    <row r="981">
      <c r="A981" s="552"/>
      <c r="B981" s="552"/>
      <c r="N981" s="535"/>
      <c r="O981" s="558"/>
      <c r="R981" s="535"/>
      <c r="S981" s="558"/>
      <c r="V981" s="535"/>
      <c r="W981" s="558"/>
      <c r="Z981" s="535"/>
      <c r="AA981" s="558"/>
      <c r="AD981" s="535"/>
      <c r="AE981" s="558"/>
      <c r="AH981" s="535"/>
      <c r="AI981" s="558"/>
      <c r="AL981" s="535"/>
      <c r="AP981" s="535"/>
    </row>
    <row r="982">
      <c r="A982" s="552"/>
      <c r="B982" s="552"/>
      <c r="N982" s="535"/>
      <c r="O982" s="558"/>
      <c r="R982" s="535"/>
      <c r="S982" s="558"/>
      <c r="V982" s="535"/>
      <c r="W982" s="558"/>
      <c r="Z982" s="535"/>
      <c r="AA982" s="558"/>
      <c r="AD982" s="535"/>
      <c r="AE982" s="558"/>
      <c r="AH982" s="535"/>
      <c r="AI982" s="558"/>
      <c r="AL982" s="535"/>
      <c r="AP982" s="535"/>
    </row>
    <row r="983">
      <c r="A983" s="552"/>
      <c r="B983" s="552"/>
      <c r="N983" s="535"/>
      <c r="O983" s="558"/>
      <c r="R983" s="535"/>
      <c r="S983" s="558"/>
      <c r="V983" s="535"/>
      <c r="W983" s="558"/>
      <c r="Z983" s="535"/>
      <c r="AA983" s="558"/>
      <c r="AD983" s="535"/>
      <c r="AE983" s="558"/>
      <c r="AH983" s="535"/>
      <c r="AI983" s="558"/>
      <c r="AL983" s="535"/>
      <c r="AP983" s="535"/>
    </row>
    <row r="984">
      <c r="A984" s="552"/>
      <c r="B984" s="552"/>
      <c r="N984" s="535"/>
      <c r="O984" s="558"/>
      <c r="R984" s="535"/>
      <c r="S984" s="558"/>
      <c r="V984" s="535"/>
      <c r="W984" s="558"/>
      <c r="Z984" s="535"/>
      <c r="AA984" s="558"/>
      <c r="AD984" s="535"/>
      <c r="AE984" s="558"/>
      <c r="AH984" s="535"/>
      <c r="AI984" s="558"/>
      <c r="AL984" s="535"/>
      <c r="AP984" s="535"/>
    </row>
    <row r="985">
      <c r="A985" s="552"/>
      <c r="B985" s="552"/>
      <c r="N985" s="535"/>
      <c r="O985" s="558"/>
      <c r="R985" s="535"/>
      <c r="S985" s="558"/>
      <c r="V985" s="535"/>
      <c r="W985" s="558"/>
      <c r="Z985" s="535"/>
      <c r="AA985" s="558"/>
      <c r="AD985" s="535"/>
      <c r="AE985" s="558"/>
      <c r="AH985" s="535"/>
      <c r="AI985" s="558"/>
      <c r="AL985" s="535"/>
      <c r="AP985" s="535"/>
    </row>
    <row r="986">
      <c r="A986" s="552"/>
      <c r="B986" s="552"/>
      <c r="N986" s="535"/>
      <c r="O986" s="558"/>
      <c r="R986" s="535"/>
      <c r="S986" s="558"/>
      <c r="V986" s="535"/>
      <c r="W986" s="558"/>
      <c r="Z986" s="535"/>
      <c r="AA986" s="558"/>
      <c r="AD986" s="535"/>
      <c r="AE986" s="558"/>
      <c r="AH986" s="535"/>
      <c r="AI986" s="558"/>
      <c r="AL986" s="535"/>
      <c r="AP986" s="535"/>
    </row>
    <row r="987">
      <c r="A987" s="552"/>
      <c r="B987" s="552"/>
      <c r="N987" s="535"/>
      <c r="O987" s="558"/>
      <c r="R987" s="535"/>
      <c r="S987" s="558"/>
      <c r="V987" s="535"/>
      <c r="W987" s="558"/>
      <c r="Z987" s="535"/>
      <c r="AA987" s="558"/>
      <c r="AD987" s="535"/>
      <c r="AE987" s="558"/>
      <c r="AH987" s="535"/>
      <c r="AI987" s="558"/>
      <c r="AL987" s="535"/>
      <c r="AP987" s="535"/>
    </row>
    <row r="988">
      <c r="A988" s="552"/>
      <c r="B988" s="552"/>
      <c r="N988" s="535"/>
      <c r="O988" s="558"/>
      <c r="R988" s="535"/>
      <c r="S988" s="558"/>
      <c r="V988" s="535"/>
      <c r="W988" s="558"/>
      <c r="Z988" s="535"/>
      <c r="AA988" s="558"/>
      <c r="AD988" s="535"/>
      <c r="AE988" s="558"/>
      <c r="AH988" s="535"/>
      <c r="AI988" s="558"/>
      <c r="AL988" s="535"/>
      <c r="AP988" s="535"/>
    </row>
    <row r="989">
      <c r="A989" s="552"/>
      <c r="B989" s="552"/>
      <c r="N989" s="535"/>
      <c r="O989" s="558"/>
      <c r="R989" s="535"/>
      <c r="S989" s="558"/>
      <c r="V989" s="535"/>
      <c r="W989" s="558"/>
      <c r="Z989" s="535"/>
      <c r="AA989" s="558"/>
      <c r="AD989" s="535"/>
      <c r="AE989" s="558"/>
      <c r="AH989" s="535"/>
      <c r="AI989" s="558"/>
      <c r="AL989" s="535"/>
      <c r="AP989" s="535"/>
    </row>
    <row r="990">
      <c r="A990" s="552"/>
      <c r="B990" s="552"/>
      <c r="N990" s="535"/>
      <c r="O990" s="558"/>
      <c r="R990" s="535"/>
      <c r="S990" s="558"/>
      <c r="V990" s="535"/>
      <c r="W990" s="558"/>
      <c r="Z990" s="535"/>
      <c r="AA990" s="558"/>
      <c r="AD990" s="535"/>
      <c r="AE990" s="558"/>
      <c r="AH990" s="535"/>
      <c r="AI990" s="558"/>
      <c r="AL990" s="535"/>
      <c r="AP990" s="535"/>
    </row>
    <row r="991">
      <c r="A991" s="552"/>
      <c r="B991" s="552"/>
      <c r="N991" s="535"/>
      <c r="O991" s="558"/>
      <c r="R991" s="535"/>
      <c r="S991" s="558"/>
      <c r="V991" s="535"/>
      <c r="W991" s="558"/>
      <c r="Z991" s="535"/>
      <c r="AA991" s="558"/>
      <c r="AD991" s="535"/>
      <c r="AE991" s="558"/>
      <c r="AH991" s="535"/>
      <c r="AI991" s="558"/>
      <c r="AL991" s="535"/>
      <c r="AP991" s="535"/>
    </row>
    <row r="992">
      <c r="A992" s="552"/>
      <c r="B992" s="552"/>
      <c r="N992" s="535"/>
      <c r="O992" s="558"/>
      <c r="R992" s="535"/>
      <c r="S992" s="558"/>
      <c r="V992" s="535"/>
      <c r="W992" s="558"/>
      <c r="Z992" s="535"/>
      <c r="AA992" s="558"/>
      <c r="AD992" s="535"/>
      <c r="AE992" s="558"/>
      <c r="AH992" s="535"/>
      <c r="AI992" s="558"/>
      <c r="AL992" s="535"/>
      <c r="AP992" s="535"/>
    </row>
    <row r="993">
      <c r="A993" s="552"/>
      <c r="B993" s="552"/>
      <c r="N993" s="535"/>
      <c r="O993" s="558"/>
      <c r="R993" s="535"/>
      <c r="S993" s="558"/>
      <c r="V993" s="535"/>
      <c r="W993" s="558"/>
      <c r="Z993" s="535"/>
      <c r="AA993" s="558"/>
      <c r="AD993" s="535"/>
      <c r="AE993" s="558"/>
      <c r="AH993" s="535"/>
      <c r="AI993" s="558"/>
      <c r="AL993" s="535"/>
      <c r="AP993" s="535"/>
    </row>
    <row r="994">
      <c r="A994" s="552"/>
      <c r="B994" s="552"/>
      <c r="N994" s="535"/>
      <c r="O994" s="558"/>
      <c r="R994" s="535"/>
      <c r="S994" s="558"/>
      <c r="V994" s="535"/>
      <c r="W994" s="558"/>
      <c r="Z994" s="535"/>
      <c r="AA994" s="558"/>
      <c r="AD994" s="535"/>
      <c r="AE994" s="558"/>
      <c r="AH994" s="535"/>
      <c r="AI994" s="558"/>
      <c r="AL994" s="535"/>
      <c r="AP994" s="535"/>
    </row>
    <row r="995">
      <c r="A995" s="552"/>
      <c r="B995" s="552"/>
      <c r="N995" s="535"/>
      <c r="O995" s="558"/>
      <c r="R995" s="535"/>
      <c r="S995" s="558"/>
      <c r="V995" s="535"/>
      <c r="W995" s="558"/>
      <c r="Z995" s="535"/>
      <c r="AA995" s="558"/>
      <c r="AD995" s="535"/>
      <c r="AE995" s="558"/>
      <c r="AH995" s="535"/>
      <c r="AI995" s="558"/>
      <c r="AL995" s="535"/>
      <c r="AP995" s="535"/>
    </row>
    <row r="996">
      <c r="A996" s="552"/>
      <c r="B996" s="552"/>
      <c r="N996" s="535"/>
      <c r="O996" s="558"/>
      <c r="R996" s="535"/>
      <c r="S996" s="558"/>
      <c r="V996" s="535"/>
      <c r="W996" s="558"/>
      <c r="Z996" s="535"/>
      <c r="AA996" s="558"/>
      <c r="AD996" s="535"/>
      <c r="AE996" s="558"/>
      <c r="AH996" s="535"/>
      <c r="AI996" s="558"/>
      <c r="AL996" s="535"/>
      <c r="AP996" s="535"/>
    </row>
    <row r="997">
      <c r="A997" s="552"/>
      <c r="B997" s="552"/>
      <c r="N997" s="535"/>
      <c r="O997" s="558"/>
      <c r="R997" s="535"/>
      <c r="S997" s="558"/>
      <c r="V997" s="535"/>
      <c r="W997" s="558"/>
      <c r="Z997" s="535"/>
      <c r="AA997" s="558"/>
      <c r="AD997" s="535"/>
      <c r="AE997" s="558"/>
      <c r="AH997" s="535"/>
      <c r="AI997" s="558"/>
      <c r="AL997" s="535"/>
      <c r="AP997" s="535"/>
    </row>
    <row r="998">
      <c r="A998" s="552"/>
      <c r="B998" s="552"/>
      <c r="N998" s="535"/>
      <c r="O998" s="558"/>
      <c r="R998" s="535"/>
      <c r="S998" s="558"/>
      <c r="V998" s="535"/>
      <c r="W998" s="558"/>
      <c r="Z998" s="535"/>
      <c r="AA998" s="558"/>
      <c r="AD998" s="535"/>
      <c r="AE998" s="558"/>
      <c r="AH998" s="535"/>
      <c r="AI998" s="558"/>
      <c r="AL998" s="535"/>
      <c r="AP998" s="535"/>
    </row>
    <row r="999">
      <c r="A999" s="552"/>
      <c r="B999" s="552"/>
      <c r="N999" s="535"/>
      <c r="O999" s="558"/>
      <c r="R999" s="535"/>
      <c r="S999" s="558"/>
      <c r="V999" s="535"/>
      <c r="W999" s="558"/>
      <c r="Z999" s="535"/>
      <c r="AA999" s="558"/>
      <c r="AD999" s="535"/>
      <c r="AE999" s="558"/>
      <c r="AH999" s="535"/>
      <c r="AI999" s="558"/>
      <c r="AL999" s="535"/>
      <c r="AP999" s="535"/>
    </row>
    <row r="1000">
      <c r="A1000" s="552"/>
      <c r="B1000" s="552"/>
      <c r="N1000" s="535"/>
      <c r="O1000" s="558"/>
      <c r="R1000" s="535"/>
      <c r="S1000" s="558"/>
      <c r="V1000" s="535"/>
      <c r="W1000" s="558"/>
      <c r="Z1000" s="535"/>
      <c r="AA1000" s="558"/>
      <c r="AD1000" s="535"/>
      <c r="AE1000" s="558"/>
      <c r="AH1000" s="535"/>
      <c r="AI1000" s="558"/>
      <c r="AL1000" s="535"/>
      <c r="AP1000" s="535"/>
    </row>
    <row r="1001">
      <c r="A1001" s="552"/>
      <c r="B1001" s="552"/>
      <c r="N1001" s="535"/>
      <c r="O1001" s="558"/>
      <c r="R1001" s="535"/>
      <c r="S1001" s="558"/>
      <c r="V1001" s="535"/>
      <c r="W1001" s="558"/>
      <c r="Z1001" s="535"/>
      <c r="AA1001" s="558"/>
      <c r="AD1001" s="535"/>
      <c r="AE1001" s="558"/>
      <c r="AH1001" s="535"/>
      <c r="AI1001" s="558"/>
      <c r="AL1001" s="535"/>
      <c r="AP1001" s="535"/>
    </row>
    <row r="1002">
      <c r="A1002" s="552"/>
      <c r="B1002" s="552"/>
      <c r="N1002" s="535"/>
      <c r="O1002" s="558"/>
      <c r="R1002" s="535"/>
      <c r="S1002" s="558"/>
      <c r="V1002" s="535"/>
      <c r="W1002" s="558"/>
      <c r="Z1002" s="535"/>
      <c r="AA1002" s="558"/>
      <c r="AD1002" s="535"/>
      <c r="AE1002" s="558"/>
      <c r="AH1002" s="535"/>
      <c r="AI1002" s="558"/>
      <c r="AL1002" s="535"/>
      <c r="AP1002" s="535"/>
    </row>
    <row r="1003">
      <c r="A1003" s="552"/>
      <c r="B1003" s="552"/>
      <c r="N1003" s="535"/>
      <c r="O1003" s="558"/>
      <c r="R1003" s="535"/>
      <c r="S1003" s="558"/>
      <c r="V1003" s="535"/>
      <c r="W1003" s="558"/>
      <c r="Z1003" s="535"/>
      <c r="AA1003" s="558"/>
      <c r="AD1003" s="535"/>
      <c r="AE1003" s="558"/>
      <c r="AH1003" s="535"/>
      <c r="AI1003" s="558"/>
      <c r="AL1003" s="535"/>
      <c r="AP1003" s="535"/>
    </row>
    <row r="1004">
      <c r="A1004" s="552"/>
      <c r="B1004" s="552"/>
      <c r="N1004" s="535"/>
      <c r="O1004" s="558"/>
      <c r="R1004" s="535"/>
      <c r="S1004" s="558"/>
      <c r="V1004" s="535"/>
      <c r="W1004" s="558"/>
      <c r="Z1004" s="535"/>
      <c r="AA1004" s="558"/>
      <c r="AD1004" s="535"/>
      <c r="AE1004" s="558"/>
      <c r="AH1004" s="535"/>
      <c r="AI1004" s="558"/>
      <c r="AL1004" s="535"/>
      <c r="AP1004" s="535"/>
    </row>
    <row r="1005">
      <c r="A1005" s="552"/>
      <c r="B1005" s="552"/>
      <c r="N1005" s="535"/>
      <c r="O1005" s="558"/>
      <c r="R1005" s="535"/>
      <c r="S1005" s="558"/>
      <c r="V1005" s="535"/>
      <c r="W1005" s="558"/>
      <c r="Z1005" s="535"/>
      <c r="AA1005" s="558"/>
      <c r="AD1005" s="535"/>
      <c r="AE1005" s="558"/>
      <c r="AH1005" s="535"/>
      <c r="AI1005" s="558"/>
      <c r="AL1005" s="535"/>
      <c r="AP1005" s="535"/>
    </row>
    <row r="1006">
      <c r="A1006" s="552"/>
      <c r="B1006" s="552"/>
      <c r="N1006" s="535"/>
      <c r="O1006" s="558"/>
      <c r="R1006" s="535"/>
      <c r="S1006" s="558"/>
      <c r="V1006" s="535"/>
      <c r="W1006" s="558"/>
      <c r="Z1006" s="535"/>
      <c r="AA1006" s="558"/>
      <c r="AD1006" s="535"/>
      <c r="AE1006" s="558"/>
      <c r="AH1006" s="535"/>
      <c r="AI1006" s="558"/>
      <c r="AL1006" s="535"/>
      <c r="AP1006" s="535"/>
    </row>
    <row r="1007">
      <c r="A1007" s="552"/>
      <c r="B1007" s="552"/>
      <c r="N1007" s="535"/>
      <c r="O1007" s="558"/>
      <c r="R1007" s="535"/>
      <c r="S1007" s="558"/>
      <c r="V1007" s="535"/>
      <c r="W1007" s="558"/>
      <c r="Z1007" s="535"/>
      <c r="AA1007" s="558"/>
      <c r="AD1007" s="535"/>
      <c r="AE1007" s="558"/>
      <c r="AH1007" s="535"/>
      <c r="AI1007" s="558"/>
      <c r="AL1007" s="535"/>
      <c r="AP1007" s="535"/>
    </row>
    <row r="1008">
      <c r="A1008" s="552"/>
      <c r="B1008" s="552"/>
      <c r="N1008" s="535"/>
      <c r="O1008" s="558"/>
      <c r="R1008" s="535"/>
      <c r="S1008" s="558"/>
      <c r="V1008" s="535"/>
      <c r="W1008" s="558"/>
      <c r="Z1008" s="535"/>
      <c r="AA1008" s="558"/>
      <c r="AD1008" s="535"/>
      <c r="AE1008" s="558"/>
      <c r="AH1008" s="535"/>
      <c r="AI1008" s="558"/>
      <c r="AL1008" s="535"/>
      <c r="AP1008" s="5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1.0" topLeftCell="C12" activePane="bottomRight" state="frozen"/>
      <selection activeCell="C1" sqref="C1" pane="topRight"/>
      <selection activeCell="A12" sqref="A12" pane="bottomLeft"/>
      <selection activeCell="C12" sqref="C12" pane="bottomRight"/>
    </sheetView>
  </sheetViews>
  <sheetFormatPr customHeight="1" defaultColWidth="14.43" defaultRowHeight="15.75"/>
  <cols>
    <col customWidth="1" min="3" max="3" width="21.86"/>
    <col hidden="1" min="6" max="13" width="14.43"/>
    <col customWidth="1" min="14" max="14" width="3.0"/>
    <col customWidth="1" min="18" max="18" width="3.0"/>
    <col customWidth="1" min="22" max="22" width="3.0"/>
    <col customWidth="1" min="26" max="26" width="3.0"/>
    <col customWidth="1" min="30" max="30" width="3.0"/>
    <col customWidth="1" min="34" max="34" width="3.0"/>
    <col customWidth="1" min="38" max="38" width="3.0"/>
    <col customWidth="1" min="42" max="42" width="3.0"/>
  </cols>
  <sheetData>
    <row r="1">
      <c r="A1" s="532" t="s">
        <v>1519</v>
      </c>
      <c r="B1" s="532" t="s">
        <v>1522</v>
      </c>
      <c r="C1" s="533"/>
      <c r="D1" s="534"/>
      <c r="E1" s="533" t="s">
        <v>1524</v>
      </c>
      <c r="F1" s="534"/>
      <c r="G1" s="533"/>
      <c r="H1" s="534"/>
      <c r="I1" s="534"/>
      <c r="J1" s="534"/>
      <c r="K1" s="534"/>
      <c r="L1" s="534"/>
      <c r="M1" s="534"/>
      <c r="N1" s="535"/>
      <c r="O1" s="536"/>
      <c r="P1" s="533"/>
      <c r="Q1" s="537" t="s">
        <v>519</v>
      </c>
      <c r="R1" s="535"/>
      <c r="S1" s="538"/>
      <c r="T1" s="539"/>
      <c r="U1" s="537" t="s">
        <v>455</v>
      </c>
      <c r="V1" s="535"/>
      <c r="W1" s="538"/>
      <c r="X1" s="540"/>
      <c r="Y1" s="537" t="s">
        <v>1280</v>
      </c>
      <c r="Z1" s="535"/>
      <c r="AA1" s="538"/>
      <c r="AB1" s="540"/>
      <c r="AC1" s="537" t="s">
        <v>812</v>
      </c>
      <c r="AD1" s="535"/>
      <c r="AE1" s="538"/>
      <c r="AF1" s="540"/>
      <c r="AG1" s="537" t="s">
        <v>770</v>
      </c>
      <c r="AH1" s="535"/>
      <c r="AI1" s="538"/>
      <c r="AJ1" s="534"/>
      <c r="AK1" s="537" t="s">
        <v>933</v>
      </c>
      <c r="AL1" s="535"/>
      <c r="AM1" s="534"/>
      <c r="AN1" s="534"/>
      <c r="AO1" s="537" t="s">
        <v>789</v>
      </c>
      <c r="AP1" s="535"/>
      <c r="AQ1" s="534"/>
      <c r="AR1" s="534"/>
      <c r="AS1" s="541" t="s">
        <v>286</v>
      </c>
      <c r="AT1" s="534"/>
    </row>
    <row r="2">
      <c r="A2" s="542" t="s">
        <v>524</v>
      </c>
      <c r="B2" s="542" t="s">
        <v>1588</v>
      </c>
      <c r="C2" s="533"/>
      <c r="D2" s="534"/>
      <c r="E2" s="534">
        <f t="shared" ref="E2:E8" si="1">COUNTIF(E$12:E$202, $B2)</f>
        <v>39</v>
      </c>
      <c r="F2" s="534"/>
      <c r="G2" s="533"/>
      <c r="H2" s="534"/>
      <c r="I2" s="534"/>
      <c r="J2" s="534"/>
      <c r="K2" s="534"/>
      <c r="L2" s="534"/>
      <c r="M2" s="534"/>
      <c r="N2" s="535"/>
      <c r="O2" s="536"/>
      <c r="P2" s="534"/>
      <c r="Q2" s="534">
        <f t="shared" ref="Q2:Q8" si="2">COUNTIF(Q$12:Q$202, $B2)</f>
        <v>6</v>
      </c>
      <c r="R2" s="535"/>
      <c r="S2" s="538"/>
      <c r="T2" s="534"/>
      <c r="U2" s="534">
        <f t="shared" ref="U2:U8" si="3">COUNTIF(U$12:U$202, $B2)</f>
        <v>0</v>
      </c>
      <c r="V2" s="535"/>
      <c r="W2" s="538"/>
      <c r="X2" s="534"/>
      <c r="Y2" s="534">
        <f t="shared" ref="Y2:Y8" si="4">COUNTIF(Y$12:Y$202, $B2)</f>
        <v>0</v>
      </c>
      <c r="Z2" s="535"/>
      <c r="AA2" s="538"/>
      <c r="AB2" s="534"/>
      <c r="AC2" s="534">
        <f t="shared" ref="AC2:AC8" si="5">COUNTIF(AC$12:AC$202, $B2)</f>
        <v>2</v>
      </c>
      <c r="AD2" s="535"/>
      <c r="AE2" s="538"/>
      <c r="AF2" s="534"/>
      <c r="AG2" s="534">
        <f t="shared" ref="AG2:AG8" si="6">COUNTIF(AG$12:AG$202, $B2)</f>
        <v>11</v>
      </c>
      <c r="AH2" s="535"/>
      <c r="AI2" s="538"/>
      <c r="AJ2" s="534"/>
      <c r="AK2" s="534">
        <f t="shared" ref="AK2:AK8" si="7">COUNTIF(AK$12:AK$202, $B2)</f>
        <v>2</v>
      </c>
      <c r="AL2" s="535"/>
      <c r="AM2" s="534"/>
      <c r="AN2" s="534"/>
      <c r="AO2" s="534">
        <f t="shared" ref="AO2:AO8" si="8">COUNTIF(AO$12:AO$202, $B2)</f>
        <v>6</v>
      </c>
      <c r="AP2" s="535"/>
      <c r="AQ2" s="534"/>
      <c r="AR2" s="534"/>
      <c r="AS2" s="534">
        <f t="shared" ref="AS2:AS8" si="9">COUNTIF(AS$12:AS$202, $B2)</f>
        <v>4</v>
      </c>
      <c r="AT2" s="534"/>
    </row>
    <row r="3">
      <c r="A3" s="542" t="s">
        <v>464</v>
      </c>
      <c r="B3" s="542" t="s">
        <v>1589</v>
      </c>
      <c r="C3" s="533"/>
      <c r="D3" s="534"/>
      <c r="E3" s="534">
        <f t="shared" si="1"/>
        <v>9</v>
      </c>
      <c r="F3" s="534"/>
      <c r="G3" s="533"/>
      <c r="H3" s="534"/>
      <c r="I3" s="534"/>
      <c r="J3" s="534"/>
      <c r="K3" s="534"/>
      <c r="L3" s="534"/>
      <c r="M3" s="534"/>
      <c r="N3" s="535"/>
      <c r="O3" s="536"/>
      <c r="P3" s="534"/>
      <c r="Q3" s="534">
        <f t="shared" si="2"/>
        <v>2</v>
      </c>
      <c r="R3" s="535"/>
      <c r="S3" s="538"/>
      <c r="T3" s="534"/>
      <c r="U3" s="534">
        <f t="shared" si="3"/>
        <v>4</v>
      </c>
      <c r="V3" s="535"/>
      <c r="W3" s="538"/>
      <c r="X3" s="534"/>
      <c r="Y3" s="534">
        <f t="shared" si="4"/>
        <v>3</v>
      </c>
      <c r="Z3" s="535"/>
      <c r="AA3" s="538"/>
      <c r="AB3" s="534"/>
      <c r="AC3" s="534">
        <f t="shared" si="5"/>
        <v>3</v>
      </c>
      <c r="AD3" s="535"/>
      <c r="AE3" s="538"/>
      <c r="AF3" s="534"/>
      <c r="AG3" s="534">
        <f t="shared" si="6"/>
        <v>0</v>
      </c>
      <c r="AH3" s="535"/>
      <c r="AI3" s="538"/>
      <c r="AJ3" s="534"/>
      <c r="AK3" s="534">
        <f t="shared" si="7"/>
        <v>0</v>
      </c>
      <c r="AL3" s="535"/>
      <c r="AM3" s="534"/>
      <c r="AN3" s="534"/>
      <c r="AO3" s="534">
        <f t="shared" si="8"/>
        <v>0</v>
      </c>
      <c r="AP3" s="535"/>
      <c r="AQ3" s="534"/>
      <c r="AR3" s="534"/>
      <c r="AS3" s="534">
        <f t="shared" si="9"/>
        <v>0</v>
      </c>
      <c r="AT3" s="534"/>
    </row>
    <row r="4">
      <c r="A4" s="542" t="s">
        <v>443</v>
      </c>
      <c r="B4" s="542" t="s">
        <v>1590</v>
      </c>
      <c r="C4" s="533"/>
      <c r="D4" s="534"/>
      <c r="E4" s="534">
        <f t="shared" si="1"/>
        <v>66</v>
      </c>
      <c r="F4" s="534"/>
      <c r="G4" s="533"/>
      <c r="H4" s="534"/>
      <c r="I4" s="534"/>
      <c r="J4" s="534"/>
      <c r="K4" s="534"/>
      <c r="L4" s="534"/>
      <c r="M4" s="534"/>
      <c r="N4" s="535"/>
      <c r="O4" s="536"/>
      <c r="P4" s="534"/>
      <c r="Q4" s="534">
        <f t="shared" si="2"/>
        <v>4</v>
      </c>
      <c r="R4" s="535"/>
      <c r="S4" s="538"/>
      <c r="T4" s="534"/>
      <c r="U4" s="534">
        <f t="shared" si="3"/>
        <v>13</v>
      </c>
      <c r="V4" s="535"/>
      <c r="W4" s="538"/>
      <c r="X4" s="534"/>
      <c r="Y4" s="534">
        <f t="shared" si="4"/>
        <v>12</v>
      </c>
      <c r="Z4" s="535"/>
      <c r="AA4" s="538"/>
      <c r="AB4" s="534"/>
      <c r="AC4" s="534">
        <f t="shared" si="5"/>
        <v>12</v>
      </c>
      <c r="AD4" s="535"/>
      <c r="AE4" s="538"/>
      <c r="AF4" s="534"/>
      <c r="AG4" s="534">
        <f t="shared" si="6"/>
        <v>5</v>
      </c>
      <c r="AH4" s="535"/>
      <c r="AI4" s="538"/>
      <c r="AJ4" s="534"/>
      <c r="AK4" s="534">
        <f t="shared" si="7"/>
        <v>15</v>
      </c>
      <c r="AL4" s="535"/>
      <c r="AM4" s="534"/>
      <c r="AN4" s="534"/>
      <c r="AO4" s="534">
        <f t="shared" si="8"/>
        <v>6</v>
      </c>
      <c r="AP4" s="535"/>
      <c r="AQ4" s="534"/>
      <c r="AR4" s="534"/>
      <c r="AS4" s="534">
        <f t="shared" si="9"/>
        <v>5</v>
      </c>
      <c r="AT4" s="534"/>
    </row>
    <row r="5">
      <c r="A5" s="542" t="s">
        <v>615</v>
      </c>
      <c r="B5" s="542" t="s">
        <v>1591</v>
      </c>
      <c r="C5" s="533"/>
      <c r="D5" s="534"/>
      <c r="E5" s="534">
        <f t="shared" si="1"/>
        <v>14</v>
      </c>
      <c r="F5" s="534"/>
      <c r="G5" s="533"/>
      <c r="H5" s="534"/>
      <c r="I5" s="534"/>
      <c r="J5" s="534"/>
      <c r="K5" s="534"/>
      <c r="L5" s="534"/>
      <c r="M5" s="534"/>
      <c r="N5" s="535"/>
      <c r="O5" s="536"/>
      <c r="P5" s="534"/>
      <c r="Q5" s="534">
        <f t="shared" si="2"/>
        <v>3</v>
      </c>
      <c r="R5" s="535"/>
      <c r="S5" s="538"/>
      <c r="T5" s="534"/>
      <c r="U5" s="534">
        <f t="shared" si="3"/>
        <v>1</v>
      </c>
      <c r="V5" s="535"/>
      <c r="W5" s="538"/>
      <c r="X5" s="534"/>
      <c r="Y5" s="534">
        <f t="shared" si="4"/>
        <v>0</v>
      </c>
      <c r="Z5" s="535"/>
      <c r="AA5" s="538"/>
      <c r="AB5" s="534"/>
      <c r="AC5" s="534">
        <f t="shared" si="5"/>
        <v>0</v>
      </c>
      <c r="AD5" s="535"/>
      <c r="AE5" s="538"/>
      <c r="AF5" s="534"/>
      <c r="AG5" s="534">
        <f t="shared" si="6"/>
        <v>3</v>
      </c>
      <c r="AH5" s="535"/>
      <c r="AI5" s="538"/>
      <c r="AJ5" s="534"/>
      <c r="AK5" s="534">
        <f t="shared" si="7"/>
        <v>0</v>
      </c>
      <c r="AL5" s="535"/>
      <c r="AM5" s="534"/>
      <c r="AN5" s="534"/>
      <c r="AO5" s="534">
        <f t="shared" si="8"/>
        <v>2</v>
      </c>
      <c r="AP5" s="535"/>
      <c r="AQ5" s="534"/>
      <c r="AR5" s="534"/>
      <c r="AS5" s="534">
        <f t="shared" si="9"/>
        <v>2</v>
      </c>
      <c r="AT5" s="534"/>
    </row>
    <row r="6">
      <c r="A6" s="542" t="s">
        <v>621</v>
      </c>
      <c r="B6" s="542" t="s">
        <v>1593</v>
      </c>
      <c r="C6" s="533"/>
      <c r="D6" s="534"/>
      <c r="E6" s="534">
        <f t="shared" si="1"/>
        <v>13</v>
      </c>
      <c r="F6" s="534"/>
      <c r="G6" s="533"/>
      <c r="H6" s="534"/>
      <c r="I6" s="534"/>
      <c r="J6" s="534"/>
      <c r="K6" s="534"/>
      <c r="L6" s="534"/>
      <c r="M6" s="534"/>
      <c r="N6" s="535"/>
      <c r="O6" s="536"/>
      <c r="P6" s="534"/>
      <c r="Q6" s="534">
        <f t="shared" si="2"/>
        <v>0</v>
      </c>
      <c r="R6" s="535"/>
      <c r="S6" s="538"/>
      <c r="T6" s="534"/>
      <c r="U6" s="534">
        <f t="shared" si="3"/>
        <v>0</v>
      </c>
      <c r="V6" s="535"/>
      <c r="W6" s="538"/>
      <c r="X6" s="534"/>
      <c r="Y6" s="534">
        <f t="shared" si="4"/>
        <v>2</v>
      </c>
      <c r="Z6" s="535"/>
      <c r="AA6" s="538"/>
      <c r="AB6" s="534"/>
      <c r="AC6" s="534">
        <f t="shared" si="5"/>
        <v>1</v>
      </c>
      <c r="AD6" s="535"/>
      <c r="AE6" s="538"/>
      <c r="AF6" s="534"/>
      <c r="AG6" s="534">
        <f t="shared" si="6"/>
        <v>0</v>
      </c>
      <c r="AH6" s="535"/>
      <c r="AI6" s="538"/>
      <c r="AJ6" s="534"/>
      <c r="AK6" s="534">
        <f t="shared" si="7"/>
        <v>1</v>
      </c>
      <c r="AL6" s="535"/>
      <c r="AM6" s="534"/>
      <c r="AN6" s="534"/>
      <c r="AO6" s="534">
        <f t="shared" si="8"/>
        <v>5</v>
      </c>
      <c r="AP6" s="535"/>
      <c r="AQ6" s="534"/>
      <c r="AR6" s="534"/>
      <c r="AS6" s="534">
        <f t="shared" si="9"/>
        <v>1</v>
      </c>
      <c r="AT6" s="534"/>
    </row>
    <row r="7">
      <c r="A7" s="542" t="s">
        <v>609</v>
      </c>
      <c r="B7" s="542" t="s">
        <v>1594</v>
      </c>
      <c r="C7" s="533"/>
      <c r="D7" s="534"/>
      <c r="E7" s="534">
        <f t="shared" si="1"/>
        <v>25</v>
      </c>
      <c r="F7" s="534"/>
      <c r="G7" s="533"/>
      <c r="H7" s="534"/>
      <c r="I7" s="534"/>
      <c r="J7" s="534"/>
      <c r="K7" s="534"/>
      <c r="L7" s="534"/>
      <c r="M7" s="534"/>
      <c r="N7" s="535"/>
      <c r="O7" s="536"/>
      <c r="P7" s="534"/>
      <c r="Q7" s="534">
        <f t="shared" si="2"/>
        <v>4</v>
      </c>
      <c r="R7" s="535"/>
      <c r="S7" s="538"/>
      <c r="T7" s="534"/>
      <c r="U7" s="534">
        <f t="shared" si="3"/>
        <v>1</v>
      </c>
      <c r="V7" s="535"/>
      <c r="W7" s="538"/>
      <c r="X7" s="534"/>
      <c r="Y7" s="534">
        <f t="shared" si="4"/>
        <v>3</v>
      </c>
      <c r="Z7" s="535"/>
      <c r="AA7" s="538"/>
      <c r="AB7" s="534"/>
      <c r="AC7" s="534">
        <f t="shared" si="5"/>
        <v>2</v>
      </c>
      <c r="AD7" s="535"/>
      <c r="AE7" s="538"/>
      <c r="AF7" s="534"/>
      <c r="AG7" s="534">
        <f t="shared" si="6"/>
        <v>1</v>
      </c>
      <c r="AH7" s="535"/>
      <c r="AI7" s="538"/>
      <c r="AJ7" s="534"/>
      <c r="AK7" s="534">
        <f t="shared" si="7"/>
        <v>2</v>
      </c>
      <c r="AL7" s="535"/>
      <c r="AM7" s="534"/>
      <c r="AN7" s="534"/>
      <c r="AO7" s="534">
        <f t="shared" si="8"/>
        <v>1</v>
      </c>
      <c r="AP7" s="535"/>
      <c r="AQ7" s="534"/>
      <c r="AR7" s="534"/>
      <c r="AS7" s="534">
        <f t="shared" si="9"/>
        <v>7</v>
      </c>
      <c r="AT7" s="534"/>
    </row>
    <row r="8">
      <c r="A8" s="542" t="s">
        <v>961</v>
      </c>
      <c r="B8" s="542" t="s">
        <v>1535</v>
      </c>
      <c r="C8" s="533"/>
      <c r="D8" s="534"/>
      <c r="E8" s="534">
        <f t="shared" si="1"/>
        <v>3</v>
      </c>
      <c r="F8" s="534"/>
      <c r="G8" s="533"/>
      <c r="H8" s="534"/>
      <c r="I8" s="534"/>
      <c r="J8" s="534"/>
      <c r="K8" s="534"/>
      <c r="L8" s="534"/>
      <c r="M8" s="534"/>
      <c r="N8" s="535"/>
      <c r="O8" s="536"/>
      <c r="P8" s="534"/>
      <c r="Q8" s="534">
        <f t="shared" si="2"/>
        <v>1</v>
      </c>
      <c r="R8" s="535"/>
      <c r="S8" s="538"/>
      <c r="T8" s="534"/>
      <c r="U8" s="534">
        <f t="shared" si="3"/>
        <v>1</v>
      </c>
      <c r="V8" s="535"/>
      <c r="W8" s="538"/>
      <c r="X8" s="534"/>
      <c r="Y8" s="534">
        <f t="shared" si="4"/>
        <v>0</v>
      </c>
      <c r="Z8" s="535"/>
      <c r="AA8" s="538"/>
      <c r="AB8" s="534"/>
      <c r="AC8" s="534">
        <f t="shared" si="5"/>
        <v>0</v>
      </c>
      <c r="AD8" s="535"/>
      <c r="AE8" s="538"/>
      <c r="AF8" s="534"/>
      <c r="AG8" s="534">
        <f t="shared" si="6"/>
        <v>0</v>
      </c>
      <c r="AH8" s="535"/>
      <c r="AI8" s="538"/>
      <c r="AJ8" s="534"/>
      <c r="AK8" s="534">
        <f t="shared" si="7"/>
        <v>0</v>
      </c>
      <c r="AL8" s="535"/>
      <c r="AM8" s="534"/>
      <c r="AN8" s="534"/>
      <c r="AO8" s="534">
        <f t="shared" si="8"/>
        <v>0</v>
      </c>
      <c r="AP8" s="535"/>
      <c r="AQ8" s="534"/>
      <c r="AR8" s="534"/>
      <c r="AS8" s="534">
        <f t="shared" si="9"/>
        <v>1</v>
      </c>
      <c r="AT8" s="534"/>
    </row>
    <row r="9">
      <c r="A9" s="542" t="s">
        <v>1537</v>
      </c>
      <c r="B9" s="542"/>
      <c r="C9" s="533"/>
      <c r="D9" s="534"/>
      <c r="E9" s="534">
        <f>COUNTA(E$12:E$202)</f>
        <v>171</v>
      </c>
      <c r="F9" s="534"/>
      <c r="G9" s="533"/>
      <c r="H9" s="534"/>
      <c r="I9" s="534"/>
      <c r="J9" s="534"/>
      <c r="K9" s="534"/>
      <c r="L9" s="534"/>
      <c r="M9" s="534"/>
      <c r="N9" s="535"/>
      <c r="O9" s="536"/>
      <c r="P9" s="534"/>
      <c r="Q9" s="534">
        <f>COUNTA(Q$12:Q$202)</f>
        <v>20</v>
      </c>
      <c r="R9" s="535"/>
      <c r="S9" s="538"/>
      <c r="T9" s="534"/>
      <c r="U9" s="534">
        <f>COUNTA(U$12:U$202)</f>
        <v>20</v>
      </c>
      <c r="V9" s="535"/>
      <c r="W9" s="538"/>
      <c r="X9" s="534"/>
      <c r="Y9" s="534">
        <f>COUNTA(Y$12:Y$202)</f>
        <v>20</v>
      </c>
      <c r="Z9" s="535"/>
      <c r="AA9" s="538"/>
      <c r="AB9" s="534"/>
      <c r="AC9" s="534">
        <f>COUNTA(AC$12:AC$202)</f>
        <v>20</v>
      </c>
      <c r="AD9" s="535"/>
      <c r="AE9" s="538"/>
      <c r="AF9" s="534"/>
      <c r="AG9" s="534">
        <f>COUNTA(AG$12:AG$202)</f>
        <v>20</v>
      </c>
      <c r="AH9" s="535"/>
      <c r="AI9" s="538"/>
      <c r="AJ9" s="534"/>
      <c r="AK9" s="534">
        <f>COUNTA(AK$12:AK$202)</f>
        <v>20</v>
      </c>
      <c r="AL9" s="535"/>
      <c r="AM9" s="534"/>
      <c r="AN9" s="534"/>
      <c r="AO9" s="534">
        <f>COUNTA(AO$12:AO$202)</f>
        <v>20</v>
      </c>
      <c r="AP9" s="535"/>
      <c r="AQ9" s="534"/>
      <c r="AR9" s="534"/>
      <c r="AS9" s="534">
        <f>COUNTA(AS$12:AS$202)</f>
        <v>20</v>
      </c>
      <c r="AT9" s="534"/>
    </row>
    <row r="10">
      <c r="A10" s="542"/>
      <c r="B10" s="542"/>
      <c r="C10" s="533"/>
      <c r="D10" s="533" t="s">
        <v>1540</v>
      </c>
      <c r="E10" s="534">
        <f>sum(E2:E8)</f>
        <v>169</v>
      </c>
      <c r="F10" s="534"/>
      <c r="G10" s="533"/>
      <c r="H10" s="534"/>
      <c r="I10" s="534"/>
      <c r="J10" s="534"/>
      <c r="K10" s="534"/>
      <c r="L10" s="534"/>
      <c r="M10" s="534"/>
      <c r="N10" s="535"/>
      <c r="O10" s="536"/>
      <c r="P10" s="533" t="s">
        <v>1540</v>
      </c>
      <c r="Q10" s="534">
        <f>sum(Q2:Q8)</f>
        <v>20</v>
      </c>
      <c r="R10" s="535"/>
      <c r="S10" s="538"/>
      <c r="T10" s="533" t="s">
        <v>1540</v>
      </c>
      <c r="U10" s="534">
        <f>sum(U2:U8)</f>
        <v>20</v>
      </c>
      <c r="V10" s="535"/>
      <c r="W10" s="538"/>
      <c r="X10" s="533" t="s">
        <v>1540</v>
      </c>
      <c r="Y10" s="534">
        <f>sum(Y2:Y8)</f>
        <v>20</v>
      </c>
      <c r="Z10" s="535"/>
      <c r="AA10" s="538"/>
      <c r="AB10" s="533" t="s">
        <v>1540</v>
      </c>
      <c r="AC10" s="534">
        <f>sum(AC2:AC8)</f>
        <v>20</v>
      </c>
      <c r="AD10" s="535"/>
      <c r="AE10" s="538"/>
      <c r="AF10" s="533" t="s">
        <v>1540</v>
      </c>
      <c r="AG10" s="534">
        <f>sum(AG2:AG8)</f>
        <v>20</v>
      </c>
      <c r="AH10" s="535"/>
      <c r="AI10" s="538"/>
      <c r="AJ10" s="533" t="s">
        <v>1540</v>
      </c>
      <c r="AK10" s="534">
        <f>sum(AK2:AK8)</f>
        <v>20</v>
      </c>
      <c r="AL10" s="535"/>
      <c r="AM10" s="534"/>
      <c r="AN10" s="533" t="s">
        <v>1540</v>
      </c>
      <c r="AO10" s="534">
        <f>sum(AO2:AO8)</f>
        <v>20</v>
      </c>
      <c r="AP10" s="535"/>
      <c r="AQ10" s="534"/>
      <c r="AR10" s="533" t="s">
        <v>1540</v>
      </c>
      <c r="AS10" s="534">
        <f>sum(AS2:AS8)</f>
        <v>20</v>
      </c>
      <c r="AT10" s="534"/>
    </row>
    <row r="11">
      <c r="A11" s="546"/>
      <c r="B11" s="546"/>
      <c r="C11" s="548" t="str">
        <f>Filtered!I1</f>
        <v>title</v>
      </c>
      <c r="D11" s="548" t="str">
        <f>Filtered!J1</f>
        <v>Top journals in</v>
      </c>
      <c r="E11" s="541" t="s">
        <v>1094</v>
      </c>
      <c r="F11" s="537" t="s">
        <v>519</v>
      </c>
      <c r="G11" s="537" t="s">
        <v>455</v>
      </c>
      <c r="H11" s="537" t="s">
        <v>1280</v>
      </c>
      <c r="I11" s="537" t="s">
        <v>812</v>
      </c>
      <c r="J11" s="537" t="s">
        <v>770</v>
      </c>
      <c r="K11" s="537" t="s">
        <v>933</v>
      </c>
      <c r="L11" s="537" t="s">
        <v>789</v>
      </c>
      <c r="M11" s="541" t="s">
        <v>286</v>
      </c>
      <c r="N11" s="549"/>
      <c r="O11" s="537" t="s">
        <v>519</v>
      </c>
      <c r="P11" s="548"/>
      <c r="Q11" s="548"/>
      <c r="R11" s="549"/>
      <c r="S11" s="537" t="s">
        <v>455</v>
      </c>
      <c r="T11" s="548"/>
      <c r="U11" s="548"/>
      <c r="V11" s="549"/>
      <c r="W11" s="537" t="s">
        <v>1280</v>
      </c>
      <c r="X11" s="548"/>
      <c r="Y11" s="537"/>
      <c r="Z11" s="549"/>
      <c r="AA11" s="537" t="s">
        <v>812</v>
      </c>
      <c r="AB11" s="548"/>
      <c r="AC11" s="548"/>
      <c r="AD11" s="549"/>
      <c r="AE11" s="537" t="s">
        <v>770</v>
      </c>
      <c r="AF11" s="537"/>
      <c r="AG11" s="537"/>
      <c r="AH11" s="550"/>
      <c r="AI11" s="537" t="s">
        <v>933</v>
      </c>
      <c r="AJ11" s="537"/>
      <c r="AK11" s="537"/>
      <c r="AL11" s="550"/>
      <c r="AM11" s="537" t="s">
        <v>789</v>
      </c>
      <c r="AN11" s="537"/>
      <c r="AO11" s="537"/>
      <c r="AP11" s="550"/>
      <c r="AQ11" s="541" t="s">
        <v>286</v>
      </c>
      <c r="AR11" s="537"/>
      <c r="AS11" s="537"/>
      <c r="AT11" s="537"/>
    </row>
    <row r="12">
      <c r="A12" s="552"/>
      <c r="B12" s="552"/>
      <c r="C12" t="str">
        <f>Filtered!I2</f>
        <v>Academic Medicine</v>
      </c>
      <c r="D12" t="str">
        <f>Filtered!J2</f>
        <v>Social Sciences</v>
      </c>
      <c r="E12" t="str">
        <f>Filtered!AH2</f>
        <v>Unsure (prerints allowed, but unclear which version</v>
      </c>
      <c r="F12" t="b">
        <f t="shared" ref="F12:F182" si="10">if(iserror(search("bus",$D12)),FALSE,TRUE)</f>
        <v>0</v>
      </c>
      <c r="G12" t="b">
        <f t="shared" ref="G12:G182" si="11">if(iserror(search("chem",$D12)),FALSE,TRUE)</f>
        <v>0</v>
      </c>
      <c r="H12" t="b">
        <f t="shared" ref="H12:H182" si="12">if(iserror(search("computer",$D12)),FALSE,TRUE)</f>
        <v>0</v>
      </c>
      <c r="I12" t="b">
        <f t="shared" ref="I12:I182" si="13">if(iserror(search("health",$D12)),FALSE,TRUE)</f>
        <v>0</v>
      </c>
      <c r="J12" t="b">
        <f t="shared" ref="J12:J182" si="14">if(iserror(search("humanities",$D12)),FALSE,TRUE)</f>
        <v>0</v>
      </c>
      <c r="K12" t="b">
        <f t="shared" ref="K12:K182" si="15">if(iserror(search("life",$D12)),FALSE,TRUE)</f>
        <v>0</v>
      </c>
      <c r="L12" t="b">
        <f t="shared" ref="L12:L182" si="16">if(iserror(search("physics",$D12)),FALSE,TRUE)</f>
        <v>0</v>
      </c>
      <c r="M12" t="b">
        <f t="shared" ref="M12:M182" si="17">if(iserror(search("social",$D12)),FALSE,TRUE)</f>
        <v>1</v>
      </c>
      <c r="N12" s="535"/>
      <c r="O12" s="558" t="str">
        <f>IFERROR(__xludf.DUMMYFUNCTION("filter($C:$E,F:F)"),"Academy of Management Journal")</f>
        <v>Academy of Management Journal</v>
      </c>
      <c r="P12" t="str">
        <f>IFERROR(__xludf.DUMMYFUNCTION("""COMPUTED_VALUE"""),"Business, Economics &amp; Management")</f>
        <v>Business, Economics &amp; Management</v>
      </c>
      <c r="Q12" t="str">
        <f>IFERROR(__xludf.DUMMYFUNCTION("""COMPUTED_VALUE"""),"None")</f>
        <v>None</v>
      </c>
      <c r="R12" s="535"/>
      <c r="S12" s="558" t="str">
        <f>IFERROR(__xludf.DUMMYFUNCTION("filter($C:$E,G:G)"),"ACS Applied Materials &amp; Interfaces")</f>
        <v>ACS Applied Materials &amp; Interfaces</v>
      </c>
      <c r="T12" t="str">
        <f>IFERROR(__xludf.DUMMYFUNCTION("""COMPUTED_VALUE"""),"Chemical &amp; Materials Sciences, Engineering &amp; Computer Science")</f>
        <v>Chemical &amp; Materials Sciences, Engineering &amp; Computer Science</v>
      </c>
      <c r="U12" t="str">
        <f>IFERROR(__xludf.DUMMYFUNCTION("""COMPUTED_VALUE"""),"First submission only (before peer review)")</f>
        <v>First submission only (before peer review)</v>
      </c>
      <c r="V12" s="535"/>
      <c r="W12" s="558" t="str">
        <f>IFERROR(__xludf.DUMMYFUNCTION("filter($C:$E,H:H)"),"ACS Applied Materials &amp; Interfaces")</f>
        <v>ACS Applied Materials &amp; Interfaces</v>
      </c>
      <c r="X12" t="str">
        <f>IFERROR(__xludf.DUMMYFUNCTION("""COMPUTED_VALUE"""),"Chemical &amp; Materials Sciences, Engineering &amp; Computer Science")</f>
        <v>Chemical &amp; Materials Sciences, Engineering &amp; Computer Science</v>
      </c>
      <c r="Y12" t="str">
        <f>IFERROR(__xludf.DUMMYFUNCTION("""COMPUTED_VALUE"""),"First submission only (before peer review)")</f>
        <v>First submission only (before peer review)</v>
      </c>
      <c r="Z12" s="535"/>
      <c r="AA12" s="559" t="str">
        <f>IFERROR(__xludf.DUMMYFUNCTION("filter($C:$E,I:I)"),"Blood")</f>
        <v>Blood</v>
      </c>
      <c r="AB12" t="str">
        <f>IFERROR(__xludf.DUMMYFUNCTION("""COMPUTED_VALUE"""),"Health &amp; Medical Sciences")</f>
        <v>Health &amp; Medical Sciences</v>
      </c>
      <c r="AC12" t="str">
        <f>IFERROR(__xludf.DUMMYFUNCTION("""COMPUTED_VALUE"""),"First submission only (before peer review)")</f>
        <v>First submission only (before peer review)</v>
      </c>
      <c r="AD12" s="535"/>
      <c r="AE12" s="559" t="str">
        <f>IFERROR(__xludf.DUMMYFUNCTION("filter($C:$E,J:J)"),"Applied Linguistics")</f>
        <v>Applied Linguistics</v>
      </c>
      <c r="AF12" t="str">
        <f>IFERROR(__xludf.DUMMYFUNCTION("""COMPUTED_VALUE"""),"Humanities, Literature &amp; Arts")</f>
        <v>Humanities, Literature &amp; Arts</v>
      </c>
      <c r="AG12" t="str">
        <f>IFERROR(__xludf.DUMMYFUNCTION("""COMPUTED_VALUE"""),"Unsure (preprint can be posted)")</f>
        <v>Unsure (preprint can be posted)</v>
      </c>
      <c r="AH12" s="535"/>
      <c r="AI12" s="558" t="str">
        <f>IFERROR(__xludf.DUMMYFUNCTION("filter($C:$E,K:K)"),"Cell")</f>
        <v>Cell</v>
      </c>
      <c r="AJ12" t="str">
        <f>IFERROR(__xludf.DUMMYFUNCTION("""COMPUTED_VALUE"""),"Health &amp; Medical Sciences, Life Sciences &amp; Earth Sciences")</f>
        <v>Health &amp; Medical Sciences, Life Sciences &amp; Earth Sciences</v>
      </c>
      <c r="AK12" t="str">
        <f>IFERROR(__xludf.DUMMYFUNCTION("""COMPUTED_VALUE"""),"First submission only (before peer review)")</f>
        <v>First submission only (before peer review)</v>
      </c>
      <c r="AL12" s="535"/>
      <c r="AM12" t="str">
        <f>IFERROR(__xludf.DUMMYFUNCTION("filter($C:$E,L:L)"),"Astronomy &amp; Astrophysics")</f>
        <v>Astronomy &amp; Astrophysics</v>
      </c>
      <c r="AN12" t="str">
        <f>IFERROR(__xludf.DUMMYFUNCTION("""COMPUTED_VALUE"""),"Physics &amp; Mathematics")</f>
        <v>Physics &amp; Mathematics</v>
      </c>
      <c r="AO12" t="str">
        <f>IFERROR(__xludf.DUMMYFUNCTION("""COMPUTED_VALUE"""),"Unsure")</f>
        <v>Unsure</v>
      </c>
      <c r="AP12" s="535"/>
      <c r="AQ12" t="str">
        <f>IFERROR(__xludf.DUMMYFUNCTION("filter($C:$E,M:M)"),"Academic Medicine")</f>
        <v>Academic Medicine</v>
      </c>
      <c r="AR12" t="str">
        <f>IFERROR(__xludf.DUMMYFUNCTION("""COMPUTED_VALUE"""),"Social Sciences")</f>
        <v>Social Sciences</v>
      </c>
      <c r="AS12" t="str">
        <f>IFERROR(__xludf.DUMMYFUNCTION("""COMPUTED_VALUE"""),"Unsure (prerints allowed, but unclear which version")</f>
        <v>Unsure (prerints allowed, but unclear which version</v>
      </c>
    </row>
    <row r="13">
      <c r="A13" s="552"/>
      <c r="B13" s="552"/>
      <c r="C13" t="str">
        <f>Filtered!I3</f>
        <v>ACS Applied Materials &amp; Interfaces</v>
      </c>
      <c r="D13" t="str">
        <f>Filtered!J3</f>
        <v>Chemical &amp; Materials Sciences, Engineering &amp; Computer Science</v>
      </c>
      <c r="E13" t="str">
        <f>Filtered!AH3</f>
        <v>First submission only (before peer review)</v>
      </c>
      <c r="F13" t="b">
        <f t="shared" si="10"/>
        <v>0</v>
      </c>
      <c r="G13" t="b">
        <f t="shared" si="11"/>
        <v>1</v>
      </c>
      <c r="H13" t="b">
        <f t="shared" si="12"/>
        <v>1</v>
      </c>
      <c r="I13" t="b">
        <f t="shared" si="13"/>
        <v>0</v>
      </c>
      <c r="J13" t="b">
        <f t="shared" si="14"/>
        <v>0</v>
      </c>
      <c r="K13" t="b">
        <f t="shared" si="15"/>
        <v>0</v>
      </c>
      <c r="L13" t="b">
        <f t="shared" si="16"/>
        <v>0</v>
      </c>
      <c r="M13" t="b">
        <f t="shared" si="17"/>
        <v>0</v>
      </c>
      <c r="N13" s="535"/>
      <c r="O13" s="558" t="str">
        <f>IFERROR(__xludf.DUMMYFUNCTION("""COMPUTED_VALUE"""),"American Economic Review")</f>
        <v>American Economic Review</v>
      </c>
      <c r="P13" t="str">
        <f>IFERROR(__xludf.DUMMYFUNCTION("""COMPUTED_VALUE"""),"Business, Economics &amp; Management")</f>
        <v>Business, Economics &amp; Management</v>
      </c>
      <c r="Q13" t="str">
        <f>IFERROR(__xludf.DUMMYFUNCTION("""COMPUTED_VALUE"""),"Unsure (preprints are allowed, but it's not clear what version)")</f>
        <v>Unsure (preprints are allowed, but it's not clear what version)</v>
      </c>
      <c r="R13" s="535"/>
      <c r="S13" s="558" t="str">
        <f>IFERROR(__xludf.DUMMYFUNCTION("""COMPUTED_VALUE"""),"Accounts of Chemical Research")</f>
        <v>Accounts of Chemical Research</v>
      </c>
      <c r="T13" t="str">
        <f>IFERROR(__xludf.DUMMYFUNCTION("""COMPUTED_VALUE"""),"Chemical &amp; Materials Sciences")</f>
        <v>Chemical &amp; Materials Sciences</v>
      </c>
      <c r="U13" t="str">
        <f>IFERROR(__xludf.DUMMYFUNCTION("""COMPUTED_VALUE"""),"None (preprints not allowed)")</f>
        <v>None (preprints not allowed)</v>
      </c>
      <c r="V13" s="535"/>
      <c r="W13" s="558" t="str">
        <f>IFERROR(__xludf.DUMMYFUNCTION("""COMPUTED_VALUE"""),"ACS Nano")</f>
        <v>ACS Nano</v>
      </c>
      <c r="X13" t="str">
        <f>IFERROR(__xludf.DUMMYFUNCTION("""COMPUTED_VALUE"""),"Chemical &amp; Materials Sciences, Engineering &amp; Computer Science")</f>
        <v>Chemical &amp; Materials Sciences, Engineering &amp; Computer Science</v>
      </c>
      <c r="Y13" t="str">
        <f>IFERROR(__xludf.DUMMYFUNCTION("""COMPUTED_VALUE"""),"First submission only (before peer review)")</f>
        <v>First submission only (before peer review)</v>
      </c>
      <c r="Z13" s="535"/>
      <c r="AA13" s="558" t="str">
        <f>IFERROR(__xludf.DUMMYFUNCTION("""COMPUTED_VALUE"""),"BMJ")</f>
        <v>BMJ</v>
      </c>
      <c r="AB13" t="str">
        <f>IFERROR(__xludf.DUMMYFUNCTION("""COMPUTED_VALUE"""),"Health &amp; Medical Sciences")</f>
        <v>Health &amp; Medical Sciences</v>
      </c>
      <c r="AC13" t="str">
        <f>IFERROR(__xludf.DUMMYFUNCTION("""COMPUTED_VALUE"""),"Any")</f>
        <v>Any</v>
      </c>
      <c r="AD13" s="535"/>
      <c r="AE13" s="558" t="str">
        <f>IFERROR(__xludf.DUMMYFUNCTION("""COMPUTED_VALUE"""),"Digital Journalism")</f>
        <v>Digital Journalism</v>
      </c>
      <c r="AF13" t="str">
        <f>IFERROR(__xludf.DUMMYFUNCTION("""COMPUTED_VALUE"""),"Humanities, Literature &amp; Arts")</f>
        <v>Humanities, Literature &amp; Arts</v>
      </c>
      <c r="AG13" t="str">
        <f>IFERROR(__xludf.DUMMYFUNCTION("""COMPUTED_VALUE"""),"No preprint policy")</f>
        <v>No preprint policy</v>
      </c>
      <c r="AH13" s="535"/>
      <c r="AI13" s="558" t="str">
        <f>IFERROR(__xludf.DUMMYFUNCTION("""COMPUTED_VALUE"""),"Cell Metabolism")</f>
        <v>Cell Metabolism</v>
      </c>
      <c r="AJ13" t="str">
        <f>IFERROR(__xludf.DUMMYFUNCTION("""COMPUTED_VALUE"""),"Life Sciences &amp; Earth Sciences")</f>
        <v>Life Sciences &amp; Earth Sciences</v>
      </c>
      <c r="AK13" t="str">
        <f>IFERROR(__xludf.DUMMYFUNCTION("""COMPUTED_VALUE"""),"First submission only (before peer review)")</f>
        <v>First submission only (before peer review)</v>
      </c>
      <c r="AL13" s="535"/>
      <c r="AM13" t="str">
        <f>IFERROR(__xludf.DUMMYFUNCTION("""COMPUTED_VALUE"""),"Geophysical Research Letters")</f>
        <v>Geophysical Research Letters</v>
      </c>
      <c r="AN13" t="str">
        <f>IFERROR(__xludf.DUMMYFUNCTION("""COMPUTED_VALUE"""),"Physics &amp; Mathematics")</f>
        <v>Physics &amp; Mathematics</v>
      </c>
      <c r="AO13" t="str">
        <f>IFERROR(__xludf.DUMMYFUNCTION("""COMPUTED_VALUE"""),"After peer review (but not final, copyedited version)")</f>
        <v>After peer review (but not final, copyedited version)</v>
      </c>
      <c r="AP13" s="535"/>
      <c r="AQ13" t="str">
        <f>IFERROR(__xludf.DUMMYFUNCTION("""COMPUTED_VALUE"""),"American Journal of Political Science")</f>
        <v>American Journal of Political Science</v>
      </c>
      <c r="AR13" t="str">
        <f>IFERROR(__xludf.DUMMYFUNCTION("""COMPUTED_VALUE"""),"Social Sciences")</f>
        <v>Social Sciences</v>
      </c>
      <c r="AS13" t="str">
        <f>IFERROR(__xludf.DUMMYFUNCTION("""COMPUTED_VALUE"""),"After peer review (but not final, copyedited version)")</f>
        <v>After peer review (but not final, copyedited version)</v>
      </c>
    </row>
    <row r="14">
      <c r="A14" s="552"/>
      <c r="B14" s="552"/>
      <c r="C14" t="str">
        <f>Filtered!I4</f>
        <v>Accounts of Chemical Research</v>
      </c>
      <c r="D14" t="str">
        <f>Filtered!J4</f>
        <v>Chemical &amp; Materials Sciences</v>
      </c>
      <c r="E14" t="str">
        <f>Filtered!AH4</f>
        <v>None (preprints not allowed)</v>
      </c>
      <c r="F14" t="b">
        <f t="shared" si="10"/>
        <v>0</v>
      </c>
      <c r="G14" t="b">
        <f t="shared" si="11"/>
        <v>1</v>
      </c>
      <c r="H14" t="b">
        <f t="shared" si="12"/>
        <v>0</v>
      </c>
      <c r="I14" t="b">
        <f t="shared" si="13"/>
        <v>0</v>
      </c>
      <c r="J14" t="b">
        <f t="shared" si="14"/>
        <v>0</v>
      </c>
      <c r="K14" t="b">
        <f t="shared" si="15"/>
        <v>0</v>
      </c>
      <c r="L14" t="b">
        <f t="shared" si="16"/>
        <v>0</v>
      </c>
      <c r="M14" t="b">
        <f t="shared" si="17"/>
        <v>0</v>
      </c>
      <c r="N14" s="535"/>
      <c r="O14" s="558" t="str">
        <f>IFERROR(__xludf.DUMMYFUNCTION("""COMPUTED_VALUE"""),"Econometrica")</f>
        <v>Econometrica</v>
      </c>
      <c r="P14" t="str">
        <f>IFERROR(__xludf.DUMMYFUNCTION("""COMPUTED_VALUE"""),"Business, Economics &amp; Management")</f>
        <v>Business, Economics &amp; Management</v>
      </c>
      <c r="Q14" t="str">
        <f>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R14" s="535"/>
      <c r="S14" s="558" t="str">
        <f>IFERROR(__xludf.DUMMYFUNCTION("""COMPUTED_VALUE"""),"ACS Nano")</f>
        <v>ACS Nano</v>
      </c>
      <c r="T14" t="str">
        <f>IFERROR(__xludf.DUMMYFUNCTION("""COMPUTED_VALUE"""),"Chemical &amp; Materials Sciences, Engineering &amp; Computer Science")</f>
        <v>Chemical &amp; Materials Sciences, Engineering &amp; Computer Science</v>
      </c>
      <c r="U14" t="str">
        <f>IFERROR(__xludf.DUMMYFUNCTION("""COMPUTED_VALUE"""),"First submission only (before peer review)")</f>
        <v>First submission only (before peer review)</v>
      </c>
      <c r="V14" s="535"/>
      <c r="W14" s="558" t="str">
        <f>IFERROR(__xludf.DUMMYFUNCTION("""COMPUTED_VALUE"""),"Advanced Energy Materials")</f>
        <v>Advanced Energy Materials</v>
      </c>
      <c r="X14" t="str">
        <f>IFERROR(__xludf.DUMMYFUNCTION("""COMPUTED_VALUE"""),"Chemical &amp; Materials Sciences, Engineering &amp; Computer Science")</f>
        <v>Chemical &amp; Materials Sciences, Engineering &amp; Computer Science</v>
      </c>
      <c r="Y14" t="str">
        <f>IFERROR(__xludf.DUMMYFUNCTION("""COMPUTED_VALUE"""),"None (preprints not allowed)")</f>
        <v>None (preprints not allowed)</v>
      </c>
      <c r="Z14" s="535"/>
      <c r="AA14" s="558" t="str">
        <f>IFERROR(__xludf.DUMMYFUNCTION("""COMPUTED_VALUE"""),"Cell")</f>
        <v>Cell</v>
      </c>
      <c r="AB14" t="str">
        <f>IFERROR(__xludf.DUMMYFUNCTION("""COMPUTED_VALUE"""),"Health &amp; Medical Sciences, Life Sciences &amp; Earth Sciences")</f>
        <v>Health &amp; Medical Sciences, Life Sciences &amp; Earth Sciences</v>
      </c>
      <c r="AC14" t="str">
        <f>IFERROR(__xludf.DUMMYFUNCTION("""COMPUTED_VALUE"""),"First submission only (before peer review)")</f>
        <v>First submission only (before peer review)</v>
      </c>
      <c r="AD14" s="535"/>
      <c r="AE14" s="558" t="str">
        <f>IFERROR(__xludf.DUMMYFUNCTION("""COMPUTED_VALUE"""),"Gender &amp; Society")</f>
        <v>Gender &amp; Society</v>
      </c>
      <c r="AF14" t="str">
        <f>IFERROR(__xludf.DUMMYFUNCTION("""COMPUTED_VALUE"""),"Humanities, Literature &amp; Arts")</f>
        <v>Humanities, Literature &amp; Arts</v>
      </c>
      <c r="AG14" t="str">
        <f>IFERROR(__xludf.DUMMYFUNCTION("""COMPUTED_VALUE"""),"After peer review (but not final, copyedited version)")</f>
        <v>After peer review (but not final, copyedited version)</v>
      </c>
      <c r="AH14" s="535"/>
      <c r="AI14" s="558" t="str">
        <f>IFERROR(__xludf.DUMMYFUNCTION("""COMPUTED_VALUE"""),"Cell Stem Cell")</f>
        <v>Cell Stem Cell</v>
      </c>
      <c r="AJ14" t="str">
        <f>IFERROR(__xludf.DUMMYFUNCTION("""COMPUTED_VALUE"""),"Life Sciences &amp; Earth Sciences")</f>
        <v>Life Sciences &amp; Earth Sciences</v>
      </c>
      <c r="AK14" t="str">
        <f>IFERROR(__xludf.DUMMYFUNCTION("""COMPUTED_VALUE"""),"First submission only (before peer review)")</f>
        <v>First submission only (before peer review)</v>
      </c>
      <c r="AL14" s="535"/>
      <c r="AM14" t="str">
        <f>IFERROR(__xludf.DUMMYFUNCTION("""COMPUTED_VALUE"""),"IEEE Transactions on Automatic Control")</f>
        <v>IEEE Transactions on Automatic Control</v>
      </c>
      <c r="AN14" t="str">
        <f>IFERROR(__xludf.DUMMYFUNCTION("""COMPUTED_VALUE"""),"Physics &amp; Mathematics")</f>
        <v>Physics &amp; Mathematics</v>
      </c>
      <c r="AO14" t="str">
        <f>IFERROR(__xludf.DUMMYFUNCTION("""COMPUTED_VALUE"""),"First submission only (before peer review)")</f>
        <v>First submission only (before peer review)</v>
      </c>
      <c r="AP14" s="535"/>
      <c r="AQ14" t="str">
        <f>IFERROR(__xludf.DUMMYFUNCTION("""COMPUTED_VALUE"""),"American Journal of Public Health")</f>
        <v>American Journal of Public Health</v>
      </c>
      <c r="AR14" t="str">
        <f>IFERROR(__xludf.DUMMYFUNCTION("""COMPUTED_VALUE"""),"Social Sciences")</f>
        <v>Social Sciences</v>
      </c>
      <c r="AS14" t="str">
        <f>IFERROR(__xludf.DUMMYFUNCTION("""COMPUTED_VALUE"""),"No preprint policy")</f>
        <v>No preprint policy</v>
      </c>
    </row>
    <row r="15">
      <c r="A15" s="552"/>
      <c r="B15" s="552"/>
      <c r="C15" t="str">
        <f>Filtered!I5</f>
        <v>ACS Catalysis</v>
      </c>
      <c r="D15" t="str">
        <f>Filtered!J5</f>
        <v/>
      </c>
      <c r="E15" t="str">
        <f>Filtered!AH5</f>
        <v> First submission only (before peer review)</v>
      </c>
      <c r="F15" t="b">
        <f t="shared" si="10"/>
        <v>0</v>
      </c>
      <c r="G15" t="b">
        <f t="shared" si="11"/>
        <v>0</v>
      </c>
      <c r="H15" t="b">
        <f t="shared" si="12"/>
        <v>0</v>
      </c>
      <c r="I15" t="b">
        <f t="shared" si="13"/>
        <v>0</v>
      </c>
      <c r="J15" t="b">
        <f t="shared" si="14"/>
        <v>0</v>
      </c>
      <c r="K15" t="b">
        <f t="shared" si="15"/>
        <v>0</v>
      </c>
      <c r="L15" t="b">
        <f t="shared" si="16"/>
        <v>0</v>
      </c>
      <c r="M15" t="b">
        <f t="shared" si="17"/>
        <v>0</v>
      </c>
      <c r="N15" s="535"/>
      <c r="O15" s="558" t="str">
        <f>IFERROR(__xludf.DUMMYFUNCTION("""COMPUTED_VALUE"""),"International Journal of Production Economics")</f>
        <v>International Journal of Production Economics</v>
      </c>
      <c r="P15" t="str">
        <f>IFERROR(__xludf.DUMMYFUNCTION("""COMPUTED_VALUE"""),"Business, Economics &amp; Management")</f>
        <v>Business, Economics &amp; Management</v>
      </c>
      <c r="Q15" t="str">
        <f>IFERROR(__xludf.DUMMYFUNCTION("""COMPUTED_VALUE"""),"Unsure (preprints are allowed, but it's not clear what version)")</f>
        <v>Unsure (preprints are allowed, but it's not clear what version)</v>
      </c>
      <c r="R15" s="535"/>
      <c r="S15" s="558" t="str">
        <f>IFERROR(__xludf.DUMMYFUNCTION("""COMPUTED_VALUE"""),"Advanced Energy Materials")</f>
        <v>Advanced Energy Materials</v>
      </c>
      <c r="T15" t="str">
        <f>IFERROR(__xludf.DUMMYFUNCTION("""COMPUTED_VALUE"""),"Chemical &amp; Materials Sciences, Engineering &amp; Computer Science")</f>
        <v>Chemical &amp; Materials Sciences, Engineering &amp; Computer Science</v>
      </c>
      <c r="U15" t="str">
        <f>IFERROR(__xludf.DUMMYFUNCTION("""COMPUTED_VALUE"""),"None (preprints not allowed)")</f>
        <v>None (preprints not allowed)</v>
      </c>
      <c r="V15" s="535"/>
      <c r="W15" s="558" t="str">
        <f>IFERROR(__xludf.DUMMYFUNCTION("""COMPUTED_VALUE"""),"Advanced Functional Materials")</f>
        <v>Advanced Functional Materials</v>
      </c>
      <c r="X15" t="str">
        <f>IFERROR(__xludf.DUMMYFUNCTION("""COMPUTED_VALUE"""),"Chemical &amp; Materials Sciences, Engineering &amp; Computer Science")</f>
        <v>Chemical &amp; Materials Sciences, Engineering &amp; Computer Science</v>
      </c>
      <c r="Y15" t="str">
        <f>IFERROR(__xludf.DUMMYFUNCTION("""COMPUTED_VALUE"""),"None (preprints not allowed)")</f>
        <v>None (preprints not allowed)</v>
      </c>
      <c r="Z15" s="535"/>
      <c r="AA15" s="558" t="str">
        <f>IFERROR(__xludf.DUMMYFUNCTION("""COMPUTED_VALUE"""),"Circulation")</f>
        <v>Circulation</v>
      </c>
      <c r="AB15" t="str">
        <f>IFERROR(__xludf.DUMMYFUNCTION("""COMPUTED_VALUE"""),"Health &amp; Medical Sciences")</f>
        <v>Health &amp; Medical Sciences</v>
      </c>
      <c r="AC15" t="str">
        <f>IFERROR(__xludf.DUMMYFUNCTION("""COMPUTED_VALUE"""),"First submission only (before peer review)")</f>
        <v>First submission only (before peer review)</v>
      </c>
      <c r="AD15" s="535"/>
      <c r="AE15" s="558" t="str">
        <f>IFERROR(__xludf.DUMMYFUNCTION("""COMPUTED_VALUE"""),"International Journal of Communication")</f>
        <v>International Journal of Communication</v>
      </c>
      <c r="AF15" t="str">
        <f>IFERROR(__xludf.DUMMYFUNCTION("""COMPUTED_VALUE"""),"Humanities, Literature &amp; Arts")</f>
        <v>Humanities, Literature &amp; Arts</v>
      </c>
      <c r="AG15" t="str">
        <f>IFERROR(__xludf.DUMMYFUNCTION("""COMPUTED_VALUE"""),"No preprint policy")</f>
        <v>No preprint policy</v>
      </c>
      <c r="AH15" s="535"/>
      <c r="AI15" s="558" t="str">
        <f>IFERROR(__xludf.DUMMYFUNCTION("""COMPUTED_VALUE"""),"Environmental Science &amp; Technology")</f>
        <v>Environmental Science &amp; Technology</v>
      </c>
      <c r="AJ15" t="str">
        <f>IFERROR(__xludf.DUMMYFUNCTION("""COMPUTED_VALUE"""),"Life Sciences &amp; Earth Sciences")</f>
        <v>Life Sciences &amp; Earth Sciences</v>
      </c>
      <c r="AK15" t="str">
        <f>IFERROR(__xludf.DUMMYFUNCTION("""COMPUTED_VALUE"""),"Unsure (preprints are allowed, but it's not clear what version)")</f>
        <v>Unsure (preprints are allowed, but it's not clear what version)</v>
      </c>
      <c r="AL15" s="535"/>
      <c r="AM15" t="str">
        <f>IFERROR(__xludf.DUMMYFUNCTION("""COMPUTED_VALUE"""),"IEEE Transactions on Signal Processing")</f>
        <v>IEEE Transactions on Signal Processing</v>
      </c>
      <c r="AN15" t="str">
        <f>IFERROR(__xludf.DUMMYFUNCTION("""COMPUTED_VALUE"""),"Physics &amp; Mathematics")</f>
        <v>Physics &amp; Mathematics</v>
      </c>
      <c r="AO15" t="str">
        <f>IFERROR(__xludf.DUMMYFUNCTION("""COMPUTED_VALUE"""),"First submission only (before peer review)")</f>
        <v>First submission only (before peer review)</v>
      </c>
      <c r="AP15" s="535"/>
      <c r="AQ15" t="str">
        <f>IFERROR(__xludf.DUMMYFUNCTION("""COMPUTED_VALUE"""),"American Political Science Review")</f>
        <v>American Political Science Review</v>
      </c>
      <c r="AR15" t="str">
        <f>IFERROR(__xludf.DUMMYFUNCTION("""COMPUTED_VALUE"""),"Social Sciences")</f>
        <v>Social Sciences</v>
      </c>
      <c r="AS15" t="str">
        <f>IFERROR(__xludf.DUMMYFUNCTION("""COMPUTED_VALUE"""),"Unsure")</f>
        <v>Unsure</v>
      </c>
    </row>
    <row r="16">
      <c r="A16" s="552"/>
      <c r="B16" s="552"/>
      <c r="C16" t="str">
        <f>Filtered!I6</f>
        <v>Academy of Management Journal</v>
      </c>
      <c r="D16" t="str">
        <f>Filtered!J6</f>
        <v>Business, Economics &amp; Management</v>
      </c>
      <c r="E16" t="str">
        <f>Filtered!AH6</f>
        <v>None</v>
      </c>
      <c r="F16" t="b">
        <f t="shared" si="10"/>
        <v>1</v>
      </c>
      <c r="G16" t="b">
        <f t="shared" si="11"/>
        <v>0</v>
      </c>
      <c r="H16" t="b">
        <f t="shared" si="12"/>
        <v>0</v>
      </c>
      <c r="I16" t="b">
        <f t="shared" si="13"/>
        <v>0</v>
      </c>
      <c r="J16" t="b">
        <f t="shared" si="14"/>
        <v>0</v>
      </c>
      <c r="K16" t="b">
        <f t="shared" si="15"/>
        <v>0</v>
      </c>
      <c r="L16" t="b">
        <f t="shared" si="16"/>
        <v>0</v>
      </c>
      <c r="M16" t="b">
        <f t="shared" si="17"/>
        <v>0</v>
      </c>
      <c r="N16" s="535"/>
      <c r="O16" s="558" t="str">
        <f>IFERROR(__xludf.DUMMYFUNCTION("""COMPUTED_VALUE"""),"Journal of Banking &amp; Finance")</f>
        <v>Journal of Banking &amp; Finance</v>
      </c>
      <c r="P16" t="str">
        <f>IFERROR(__xludf.DUMMYFUNCTION("""COMPUTED_VALUE"""),"Business, Economics &amp; Management")</f>
        <v>Business, Economics &amp; Management</v>
      </c>
      <c r="Q16" t="str">
        <f>IFERROR(__xludf.DUMMYFUNCTION("""COMPUTED_VALUE"""),"No preprint policy")</f>
        <v>No preprint policy</v>
      </c>
      <c r="R16" s="535"/>
      <c r="S16" s="558" t="str">
        <f>IFERROR(__xludf.DUMMYFUNCTION("""COMPUTED_VALUE"""),"Advanced Functional Materials")</f>
        <v>Advanced Functional Materials</v>
      </c>
      <c r="T16" t="str">
        <f>IFERROR(__xludf.DUMMYFUNCTION("""COMPUTED_VALUE"""),"Chemical &amp; Materials Sciences, Engineering &amp; Computer Science")</f>
        <v>Chemical &amp; Materials Sciences, Engineering &amp; Computer Science</v>
      </c>
      <c r="U16" t="str">
        <f>IFERROR(__xludf.DUMMYFUNCTION("""COMPUTED_VALUE"""),"None (preprints not allowed)")</f>
        <v>None (preprints not allowed)</v>
      </c>
      <c r="V16" s="535"/>
      <c r="W16" s="558" t="str">
        <f>IFERROR(__xludf.DUMMYFUNCTION("""COMPUTED_VALUE"""),"Advanced Materials")</f>
        <v>Advanced Materials</v>
      </c>
      <c r="X16" t="str">
        <f>IFERROR(__xludf.DUMMYFUNCTION("""COMPUTED_VALUE"""),"Chemical &amp; Materials Sciences, Engineering &amp; Computer Science")</f>
        <v>Chemical &amp; Materials Sciences, Engineering &amp; Computer Science</v>
      </c>
      <c r="Y16" t="str">
        <f>IFERROR(__xludf.DUMMYFUNCTION("""COMPUTED_VALUE"""),"None (preprints not allowed(")</f>
        <v>None (preprints not allowed(</v>
      </c>
      <c r="Z16" s="535"/>
      <c r="AA16" s="558" t="str">
        <f>IFERROR(__xludf.DUMMYFUNCTION("""COMPUTED_VALUE"""),"European Heart Journal")</f>
        <v>European Heart Journal</v>
      </c>
      <c r="AB16" t="str">
        <f>IFERROR(__xludf.DUMMYFUNCTION("""COMPUTED_VALUE"""),"Health &amp; Medical Sciences")</f>
        <v>Health &amp; Medical Sciences</v>
      </c>
      <c r="AC16" t="str">
        <f>IFERROR(__xludf.DUMMYFUNCTION("""COMPUTED_VALUE"""),"First submission only (before peer review)")</f>
        <v>First submission only (before peer review)</v>
      </c>
      <c r="AD16" s="535"/>
      <c r="AE16" s="558" t="str">
        <f>IFERROR(__xludf.DUMMYFUNCTION("""COMPUTED_VALUE"""),"Journal of Communication")</f>
        <v>Journal of Communication</v>
      </c>
      <c r="AF16" t="str">
        <f>IFERROR(__xludf.DUMMYFUNCTION("""COMPUTED_VALUE"""),"Humanities, Literature &amp; Arts")</f>
        <v>Humanities, Literature &amp; Arts</v>
      </c>
      <c r="AG16" t="str">
        <f>IFERROR(__xludf.DUMMYFUNCTION("""COMPUTED_VALUE"""),"First submission only (before peer review)")</f>
        <v>First submission only (before peer review)</v>
      </c>
      <c r="AH16" s="535"/>
      <c r="AI16" s="558" t="str">
        <f>IFERROR(__xludf.DUMMYFUNCTION("""COMPUTED_VALUE"""),"Molecular Cell")</f>
        <v>Molecular Cell</v>
      </c>
      <c r="AJ16" t="str">
        <f>IFERROR(__xludf.DUMMYFUNCTION("""COMPUTED_VALUE"""),"Life Sciences &amp; Earth Sciences")</f>
        <v>Life Sciences &amp; Earth Sciences</v>
      </c>
      <c r="AK16" t="str">
        <f>IFERROR(__xludf.DUMMYFUNCTION("""COMPUTED_VALUE"""),"First submission only (before peer review)")</f>
        <v>First submission only (before peer review)</v>
      </c>
      <c r="AL16" s="535"/>
      <c r="AM16" t="str">
        <f>IFERROR(__xludf.DUMMYFUNCTION("""COMPUTED_VALUE"""),"Journal of Cosmology and Astroparticle Physics")</f>
        <v>Journal of Cosmology and Astroparticle Physics</v>
      </c>
      <c r="AN16" t="str">
        <f>IFERROR(__xludf.DUMMYFUNCTION("""COMPUTED_VALUE"""),"Physics &amp; Mathematics")</f>
        <v>Physics &amp; Mathematics</v>
      </c>
      <c r="AO16" t="str">
        <f>IFERROR(__xludf.DUMMYFUNCTION("""COMPUTED_VALUE"""),"Any")</f>
        <v>Any</v>
      </c>
      <c r="AP16" s="535"/>
      <c r="AQ16" t="str">
        <f>IFERROR(__xludf.DUMMYFUNCTION("""COMPUTED_VALUE"""),"American Sociological Review")</f>
        <v>American Sociological Review</v>
      </c>
      <c r="AR16" t="str">
        <f>IFERROR(__xludf.DUMMYFUNCTION("""COMPUTED_VALUE"""),"Social Sciences")</f>
        <v>Social Sciences</v>
      </c>
      <c r="AS16" t="str">
        <f>IFERROR(__xludf.DUMMYFUNCTION("""COMPUTED_VALUE"""),"First submission only (before peer review)")</f>
        <v>First submission only (before peer review)</v>
      </c>
    </row>
    <row r="17">
      <c r="A17" s="552"/>
      <c r="B17" s="552"/>
      <c r="C17" t="str">
        <f>Filtered!I7</f>
        <v>ACS Nano</v>
      </c>
      <c r="D17" t="str">
        <f>Filtered!J7</f>
        <v>Chemical &amp; Materials Sciences, Engineering &amp; Computer Science</v>
      </c>
      <c r="E17" t="str">
        <f>Filtered!AH7</f>
        <v>First submission only (before peer review)</v>
      </c>
      <c r="F17" t="b">
        <f t="shared" si="10"/>
        <v>0</v>
      </c>
      <c r="G17" t="b">
        <f t="shared" si="11"/>
        <v>1</v>
      </c>
      <c r="H17" t="b">
        <f t="shared" si="12"/>
        <v>1</v>
      </c>
      <c r="I17" t="b">
        <f t="shared" si="13"/>
        <v>0</v>
      </c>
      <c r="J17" t="b">
        <f t="shared" si="14"/>
        <v>0</v>
      </c>
      <c r="K17" t="b">
        <f t="shared" si="15"/>
        <v>0</v>
      </c>
      <c r="L17" t="b">
        <f t="shared" si="16"/>
        <v>0</v>
      </c>
      <c r="M17" t="b">
        <f t="shared" si="17"/>
        <v>0</v>
      </c>
      <c r="N17" s="535"/>
      <c r="O17" s="558" t="str">
        <f>IFERROR(__xludf.DUMMYFUNCTION("""COMPUTED_VALUE"""),"Journal of Business Ethics")</f>
        <v>Journal of Business Ethics</v>
      </c>
      <c r="P17" t="str">
        <f>IFERROR(__xludf.DUMMYFUNCTION("""COMPUTED_VALUE"""),"Business, Economics &amp; Management,
Social Sciences")</f>
        <v>Business, Economics &amp; Management,
Social Sciences</v>
      </c>
      <c r="Q17" t="str">
        <f>IFERROR(__xludf.DUMMYFUNCTION("""COMPUTED_VALUE"""),"No preprint policy")</f>
        <v>No preprint policy</v>
      </c>
      <c r="R17" s="535"/>
      <c r="S17" s="558" t="str">
        <f>IFERROR(__xludf.DUMMYFUNCTION("""COMPUTED_VALUE"""),"Advanced Materials")</f>
        <v>Advanced Materials</v>
      </c>
      <c r="T17" t="str">
        <f>IFERROR(__xludf.DUMMYFUNCTION("""COMPUTED_VALUE"""),"Chemical &amp; Materials Sciences, Engineering &amp; Computer Science")</f>
        <v>Chemical &amp; Materials Sciences, Engineering &amp; Computer Science</v>
      </c>
      <c r="U17" t="str">
        <f>IFERROR(__xludf.DUMMYFUNCTION("""COMPUTED_VALUE"""),"None (preprints not allowed(")</f>
        <v>None (preprints not allowed(</v>
      </c>
      <c r="V17" s="535"/>
      <c r="W17" s="558" t="str">
        <f>IFERROR(__xludf.DUMMYFUNCTION("""COMPUTED_VALUE"""),"Chemistry of Materials")</f>
        <v>Chemistry of Materials</v>
      </c>
      <c r="X17" t="str">
        <f>IFERROR(__xludf.DUMMYFUNCTION("""COMPUTED_VALUE"""),"Chemical &amp; Materials Sciences,
Engineering &amp; Computer Science")</f>
        <v>Chemical &amp; Materials Sciences,
Engineering &amp; Computer Science</v>
      </c>
      <c r="Y17" t="str">
        <f>IFERROR(__xludf.DUMMYFUNCTION("""COMPUTED_VALUE"""),"First submission only (before peer review)")</f>
        <v>First submission only (before peer review)</v>
      </c>
      <c r="Z17" s="535"/>
      <c r="AA17" s="558" t="str">
        <f>IFERROR(__xludf.DUMMYFUNCTION("""COMPUTED_VALUE"""),"Gastroenterology")</f>
        <v>Gastroenterology</v>
      </c>
      <c r="AB17" t="str">
        <f>IFERROR(__xludf.DUMMYFUNCTION("""COMPUTED_VALUE"""),"Health &amp; Medical Sciences")</f>
        <v>Health &amp; Medical Sciences</v>
      </c>
      <c r="AC17" t="str">
        <f>IFERROR(__xludf.DUMMYFUNCTION("""COMPUTED_VALUE"""),"No preprint policy")</f>
        <v>No preprint policy</v>
      </c>
      <c r="AD17" s="535"/>
      <c r="AE17" s="558" t="str">
        <f>IFERROR(__xludf.DUMMYFUNCTION("""COMPUTED_VALUE"""),"Journal of Pragmatics")</f>
        <v>Journal of Pragmatics</v>
      </c>
      <c r="AF17" t="str">
        <f>IFERROR(__xludf.DUMMYFUNCTION("""COMPUTED_VALUE"""),"Humanities, Literature &amp; Arts")</f>
        <v>Humanities, Literature &amp; Arts</v>
      </c>
      <c r="AG17" t="str">
        <f>IFERROR(__xludf.DUMMYFUNCTION("""COMPUTED_VALUE"""),"After peer review (but not final, copyedited version)")</f>
        <v>After peer review (but not final, copyedited version)</v>
      </c>
      <c r="AH17" s="535"/>
      <c r="AI17" s="558" t="str">
        <f>IFERROR(__xludf.DUMMYFUNCTION("""COMPUTED_VALUE"""),"Nature")</f>
        <v>Nature</v>
      </c>
      <c r="AJ17" t="str">
        <f>IFERROR(__xludf.DUMMYFUNCTION("""COMPUTED_VALUE"""),"Life Sciences &amp; Earth Sciences")</f>
        <v>Life Sciences &amp; Earth Sciences</v>
      </c>
      <c r="AK17" t="str">
        <f>IFERROR(__xludf.DUMMYFUNCTION("""COMPUTED_VALUE"""),"First submission only (before peer review)")</f>
        <v>First submission only (before peer review)</v>
      </c>
      <c r="AL17" s="535"/>
      <c r="AM17" t="str">
        <f>IFERROR(__xludf.DUMMYFUNCTION("""COMPUTED_VALUE"""),"Journal of Geophysical Research")</f>
        <v>Journal of Geophysical Research</v>
      </c>
      <c r="AN17" t="str">
        <f>IFERROR(__xludf.DUMMYFUNCTION("""COMPUTED_VALUE"""),"Physics &amp; Mathematics")</f>
        <v>Physics &amp; Mathematics</v>
      </c>
      <c r="AO17" t="str">
        <f>IFERROR(__xludf.DUMMYFUNCTION("""COMPUTED_VALUE"""),"After peer review (but not final, copyedited version)")</f>
        <v>After peer review (but not final, copyedited version)</v>
      </c>
      <c r="AP17" s="535"/>
      <c r="AQ17" t="str">
        <f>IFERROR(__xludf.DUMMYFUNCTION("""COMPUTED_VALUE"""),"Annals of Tourism Research")</f>
        <v>Annals of Tourism Research</v>
      </c>
      <c r="AR17" t="str">
        <f>IFERROR(__xludf.DUMMYFUNCTION("""COMPUTED_VALUE"""),"Social Sciences")</f>
        <v>Social Sciences</v>
      </c>
      <c r="AS17" t="str">
        <f>IFERROR(__xludf.DUMMYFUNCTION("""COMPUTED_VALUE"""),"Any")</f>
        <v>Any</v>
      </c>
    </row>
    <row r="18">
      <c r="A18" s="552"/>
      <c r="B18" s="552"/>
      <c r="C18" t="str">
        <f>Filtered!I8</f>
        <v>Advanced Energy Materials</v>
      </c>
      <c r="D18" t="str">
        <f>Filtered!J8</f>
        <v>Chemical &amp; Materials Sciences, Engineering &amp; Computer Science</v>
      </c>
      <c r="E18" t="str">
        <f>Filtered!AH8</f>
        <v>None (preprints not allowed)</v>
      </c>
      <c r="F18" t="b">
        <f t="shared" si="10"/>
        <v>0</v>
      </c>
      <c r="G18" t="b">
        <f t="shared" si="11"/>
        <v>1</v>
      </c>
      <c r="H18" t="b">
        <f t="shared" si="12"/>
        <v>1</v>
      </c>
      <c r="I18" t="b">
        <f t="shared" si="13"/>
        <v>0</v>
      </c>
      <c r="J18" t="b">
        <f t="shared" si="14"/>
        <v>0</v>
      </c>
      <c r="K18" t="b">
        <f t="shared" si="15"/>
        <v>0</v>
      </c>
      <c r="L18" t="b">
        <f t="shared" si="16"/>
        <v>0</v>
      </c>
      <c r="M18" t="b">
        <f t="shared" si="17"/>
        <v>0</v>
      </c>
      <c r="N18" s="535"/>
      <c r="O18" s="558" t="str">
        <f>IFERROR(__xludf.DUMMYFUNCTION("""COMPUTED_VALUE"""),"Journal of Business Research")</f>
        <v>Journal of Business Research</v>
      </c>
      <c r="P18" t="str">
        <f>IFERROR(__xludf.DUMMYFUNCTION("""COMPUTED_VALUE"""),"Business, Economics &amp; Management")</f>
        <v>Business, Economics &amp; Management</v>
      </c>
      <c r="Q18" t="str">
        <f>IFERROR(__xludf.DUMMYFUNCTION("""COMPUTED_VALUE"""),"Unsure")</f>
        <v>Unsure</v>
      </c>
      <c r="R18" s="535"/>
      <c r="S18" s="558" t="str">
        <f>IFERROR(__xludf.DUMMYFUNCTION("""COMPUTED_VALUE"""),"Angewandte Chemie International Edition")</f>
        <v>Angewandte Chemie International Edition</v>
      </c>
      <c r="T18" t="str">
        <f>IFERROR(__xludf.DUMMYFUNCTION("""COMPUTED_VALUE"""),"Chemical &amp; Materials Sciences")</f>
        <v>Chemical &amp; Materials Sciences</v>
      </c>
      <c r="U18" t="str">
        <f>IFERROR(__xludf.DUMMYFUNCTION("""COMPUTED_VALUE"""),"First submission only (before peer review)")</f>
        <v>First submission only (before peer review)</v>
      </c>
      <c r="V18" s="535"/>
      <c r="W18" s="558" t="str">
        <f>IFERROR(__xludf.DUMMYFUNCTION("""COMPUTED_VALUE"""),"Energy and Environmental Science")</f>
        <v>Energy and Environmental Science</v>
      </c>
      <c r="X18" t="str">
        <f>IFERROR(__xludf.DUMMYFUNCTION("""COMPUTED_VALUE"""),"Chemical &amp; Materials Sciences, Engineering &amp; Computer Science")</f>
        <v>Chemical &amp; Materials Sciences, Engineering &amp; Computer Science</v>
      </c>
      <c r="Y18" t="str">
        <f>IFERROR(__xludf.DUMMYFUNCTION("""COMPUTED_VALUE"""),"First submission only (before peer review)")</f>
        <v>First submission only (before peer review)</v>
      </c>
      <c r="Z18" s="535"/>
      <c r="AA18" s="558" t="str">
        <f>IFERROR(__xludf.DUMMYFUNCTION("""COMPUTED_VALUE"""),"Immunity")</f>
        <v>Immunity</v>
      </c>
      <c r="AB18" t="str">
        <f>IFERROR(__xludf.DUMMYFUNCTION("""COMPUTED_VALUE"""),"Health &amp; Medical Sciences")</f>
        <v>Health &amp; Medical Sciences</v>
      </c>
      <c r="AC18" t="str">
        <f>IFERROR(__xludf.DUMMYFUNCTION("""COMPUTED_VALUE"""),"First submission only (before peer review)")</f>
        <v>First submission only (before peer review)</v>
      </c>
      <c r="AD18" s="535"/>
      <c r="AE18" s="558" t="str">
        <f>IFERROR(__xludf.DUMMYFUNCTION("""COMPUTED_VALUE"""),"Journalism")</f>
        <v>Journalism</v>
      </c>
      <c r="AF18" t="str">
        <f>IFERROR(__xludf.DUMMYFUNCTION("""COMPUTED_VALUE"""),"Humanities, Literature &amp; Arts")</f>
        <v>Humanities, Literature &amp; Arts</v>
      </c>
      <c r="AG18" t="str">
        <f>IFERROR(__xludf.DUMMYFUNCTION("""COMPUTED_VALUE"""),"First submission only (before peer review)")</f>
        <v>First submission only (before peer review)</v>
      </c>
      <c r="AH18" s="535"/>
      <c r="AI18" s="558" t="str">
        <f>IFERROR(__xludf.DUMMYFUNCTION("""COMPUTED_VALUE"""),"Nature Biotechnology")</f>
        <v>Nature Biotechnology</v>
      </c>
      <c r="AJ18" t="str">
        <f>IFERROR(__xludf.DUMMYFUNCTION("""COMPUTED_VALUE"""),"Life Sciences &amp; Earth Sciences")</f>
        <v>Life Sciences &amp; Earth Sciences</v>
      </c>
      <c r="AK18" t="str">
        <f>IFERROR(__xludf.DUMMYFUNCTION("""COMPUTED_VALUE"""),"First submission only (before peer review)")</f>
        <v>First submission only (before peer review)</v>
      </c>
      <c r="AL18" s="535"/>
      <c r="AM18" t="str">
        <f>IFERROR(__xludf.DUMMYFUNCTION("""COMPUTED_VALUE"""),"Journal of High Energy Physics")</f>
        <v>Journal of High Energy Physics</v>
      </c>
      <c r="AN18" t="str">
        <f>IFERROR(__xludf.DUMMYFUNCTION("""COMPUTED_VALUE"""),"Physics &amp; Mathematics")</f>
        <v>Physics &amp; Mathematics</v>
      </c>
      <c r="AO18" t="str">
        <f>IFERROR(__xludf.DUMMYFUNCTION("""COMPUTED_VALUE"""),"Any")</f>
        <v>Any</v>
      </c>
      <c r="AP18" s="535"/>
      <c r="AQ18" t="str">
        <f>IFERROR(__xludf.DUMMYFUNCTION("""COMPUTED_VALUE"""),"Global Environmental Change")</f>
        <v>Global Environmental Change</v>
      </c>
      <c r="AR18" t="str">
        <f>IFERROR(__xludf.DUMMYFUNCTION("""COMPUTED_VALUE"""),"Social Sciences")</f>
        <v>Social Sciences</v>
      </c>
      <c r="AS18" t="str">
        <f>IFERROR(__xludf.DUMMYFUNCTION("""COMPUTED_VALUE"""),"Unsure (preprints are allowed, but it's not clear what version) - accepted version can be posted to arXiv &amp; RePEc")</f>
        <v>Unsure (preprints are allowed, but it's not clear what version) - accepted version can be posted to arXiv &amp; RePEc</v>
      </c>
    </row>
    <row r="19">
      <c r="A19" s="552"/>
      <c r="B19" s="552"/>
      <c r="C19" t="str">
        <f>Filtered!I9</f>
        <v>Advanced Functional Materials</v>
      </c>
      <c r="D19" t="str">
        <f>Filtered!J9</f>
        <v>Chemical &amp; Materials Sciences, Engineering &amp; Computer Science</v>
      </c>
      <c r="E19" t="str">
        <f>Filtered!AH9</f>
        <v>None (preprints not allowed)</v>
      </c>
      <c r="F19" t="b">
        <f t="shared" si="10"/>
        <v>0</v>
      </c>
      <c r="G19" t="b">
        <f t="shared" si="11"/>
        <v>1</v>
      </c>
      <c r="H19" t="b">
        <f t="shared" si="12"/>
        <v>1</v>
      </c>
      <c r="I19" t="b">
        <f t="shared" si="13"/>
        <v>0</v>
      </c>
      <c r="J19" t="b">
        <f t="shared" si="14"/>
        <v>0</v>
      </c>
      <c r="K19" t="b">
        <f t="shared" si="15"/>
        <v>0</v>
      </c>
      <c r="L19" t="b">
        <f t="shared" si="16"/>
        <v>0</v>
      </c>
      <c r="M19" t="b">
        <f t="shared" si="17"/>
        <v>0</v>
      </c>
      <c r="N19" s="535"/>
      <c r="O19" s="558" t="str">
        <f>IFERROR(__xludf.DUMMYFUNCTION("""COMPUTED_VALUE"""),"Journal of Economic Perspectives")</f>
        <v>Journal of Economic Perspectives</v>
      </c>
      <c r="P19" t="str">
        <f>IFERROR(__xludf.DUMMYFUNCTION("""COMPUTED_VALUE"""),"Business, Economics &amp; Management")</f>
        <v>Business, Economics &amp; Management</v>
      </c>
      <c r="Q19" t="str">
        <f>IFERROR(__xludf.DUMMYFUNCTION("""COMPUTED_VALUE"""),"No preprint policy")</f>
        <v>No preprint policy</v>
      </c>
      <c r="R19" s="535"/>
      <c r="S19" s="558" t="str">
        <f>IFERROR(__xludf.DUMMYFUNCTION("""COMPUTED_VALUE"""),"Chemical communications (Cambridge, England)")</f>
        <v>Chemical communications (Cambridge, England)</v>
      </c>
      <c r="T19" t="str">
        <f>IFERROR(__xludf.DUMMYFUNCTION("""COMPUTED_VALUE"""),"Chemical &amp; Materials Sciences")</f>
        <v>Chemical &amp; Materials Sciences</v>
      </c>
      <c r="U19" t="str">
        <f>IFERROR(__xludf.DUMMYFUNCTION("""COMPUTED_VALUE"""),"Unsure (preprints are allowed, but it's not clear what version)")</f>
        <v>Unsure (preprints are allowed, but it's not clear what version)</v>
      </c>
      <c r="V19" s="535"/>
      <c r="W19" s="558" t="str">
        <f>IFERROR(__xludf.DUMMYFUNCTION("""COMPUTED_VALUE"""),"IEEE Communications Surveys &amp; Tutorials")</f>
        <v>IEEE Communications Surveys &amp; Tutorials</v>
      </c>
      <c r="X19" t="str">
        <f>IFERROR(__xludf.DUMMYFUNCTION("""COMPUTED_VALUE"""),"Engineering &amp; Computer Science")</f>
        <v>Engineering &amp; Computer Science</v>
      </c>
      <c r="Y19" t="str">
        <f>IFERROR(__xludf.DUMMYFUNCTION("""COMPUTED_VALUE"""),"First submission only (before peer review)")</f>
        <v>First submission only (before peer review)</v>
      </c>
      <c r="Z19" s="535"/>
      <c r="AA19" s="558" t="str">
        <f>IFERROR(__xludf.DUMMYFUNCTION("""COMPUTED_VALUE"""),"Journal of the American Medical Association")</f>
        <v>Journal of the American Medical Association</v>
      </c>
      <c r="AB19" t="str">
        <f>IFERROR(__xludf.DUMMYFUNCTION("""COMPUTED_VALUE"""),"Health &amp; Medical Sciences")</f>
        <v>Health &amp; Medical Sciences</v>
      </c>
      <c r="AC19" t="str">
        <f>IFERROR(__xludf.DUMMYFUNCTION("""COMPUTED_VALUE"""),"None (preprints not allowed)")</f>
        <v>None (preprints not allowed)</v>
      </c>
      <c r="AD19" s="535"/>
      <c r="AE19" s="558" t="str">
        <f>IFERROR(__xludf.DUMMYFUNCTION("""COMPUTED_VALUE"""),"Journalism Practice")</f>
        <v>Journalism Practice</v>
      </c>
      <c r="AF19" t="str">
        <f>IFERROR(__xludf.DUMMYFUNCTION("""COMPUTED_VALUE"""),"Humanities, Literature &amp; Arts")</f>
        <v>Humanities, Literature &amp; Arts</v>
      </c>
      <c r="AG19" t="str">
        <f>IFERROR(__xludf.DUMMYFUNCTION("""COMPUTED_VALUE"""),"No preprint policy")</f>
        <v>No preprint policy</v>
      </c>
      <c r="AH19" s="535"/>
      <c r="AI19" s="558" t="str">
        <f>IFERROR(__xludf.DUMMYFUNCTION("""COMPUTED_VALUE"""),"Nature Cell Biology")</f>
        <v>Nature Cell Biology</v>
      </c>
      <c r="AJ19" t="str">
        <f>IFERROR(__xludf.DUMMYFUNCTION("""COMPUTED_VALUE"""),"Life Sciences &amp; Earth Sciences")</f>
        <v>Life Sciences &amp; Earth Sciences</v>
      </c>
      <c r="AK19" t="str">
        <f>IFERROR(__xludf.DUMMYFUNCTION("""COMPUTED_VALUE"""),"First submission only (before peer review)")</f>
        <v>First submission only (before peer review)</v>
      </c>
      <c r="AL19" s="535"/>
      <c r="AM19" t="str">
        <f>IFERROR(__xludf.DUMMYFUNCTION("""COMPUTED_VALUE"""),"Monthly Notices of the Royal Astronomical Society")</f>
        <v>Monthly Notices of the Royal Astronomical Society</v>
      </c>
      <c r="AN19" t="str">
        <f>IFERROR(__xludf.DUMMYFUNCTION("""COMPUTED_VALUE"""),"Physics &amp; Mathematics")</f>
        <v>Physics &amp; Mathematics</v>
      </c>
      <c r="AO19" t="str">
        <f>IFERROR(__xludf.DUMMYFUNCTION("""COMPUTED_VALUE"""),"Any")</f>
        <v>Any</v>
      </c>
      <c r="AP19" s="535"/>
      <c r="AQ19" t="str">
        <f>IFERROR(__xludf.DUMMYFUNCTION("""COMPUTED_VALUE"""),"Government Information Quarterly")</f>
        <v>Government Information Quarterly</v>
      </c>
      <c r="AR19" t="str">
        <f>IFERROR(__xludf.DUMMYFUNCTION("""COMPUTED_VALUE"""),"Social Sciences")</f>
        <v>Social Sciences</v>
      </c>
      <c r="AS19" t="str">
        <f>IFERROR(__xludf.DUMMYFUNCTION("""COMPUTED_VALUE"""),"Unsure (preprints are allowed, but it's not clear what version) - accepted version can be posted to arXiv &amp; RePEc")</f>
        <v>Unsure (preprints are allowed, but it's not clear what version) - accepted version can be posted to arXiv &amp; RePEc</v>
      </c>
    </row>
    <row r="20">
      <c r="A20" s="552"/>
      <c r="B20" s="552"/>
      <c r="C20" t="str">
        <f>Filtered!I10</f>
        <v>Advanced Materials</v>
      </c>
      <c r="D20" t="str">
        <f>Filtered!J10</f>
        <v>Chemical &amp; Materials Sciences, Engineering &amp; Computer Science</v>
      </c>
      <c r="E20" t="str">
        <f>Filtered!AH10</f>
        <v>None (preprints not allowed(</v>
      </c>
      <c r="F20" t="b">
        <f t="shared" si="10"/>
        <v>0</v>
      </c>
      <c r="G20" t="b">
        <f t="shared" si="11"/>
        <v>1</v>
      </c>
      <c r="H20" t="b">
        <f t="shared" si="12"/>
        <v>1</v>
      </c>
      <c r="I20" t="b">
        <f t="shared" si="13"/>
        <v>0</v>
      </c>
      <c r="J20" t="b">
        <f t="shared" si="14"/>
        <v>0</v>
      </c>
      <c r="K20" t="b">
        <f t="shared" si="15"/>
        <v>0</v>
      </c>
      <c r="L20" t="b">
        <f t="shared" si="16"/>
        <v>0</v>
      </c>
      <c r="M20" t="b">
        <f t="shared" si="17"/>
        <v>0</v>
      </c>
      <c r="N20" s="535"/>
      <c r="O20" s="558" t="str">
        <f>IFERROR(__xludf.DUMMYFUNCTION("""COMPUTED_VALUE"""),"Journal of Financial Economics")</f>
        <v>Journal of Financial Economics</v>
      </c>
      <c r="P20" t="str">
        <f>IFERROR(__xludf.DUMMYFUNCTION("""COMPUTED_VALUE"""),"Business, Economics &amp; Management")</f>
        <v>Business, Economics &amp; Management</v>
      </c>
      <c r="Q20" t="str">
        <f>IFERROR(__xludf.DUMMYFUNCTION("""COMPUTED_VALUE"""),"After peer review (but not final, copyedited version)")</f>
        <v>After peer review (but not final, copyedited version)</v>
      </c>
      <c r="R20" s="535"/>
      <c r="S20" s="558" t="str">
        <f>IFERROR(__xludf.DUMMYFUNCTION("""COMPUTED_VALUE"""),"Chemical Reviews")</f>
        <v>Chemical Reviews</v>
      </c>
      <c r="T20" t="str">
        <f>IFERROR(__xludf.DUMMYFUNCTION("""COMPUTED_VALUE"""),"Chemical &amp; Materials Sciences")</f>
        <v>Chemical &amp; Materials Sciences</v>
      </c>
      <c r="U20" t="str">
        <f>IFERROR(__xludf.DUMMYFUNCTION("""COMPUTED_VALUE"""),"Other")</f>
        <v>Other</v>
      </c>
      <c r="V20" s="535"/>
      <c r="W20" s="558" t="str">
        <f>IFERROR(__xludf.DUMMYFUNCTION("""COMPUTED_VALUE"""),"IEEE Conference on Computer Vision and Pattern Recognition, CVPR")</f>
        <v>IEEE Conference on Computer Vision and Pattern Recognition, CVPR</v>
      </c>
      <c r="X20" t="str">
        <f>IFERROR(__xludf.DUMMYFUNCTION("""COMPUTED_VALUE"""),"Engineering &amp; Computer Science")</f>
        <v>Engineering &amp; Computer Science</v>
      </c>
      <c r="Y20" t="str">
        <f>IFERROR(__xludf.DUMMYFUNCTION("""COMPUTED_VALUE"""),"Unsure (preprints are allowed, but it's not clear what version)")</f>
        <v>Unsure (preprints are allowed, but it's not clear what version)</v>
      </c>
      <c r="Z20" s="535"/>
      <c r="AA20" s="558" t="str">
        <f>IFERROR(__xludf.DUMMYFUNCTION("""COMPUTED_VALUE"""),"Journal of Clinical Oncology")</f>
        <v>Journal of Clinical Oncology</v>
      </c>
      <c r="AB20" t="str">
        <f>IFERROR(__xludf.DUMMYFUNCTION("""COMPUTED_VALUE"""),"Health &amp; Medical Sciences")</f>
        <v>Health &amp; Medical Sciences</v>
      </c>
      <c r="AC20" t="str">
        <f>IFERROR(__xludf.DUMMYFUNCTION("""COMPUTED_VALUE"""),"First submission only (before peer review)")</f>
        <v>First submission only (before peer review)</v>
      </c>
      <c r="AD20" s="535"/>
      <c r="AE20" s="558" t="str">
        <f>IFERROR(__xludf.DUMMYFUNCTION("""COMPUTED_VALUE"""),"Journalism Studies")</f>
        <v>Journalism Studies</v>
      </c>
      <c r="AF20" t="str">
        <f>IFERROR(__xludf.DUMMYFUNCTION("""COMPUTED_VALUE"""),"Humanities, Literature &amp; Arts")</f>
        <v>Humanities, Literature &amp; Arts</v>
      </c>
      <c r="AG20" t="str">
        <f>IFERROR(__xludf.DUMMYFUNCTION("""COMPUTED_VALUE"""),"No preprint policy")</f>
        <v>No preprint policy</v>
      </c>
      <c r="AH20" s="535"/>
      <c r="AI20" s="558" t="str">
        <f>IFERROR(__xludf.DUMMYFUNCTION("""COMPUTED_VALUE"""),"Nature Climate Change")</f>
        <v>Nature Climate Change</v>
      </c>
      <c r="AJ20" t="str">
        <f>IFERROR(__xludf.DUMMYFUNCTION("""COMPUTED_VALUE"""),"Life Sciences &amp; Earth Sciences")</f>
        <v>Life Sciences &amp; Earth Sciences</v>
      </c>
      <c r="AK20" t="str">
        <f>IFERROR(__xludf.DUMMYFUNCTION("""COMPUTED_VALUE"""),"First submission only (before peer review)")</f>
        <v>First submission only (before peer review)</v>
      </c>
      <c r="AL20" s="535"/>
      <c r="AM20" t="str">
        <f>IFERROR(__xludf.DUMMYFUNCTION("""COMPUTED_VALUE"""),"Nature Photonics")</f>
        <v>Nature Photonics</v>
      </c>
      <c r="AN20" t="str">
        <f>IFERROR(__xludf.DUMMYFUNCTION("""COMPUTED_VALUE"""),"Engineering &amp; Computer Science,
Physics &amp; Mathematics")</f>
        <v>Engineering &amp; Computer Science,
Physics &amp; Mathematics</v>
      </c>
      <c r="AO20" t="str">
        <f>IFERROR(__xludf.DUMMYFUNCTION("""COMPUTED_VALUE"""),"First submission only (before peer review)")</f>
        <v>First submission only (before peer review)</v>
      </c>
      <c r="AP20" s="535"/>
      <c r="AQ20" t="str">
        <f>IFERROR(__xludf.DUMMYFUNCTION("""COMPUTED_VALUE"""),"Health Affairs")</f>
        <v>Health Affairs</v>
      </c>
      <c r="AR20" t="str">
        <f>IFERROR(__xludf.DUMMYFUNCTION("""COMPUTED_VALUE"""),"Social Sciences")</f>
        <v>Social Sciences</v>
      </c>
      <c r="AS20" t="str">
        <f>IFERROR(__xludf.DUMMYFUNCTION("""COMPUTED_VALUE"""),"Unsure (preprints are allowed, but not sure what version)")</f>
        <v>Unsure (preprints are allowed, but not sure what version)</v>
      </c>
    </row>
    <row r="21">
      <c r="A21" s="552"/>
      <c r="B21" s="552"/>
      <c r="C21" t="str">
        <f>Filtered!I11</f>
        <v>American Economic Review</v>
      </c>
      <c r="D21" t="str">
        <f>Filtered!J11</f>
        <v>Business, Economics &amp; Management</v>
      </c>
      <c r="E21" t="str">
        <f>Filtered!AH11</f>
        <v>Unsure (preprints are allowed, but it's not clear what version)</v>
      </c>
      <c r="F21" t="b">
        <f t="shared" si="10"/>
        <v>1</v>
      </c>
      <c r="G21" t="b">
        <f t="shared" si="11"/>
        <v>0</v>
      </c>
      <c r="H21" t="b">
        <f t="shared" si="12"/>
        <v>0</v>
      </c>
      <c r="I21" t="b">
        <f t="shared" si="13"/>
        <v>0</v>
      </c>
      <c r="J21" t="b">
        <f t="shared" si="14"/>
        <v>0</v>
      </c>
      <c r="K21" t="b">
        <f t="shared" si="15"/>
        <v>0</v>
      </c>
      <c r="L21" t="b">
        <f t="shared" si="16"/>
        <v>0</v>
      </c>
      <c r="M21" t="b">
        <f t="shared" si="17"/>
        <v>0</v>
      </c>
      <c r="N21" s="535"/>
      <c r="O21" s="558" t="str">
        <f>IFERROR(__xludf.DUMMYFUNCTION("""COMPUTED_VALUE"""),"Journal of Management")</f>
        <v>Journal of Management</v>
      </c>
      <c r="P21" t="str">
        <f>IFERROR(__xludf.DUMMYFUNCTION("""COMPUTED_VALUE"""),"Business, Economics &amp; Management")</f>
        <v>Business, Economics &amp; Management</v>
      </c>
      <c r="Q21" t="str">
        <f>IFERROR(__xludf.DUMMYFUNCTION("""COMPUTED_VALUE"""),"First submission only (before peer review)")</f>
        <v>First submission only (before peer review)</v>
      </c>
      <c r="R21" s="535"/>
      <c r="S21" s="558" t="str">
        <f>IFERROR(__xludf.DUMMYFUNCTION("""COMPUTED_VALUE"""),"Chemical Society reviews")</f>
        <v>Chemical Society reviews</v>
      </c>
      <c r="T21" t="str">
        <f>IFERROR(__xludf.DUMMYFUNCTION("""COMPUTED_VALUE"""),"Chemical &amp; Materials Sciences")</f>
        <v>Chemical &amp; Materials Sciences</v>
      </c>
      <c r="U21" t="str">
        <f>IFERROR(__xludf.DUMMYFUNCTION("""COMPUTED_VALUE"""),"First submission only (before peer review)")</f>
        <v>First submission only (before peer review)</v>
      </c>
      <c r="V21" s="535"/>
      <c r="W21" s="558" t="str">
        <f>IFERROR(__xludf.DUMMYFUNCTION("""COMPUTED_VALUE"""),"IEEE International Conference on Computer Vision")</f>
        <v>IEEE International Conference on Computer Vision</v>
      </c>
      <c r="X21" t="str">
        <f>IFERROR(__xludf.DUMMYFUNCTION("""COMPUTED_VALUE"""),"Engineering &amp; Computer Science")</f>
        <v>Engineering &amp; Computer Science</v>
      </c>
      <c r="Y21" t="str">
        <f>IFERROR(__xludf.DUMMYFUNCTION("""COMPUTED_VALUE"""),"Any")</f>
        <v>Any</v>
      </c>
      <c r="Z21" s="535"/>
      <c r="AA21" s="558" t="str">
        <f>IFERROR(__xludf.DUMMYFUNCTION("""COMPUTED_VALUE"""),"Journal of the American College of Cardiology")</f>
        <v>Journal of the American College of Cardiology</v>
      </c>
      <c r="AB21" t="str">
        <f>IFERROR(__xludf.DUMMYFUNCTION("""COMPUTED_VALUE"""),"Health &amp; Medical Sciences")</f>
        <v>Health &amp; Medical Sciences</v>
      </c>
      <c r="AC21" t="str">
        <f>IFERROR(__xludf.DUMMYFUNCTION("""COMPUTED_VALUE"""),"None (preprints are not allowed)")</f>
        <v>None (preprints are not allowed)</v>
      </c>
      <c r="AD21" s="535"/>
      <c r="AE21" s="558" t="str">
        <f>IFERROR(__xludf.DUMMYFUNCTION("""COMPUTED_VALUE"""),"Language Learning")</f>
        <v>Language Learning</v>
      </c>
      <c r="AF21" t="str">
        <f>IFERROR(__xludf.DUMMYFUNCTION("""COMPUTED_VALUE"""),"Humanities, Literature &amp; Arts")</f>
        <v>Humanities, Literature &amp; Arts</v>
      </c>
      <c r="AG21" t="str">
        <f>IFERROR(__xludf.DUMMYFUNCTION("""COMPUTED_VALUE"""),"No preprint policy")</f>
        <v>No preprint policy</v>
      </c>
      <c r="AH21" s="535"/>
      <c r="AI21" s="558" t="str">
        <f>IFERROR(__xludf.DUMMYFUNCTION("""COMPUTED_VALUE"""),"Nature Communications")</f>
        <v>Nature Communications</v>
      </c>
      <c r="AJ21" t="str">
        <f>IFERROR(__xludf.DUMMYFUNCTION("""COMPUTED_VALUE"""),"Life Sciences &amp; Earth Sciences")</f>
        <v>Life Sciences &amp; Earth Sciences</v>
      </c>
      <c r="AK21" t="str">
        <f>IFERROR(__xludf.DUMMYFUNCTION("""COMPUTED_VALUE"""),"First submission only (before peer review)")</f>
        <v>First submission only (before peer review)</v>
      </c>
      <c r="AL21" s="535"/>
      <c r="AM21" t="str">
        <f>IFERROR(__xludf.DUMMYFUNCTION("""COMPUTED_VALUE"""),"Nature Physics")</f>
        <v>Nature Physics</v>
      </c>
      <c r="AN21" t="str">
        <f>IFERROR(__xludf.DUMMYFUNCTION("""COMPUTED_VALUE"""),"Physics &amp; Mathematics")</f>
        <v>Physics &amp; Mathematics</v>
      </c>
      <c r="AO21" t="str">
        <f>IFERROR(__xludf.DUMMYFUNCTION("""COMPUTED_VALUE"""),"First submission only (before peer review)")</f>
        <v>First submission only (before peer review)</v>
      </c>
      <c r="AP21" s="535"/>
      <c r="AQ21" t="str">
        <f>IFERROR(__xludf.DUMMYFUNCTION("""COMPUTED_VALUE"""),"Journal of Business Ethics")</f>
        <v>Journal of Business Ethics</v>
      </c>
      <c r="AR21" t="str">
        <f>IFERROR(__xludf.DUMMYFUNCTION("""COMPUTED_VALUE"""),"Business, Economics &amp; Management,
Social Sciences")</f>
        <v>Business, Economics &amp; Management,
Social Sciences</v>
      </c>
      <c r="AS21" t="str">
        <f>IFERROR(__xludf.DUMMYFUNCTION("""COMPUTED_VALUE"""),"No preprint policy")</f>
        <v>No preprint policy</v>
      </c>
    </row>
    <row r="22">
      <c r="A22" s="552"/>
      <c r="B22" s="552"/>
      <c r="C22" t="str">
        <f>Filtered!I12</f>
        <v>American Journal of Political Science</v>
      </c>
      <c r="D22" t="str">
        <f>Filtered!J12</f>
        <v>Social Sciences</v>
      </c>
      <c r="E22" t="str">
        <f>Filtered!AH12</f>
        <v>After peer review (but not final, copyedited version)</v>
      </c>
      <c r="F22" t="b">
        <f t="shared" si="10"/>
        <v>0</v>
      </c>
      <c r="G22" t="b">
        <f t="shared" si="11"/>
        <v>0</v>
      </c>
      <c r="H22" t="b">
        <f t="shared" si="12"/>
        <v>0</v>
      </c>
      <c r="I22" t="b">
        <f t="shared" si="13"/>
        <v>0</v>
      </c>
      <c r="J22" t="b">
        <f t="shared" si="14"/>
        <v>0</v>
      </c>
      <c r="K22" t="b">
        <f t="shared" si="15"/>
        <v>0</v>
      </c>
      <c r="L22" t="b">
        <f t="shared" si="16"/>
        <v>0</v>
      </c>
      <c r="M22" t="b">
        <f t="shared" si="17"/>
        <v>1</v>
      </c>
      <c r="N22" s="535"/>
      <c r="O22" s="558" t="str">
        <f>IFERROR(__xludf.DUMMYFUNCTION("""COMPUTED_VALUE"""),"Management Information Systems Quarterly")</f>
        <v>Management Information Systems Quarterly</v>
      </c>
      <c r="P22" t="str">
        <f>IFERROR(__xludf.DUMMYFUNCTION("""COMPUTED_VALUE"""),"Business, Economics &amp; Management")</f>
        <v>Business, Economics &amp; Management</v>
      </c>
      <c r="Q22" t="str">
        <f>IFERROR(__xludf.DUMMYFUNCTION("""COMPUTED_VALUE"""),"No preprint policy")</f>
        <v>No preprint policy</v>
      </c>
      <c r="R22" s="535"/>
      <c r="S22" s="558" t="str">
        <f>IFERROR(__xludf.DUMMYFUNCTION("""COMPUTED_VALUE"""),"Chemistry of Materials")</f>
        <v>Chemistry of Materials</v>
      </c>
      <c r="T22" t="str">
        <f>IFERROR(__xludf.DUMMYFUNCTION("""COMPUTED_VALUE"""),"Chemical &amp; Materials Sciences,
Engineering &amp; Computer Science")</f>
        <v>Chemical &amp; Materials Sciences,
Engineering &amp; Computer Science</v>
      </c>
      <c r="U22" t="str">
        <f>IFERROR(__xludf.DUMMYFUNCTION("""COMPUTED_VALUE"""),"First submission only (before peer review)")</f>
        <v>First submission only (before peer review)</v>
      </c>
      <c r="V22" s="535"/>
      <c r="W22" s="558" t="str">
        <f>IFERROR(__xludf.DUMMYFUNCTION("""COMPUTED_VALUE"""),"IEEE Transactions on Industrial Electronics")</f>
        <v>IEEE Transactions on Industrial Electronics</v>
      </c>
      <c r="X22" t="str">
        <f>IFERROR(__xludf.DUMMYFUNCTION("""COMPUTED_VALUE"""),"Engineering &amp; Computer Science")</f>
        <v>Engineering &amp; Computer Science</v>
      </c>
      <c r="Y22" t="str">
        <f>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Z22" s="535"/>
      <c r="AA22" s="558" t="str">
        <f>IFERROR(__xludf.DUMMYFUNCTION("""COMPUTED_VALUE"""),"Nature Genetics")</f>
        <v>Nature Genetics</v>
      </c>
      <c r="AB22" t="str">
        <f>IFERROR(__xludf.DUMMYFUNCTION("""COMPUTED_VALUE"""),"Health &amp; Medical Sciences,
Life Sciences &amp; Earth Sciences")</f>
        <v>Health &amp; Medical Sciences,
Life Sciences &amp; Earth Sciences</v>
      </c>
      <c r="AC22" t="str">
        <f>IFERROR(__xludf.DUMMYFUNCTION("""COMPUTED_VALUE"""),"First submission only (before peer review)")</f>
        <v>First submission only (before peer review)</v>
      </c>
      <c r="AD22" s="535"/>
      <c r="AE22" s="558" t="str">
        <f>IFERROR(__xludf.DUMMYFUNCTION("""COMPUTED_VALUE"""),"Lingua")</f>
        <v>Lingua</v>
      </c>
      <c r="AF22" t="str">
        <f>IFERROR(__xludf.DUMMYFUNCTION("""COMPUTED_VALUE"""),"Humanities, Literature &amp; Arts")</f>
        <v>Humanities, Literature &amp; Arts</v>
      </c>
      <c r="AG22" t="str">
        <f>IFERROR(__xludf.DUMMYFUNCTION("""COMPUTED_VALUE"""),"After peer review (but not final, copyedited version)")</f>
        <v>After peer review (but not final, copyedited version)</v>
      </c>
      <c r="AH22" s="535"/>
      <c r="AI22" s="558" t="str">
        <f>IFERROR(__xludf.DUMMYFUNCTION("""COMPUTED_VALUE"""),"Nature Genetics")</f>
        <v>Nature Genetics</v>
      </c>
      <c r="AJ22" t="str">
        <f>IFERROR(__xludf.DUMMYFUNCTION("""COMPUTED_VALUE"""),"Health &amp; Medical Sciences,
Life Sciences &amp; Earth Sciences")</f>
        <v>Health &amp; Medical Sciences,
Life Sciences &amp; Earth Sciences</v>
      </c>
      <c r="AK22" t="str">
        <f>IFERROR(__xludf.DUMMYFUNCTION("""COMPUTED_VALUE"""),"First submission only (before peer review)")</f>
        <v>First submission only (before peer review)</v>
      </c>
      <c r="AL22" s="535"/>
      <c r="AM22" t="str">
        <f>IFERROR(__xludf.DUMMYFUNCTION("""COMPUTED_VALUE"""),"Optics Express")</f>
        <v>Optics Express</v>
      </c>
      <c r="AN22" t="str">
        <f>IFERROR(__xludf.DUMMYFUNCTION("""COMPUTED_VALUE"""),"Physics &amp; Mathematics")</f>
        <v>Physics &amp; Mathematics</v>
      </c>
      <c r="AO22" t="str">
        <f>IFERROR(__xludf.DUMMYFUNCTION("""COMPUTED_VALUE"""),"No preprint policy")</f>
        <v>No preprint policy</v>
      </c>
      <c r="AP22" s="535"/>
      <c r="AQ22" t="str">
        <f>IFERROR(__xludf.DUMMYFUNCTION("""COMPUTED_VALUE"""),"Journal of Educational Psychology")</f>
        <v>Journal of Educational Psychology</v>
      </c>
      <c r="AR22" t="str">
        <f>IFERROR(__xludf.DUMMYFUNCTION("""COMPUTED_VALUE"""),"Social Sciences")</f>
        <v>Social Sciences</v>
      </c>
      <c r="AS22" t="str">
        <f>IFERROR(__xludf.DUMMYFUNCTION("""COMPUTED_VALUE"""),"Unsure")</f>
        <v>Unsure</v>
      </c>
    </row>
    <row r="23">
      <c r="A23" s="552"/>
      <c r="B23" s="552"/>
      <c r="C23" t="str">
        <f>Filtered!I13</f>
        <v>American Journal of Public Health</v>
      </c>
      <c r="D23" t="str">
        <f>Filtered!J13</f>
        <v>Social Sciences</v>
      </c>
      <c r="E23" t="str">
        <f>Filtered!AH13</f>
        <v>No preprint policy</v>
      </c>
      <c r="F23" t="b">
        <f t="shared" si="10"/>
        <v>0</v>
      </c>
      <c r="G23" t="b">
        <f t="shared" si="11"/>
        <v>0</v>
      </c>
      <c r="H23" t="b">
        <f t="shared" si="12"/>
        <v>0</v>
      </c>
      <c r="I23" t="b">
        <f t="shared" si="13"/>
        <v>0</v>
      </c>
      <c r="J23" t="b">
        <f t="shared" si="14"/>
        <v>0</v>
      </c>
      <c r="K23" t="b">
        <f t="shared" si="15"/>
        <v>0</v>
      </c>
      <c r="L23" t="b">
        <f t="shared" si="16"/>
        <v>0</v>
      </c>
      <c r="M23" t="b">
        <f t="shared" si="17"/>
        <v>1</v>
      </c>
      <c r="N23" s="535"/>
      <c r="O23" s="558" t="str">
        <f>IFERROR(__xludf.DUMMYFUNCTION("""COMPUTED_VALUE"""),"Management Science")</f>
        <v>Management Science</v>
      </c>
      <c r="P23" t="str">
        <f>IFERROR(__xludf.DUMMYFUNCTION("""COMPUTED_VALUE"""),"Business, Economics &amp; Management")</f>
        <v>Business, Economics &amp; Management</v>
      </c>
      <c r="Q23" t="str">
        <f>IFERROR(__xludf.DUMMYFUNCTION("""COMPUTED_VALUE"""),"No preprint policy")</f>
        <v>No preprint policy</v>
      </c>
      <c r="R23" s="535"/>
      <c r="S23" s="558" t="str">
        <f>IFERROR(__xludf.DUMMYFUNCTION("""COMPUTED_VALUE"""),"Energy and Environmental Science")</f>
        <v>Energy and Environmental Science</v>
      </c>
      <c r="T23" t="str">
        <f>IFERROR(__xludf.DUMMYFUNCTION("""COMPUTED_VALUE"""),"Chemical &amp; Materials Sciences, Engineering &amp; Computer Science")</f>
        <v>Chemical &amp; Materials Sciences, Engineering &amp; Computer Science</v>
      </c>
      <c r="U23" t="str">
        <f>IFERROR(__xludf.DUMMYFUNCTION("""COMPUTED_VALUE"""),"First submission only (before peer review)")</f>
        <v>First submission only (before peer review)</v>
      </c>
      <c r="V23" s="535"/>
      <c r="W23" s="558" t="str">
        <f>IFERROR(__xludf.DUMMYFUNCTION("""COMPUTED_VALUE"""),"IEEE Transactions on Power Electronics")</f>
        <v>IEEE Transactions on Power Electronics</v>
      </c>
      <c r="X23" t="str">
        <f>IFERROR(__xludf.DUMMYFUNCTION("""COMPUTED_VALUE"""),"Engineering &amp; Computer Science")</f>
        <v>Engineering &amp; Computer Science</v>
      </c>
      <c r="Y23" t="str">
        <f>IFERROR(__xludf.DUMMYFUNCTION("""COMPUTED_VALUE"""),"First submission only (before peer review)")</f>
        <v>First submission only (before peer review)</v>
      </c>
      <c r="Z23" s="535"/>
      <c r="AA23" s="558" t="str">
        <f>IFERROR(__xludf.DUMMYFUNCTION("""COMPUTED_VALUE"""),"Nature Medicine")</f>
        <v>Nature Medicine</v>
      </c>
      <c r="AB23" t="str">
        <f>IFERROR(__xludf.DUMMYFUNCTION("""COMPUTED_VALUE"""),"Health &amp; Medical Sciences")</f>
        <v>Health &amp; Medical Sciences</v>
      </c>
      <c r="AC23" t="str">
        <f>IFERROR(__xludf.DUMMYFUNCTION("""COMPUTED_VALUE"""),"First submission only (before peer review)")</f>
        <v>First submission only (before peer review)</v>
      </c>
      <c r="AD23" s="535"/>
      <c r="AE23" s="558" t="str">
        <f>IFERROR(__xludf.DUMMYFUNCTION("""COMPUTED_VALUE"""),"Media, Culture &amp; Society")</f>
        <v>Media, Culture &amp; Society</v>
      </c>
      <c r="AF23" t="str">
        <f>IFERROR(__xludf.DUMMYFUNCTION("""COMPUTED_VALUE"""),"Humanities, Literature &amp; Arts")</f>
        <v>Humanities, Literature &amp; Arts</v>
      </c>
      <c r="AG23" t="str">
        <f>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H23" s="535"/>
      <c r="AI23" s="558" t="str">
        <f>IFERROR(__xludf.DUMMYFUNCTION("""COMPUTED_VALUE"""),"Nature Methods")</f>
        <v>Nature Methods</v>
      </c>
      <c r="AJ23" t="str">
        <f>IFERROR(__xludf.DUMMYFUNCTION("""COMPUTED_VALUE"""),"Life Sciences &amp; Earth Sciences")</f>
        <v>Life Sciences &amp; Earth Sciences</v>
      </c>
      <c r="AK23" t="str">
        <f>IFERROR(__xludf.DUMMYFUNCTION("""COMPUTED_VALUE"""),"First submission only (before peer review)")</f>
        <v>First submission only (before peer review)</v>
      </c>
      <c r="AL23" s="535"/>
      <c r="AM23" t="str">
        <f>IFERROR(__xludf.DUMMYFUNCTION("""COMPUTED_VALUE"""),"Physical Review B")</f>
        <v>Physical Review B</v>
      </c>
      <c r="AN23" t="str">
        <f>IFERROR(__xludf.DUMMYFUNCTION("""COMPUTED_VALUE"""),"Physics &amp; Mathematics")</f>
        <v>Physics &amp; Mathematics</v>
      </c>
      <c r="AO23" t="str">
        <f>IFERROR(__xludf.DUMMYFUNCTION("""COMPUTED_VALUE"""),"No preprint policy")</f>
        <v>No preprint policy</v>
      </c>
      <c r="AP23" s="535"/>
      <c r="AQ23" t="str">
        <f>IFERROR(__xludf.DUMMYFUNCTION("""COMPUTED_VALUE"""),"Journal of Youth and Adolescence")</f>
        <v>Journal of Youth and Adolescence</v>
      </c>
      <c r="AR23" t="str">
        <f>IFERROR(__xludf.DUMMYFUNCTION("""COMPUTED_VALUE"""),"Social Sciences")</f>
        <v>Social Sciences</v>
      </c>
      <c r="AS23" t="str">
        <f>IFERROR(__xludf.DUMMYFUNCTION("""COMPUTED_VALUE"""),"No preprint policy")</f>
        <v>No preprint policy</v>
      </c>
    </row>
    <row r="24">
      <c r="A24" s="552"/>
      <c r="B24" s="552"/>
      <c r="C24" t="str">
        <f>Filtered!I14</f>
        <v>American Political Science Review</v>
      </c>
      <c r="D24" t="str">
        <f>Filtered!J14</f>
        <v>Social Sciences</v>
      </c>
      <c r="E24" t="str">
        <f>Filtered!AH14</f>
        <v>Unsure</v>
      </c>
      <c r="F24" t="b">
        <f t="shared" si="10"/>
        <v>0</v>
      </c>
      <c r="G24" t="b">
        <f t="shared" si="11"/>
        <v>0</v>
      </c>
      <c r="H24" t="b">
        <f t="shared" si="12"/>
        <v>0</v>
      </c>
      <c r="I24" t="b">
        <f t="shared" si="13"/>
        <v>0</v>
      </c>
      <c r="J24" t="b">
        <f t="shared" si="14"/>
        <v>0</v>
      </c>
      <c r="K24" t="b">
        <f t="shared" si="15"/>
        <v>0</v>
      </c>
      <c r="L24" t="b">
        <f t="shared" si="16"/>
        <v>0</v>
      </c>
      <c r="M24" t="b">
        <f t="shared" si="17"/>
        <v>1</v>
      </c>
      <c r="N24" s="535"/>
      <c r="O24" s="558" t="str">
        <f>IFERROR(__xludf.DUMMYFUNCTION("""COMPUTED_VALUE"""),"Review of Economics and Statistics")</f>
        <v>Review of Economics and Statistics</v>
      </c>
      <c r="P24" t="str">
        <f>IFERROR(__xludf.DUMMYFUNCTION("""COMPUTED_VALUE"""),"Business, Economics &amp; Management")</f>
        <v>Business, Economics &amp; Management</v>
      </c>
      <c r="Q24" t="str">
        <f>IFERROR(__xludf.DUMMYFUNCTION("""COMPUTED_VALUE"""),"After peer review (but not final, copyedited version)")</f>
        <v>After peer review (but not final, copyedited version)</v>
      </c>
      <c r="R24" s="535"/>
      <c r="S24" s="558" t="str">
        <f>IFERROR(__xludf.DUMMYFUNCTION("""COMPUTED_VALUE"""),"Journal of Materials Chemistry. A")</f>
        <v>Journal of Materials Chemistry. A</v>
      </c>
      <c r="T24" t="str">
        <f>IFERROR(__xludf.DUMMYFUNCTION("""COMPUTED_VALUE"""),"Chemical &amp; Materials Sciences, Engineering &amp; Computer Science")</f>
        <v>Chemical &amp; Materials Sciences, Engineering &amp; Computer Science</v>
      </c>
      <c r="U24" t="str">
        <f>IFERROR(__xludf.DUMMYFUNCTION("""COMPUTED_VALUE"""),"First submission only (before peer review)")</f>
        <v>First submission only (before peer review)</v>
      </c>
      <c r="V24" s="535"/>
      <c r="W24" s="558" t="str">
        <f>IFERROR(__xludf.DUMMYFUNCTION("""COMPUTED_VALUE"""),"Journal of Materials Chemistry. A")</f>
        <v>Journal of Materials Chemistry. A</v>
      </c>
      <c r="X24" t="str">
        <f>IFERROR(__xludf.DUMMYFUNCTION("""COMPUTED_VALUE"""),"Chemical &amp; Materials Sciences, Engineering &amp; Computer Science")</f>
        <v>Chemical &amp; Materials Sciences, Engineering &amp; Computer Science</v>
      </c>
      <c r="Y24" t="str">
        <f>IFERROR(__xludf.DUMMYFUNCTION("""COMPUTED_VALUE"""),"First submission only (before peer review)")</f>
        <v>First submission only (before peer review)</v>
      </c>
      <c r="Z24" s="535"/>
      <c r="AA24" s="558" t="str">
        <f>IFERROR(__xludf.DUMMYFUNCTION("""COMPUTED_VALUE"""),"Nature Neuroscience")</f>
        <v>Nature Neuroscience</v>
      </c>
      <c r="AB24" t="str">
        <f>IFERROR(__xludf.DUMMYFUNCTION("""COMPUTED_VALUE"""),"Health &amp; Medical Sciences")</f>
        <v>Health &amp; Medical Sciences</v>
      </c>
      <c r="AC24" t="str">
        <f>IFERROR(__xludf.DUMMYFUNCTION("""COMPUTED_VALUE"""),"First submission only (before peer review)")</f>
        <v>First submission only (before peer review)</v>
      </c>
      <c r="AD24" s="535"/>
      <c r="AE24" s="558" t="str">
        <f>IFERROR(__xludf.DUMMYFUNCTION("""COMPUTED_VALUE"""),"Noûs")</f>
        <v>Noûs</v>
      </c>
      <c r="AF24" t="str">
        <f>IFERROR(__xludf.DUMMYFUNCTION("""COMPUTED_VALUE"""),"Social Sciences, Humanities, Literature &amp; Arts")</f>
        <v>Social Sciences, Humanities, Literature &amp; Arts</v>
      </c>
      <c r="AG24" t="str">
        <f>IFERROR(__xludf.DUMMYFUNCTION("""COMPUTED_VALUE"""),"First submission only (before peer review)")</f>
        <v>First submission only (before peer review)</v>
      </c>
      <c r="AH24" s="535"/>
      <c r="AI24" s="558" t="str">
        <f>IFERROR(__xludf.DUMMYFUNCTION("""COMPUTED_VALUE"""),"Nature Reviews Genetics")</f>
        <v>Nature Reviews Genetics</v>
      </c>
      <c r="AJ24" t="str">
        <f>IFERROR(__xludf.DUMMYFUNCTION("""COMPUTED_VALUE"""),"Life Sciences &amp; Earth Sciences")</f>
        <v>Life Sciences &amp; Earth Sciences</v>
      </c>
      <c r="AK24" t="str">
        <f>IFERROR(__xludf.DUMMYFUNCTION("""COMPUTED_VALUE"""),"No preprint policy")</f>
        <v>No preprint policy</v>
      </c>
      <c r="AL24" s="535"/>
      <c r="AM24" t="str">
        <f>IFERROR(__xludf.DUMMYFUNCTION("""COMPUTED_VALUE"""),"Physical Review D")</f>
        <v>Physical Review D</v>
      </c>
      <c r="AN24" t="str">
        <f>IFERROR(__xludf.DUMMYFUNCTION("""COMPUTED_VALUE"""),"Physics &amp; Mathematics")</f>
        <v>Physics &amp; Mathematics</v>
      </c>
      <c r="AO24" t="str">
        <f>IFERROR(__xludf.DUMMYFUNCTION("""COMPUTED_VALUE"""),"No preprint policy")</f>
        <v>No preprint policy</v>
      </c>
      <c r="AP24" s="535"/>
      <c r="AQ24" t="str">
        <f>IFERROR(__xludf.DUMMYFUNCTION("""COMPUTED_VALUE"""),"Land Use Policy")</f>
        <v>Land Use Policy</v>
      </c>
      <c r="AR24" t="str">
        <f>IFERROR(__xludf.DUMMYFUNCTION("""COMPUTED_VALUE"""),"Social Sciences")</f>
        <v>Social Sciences</v>
      </c>
      <c r="AS24" t="str">
        <f>IFERROR(__xludf.DUMMYFUNCTION("""COMPUTED_VALUE"""),"After peer review (but not final, copyedited version)")</f>
        <v>After peer review (but not final, copyedited version)</v>
      </c>
    </row>
    <row r="25">
      <c r="A25" s="586"/>
      <c r="B25" s="552"/>
      <c r="C25" t="str">
        <f>Filtered!I15</f>
        <v>American Sociological Review</v>
      </c>
      <c r="D25" t="str">
        <f>Filtered!J15</f>
        <v>Social Sciences</v>
      </c>
      <c r="E25" t="str">
        <f>Filtered!AH15</f>
        <v>First submission only (before peer review)</v>
      </c>
      <c r="F25" t="b">
        <f t="shared" si="10"/>
        <v>0</v>
      </c>
      <c r="G25" t="b">
        <f t="shared" si="11"/>
        <v>0</v>
      </c>
      <c r="H25" t="b">
        <f t="shared" si="12"/>
        <v>0</v>
      </c>
      <c r="I25" t="b">
        <f t="shared" si="13"/>
        <v>0</v>
      </c>
      <c r="J25" t="b">
        <f t="shared" si="14"/>
        <v>0</v>
      </c>
      <c r="K25" t="b">
        <f t="shared" si="15"/>
        <v>0</v>
      </c>
      <c r="L25" t="b">
        <f t="shared" si="16"/>
        <v>0</v>
      </c>
      <c r="M25" t="b">
        <f t="shared" si="17"/>
        <v>1</v>
      </c>
      <c r="N25" s="535"/>
      <c r="O25" s="558" t="str">
        <f>IFERROR(__xludf.DUMMYFUNCTION("""COMPUTED_VALUE"""),"Strategic Management Journal")</f>
        <v>Strategic Management Journal</v>
      </c>
      <c r="P25" t="str">
        <f>IFERROR(__xludf.DUMMYFUNCTION("""COMPUTED_VALUE"""),"Business, Economics &amp; Management")</f>
        <v>Business, Economics &amp; Management</v>
      </c>
      <c r="Q25" t="str">
        <f>IFERROR(__xludf.DUMMYFUNCTION("""COMPUTED_VALUE"""),"No preprint policy")</f>
        <v>No preprint policy</v>
      </c>
      <c r="R25" s="535"/>
      <c r="S25" s="558" t="str">
        <f>IFERROR(__xludf.DUMMYFUNCTION("""COMPUTED_VALUE"""),"Journal of the American Chemical Society")</f>
        <v>Journal of the American Chemical Society</v>
      </c>
      <c r="T25" t="str">
        <f>IFERROR(__xludf.DUMMYFUNCTION("""COMPUTED_VALUE"""),"Chemical &amp; Materials Sciences")</f>
        <v>Chemical &amp; Materials Sciences</v>
      </c>
      <c r="U25" t="str">
        <f>IFERROR(__xludf.DUMMYFUNCTION("""COMPUTED_VALUE"""),"After peer review (but not final, copyedited version)")</f>
        <v>After peer review (but not final, copyedited version)</v>
      </c>
      <c r="V25" s="535"/>
      <c r="W25" s="558" t="str">
        <f>IFERROR(__xludf.DUMMYFUNCTION("""COMPUTED_VALUE"""),"Nano Letters")</f>
        <v>Nano Letters</v>
      </c>
      <c r="X25" t="str">
        <f>IFERROR(__xludf.DUMMYFUNCTION("""COMPUTED_VALUE"""),"Chemical &amp; Materials Sciences,
Engineering &amp; Computer Science")</f>
        <v>Chemical &amp; Materials Sciences,
Engineering &amp; Computer Science</v>
      </c>
      <c r="Y25" t="str">
        <f>IFERROR(__xludf.DUMMYFUNCTION("""COMPUTED_VALUE"""),"First submission only (before peer review)")</f>
        <v>First submission only (before peer review)</v>
      </c>
      <c r="Z25" s="535"/>
      <c r="AA25" s="558" t="str">
        <f>IFERROR(__xludf.DUMMYFUNCTION("""COMPUTED_VALUE"""),"Neuron")</f>
        <v>Neuron</v>
      </c>
      <c r="AB25" t="str">
        <f>IFERROR(__xludf.DUMMYFUNCTION("""COMPUTED_VALUE"""),"Health &amp; Medical Sciences,
Life Sciences &amp; Earth Sciences")</f>
        <v>Health &amp; Medical Sciences,
Life Sciences &amp; Earth Sciences</v>
      </c>
      <c r="AC25" t="str">
        <f>IFERROR(__xludf.DUMMYFUNCTION("""COMPUTED_VALUE"""),"First submission only (before peer review)")</f>
        <v>First submission only (before peer review)</v>
      </c>
      <c r="AD25" s="535"/>
      <c r="AE25" s="558" t="str">
        <f>IFERROR(__xludf.DUMMYFUNCTION("""COMPUTED_VALUE"""),"Philosophical Studies")</f>
        <v>Philosophical Studies</v>
      </c>
      <c r="AF25" t="str">
        <f>IFERROR(__xludf.DUMMYFUNCTION("""COMPUTED_VALUE"""),"Humanities, Literature &amp; Arts")</f>
        <v>Humanities, Literature &amp; Arts</v>
      </c>
      <c r="AG25" t="str">
        <f>IFERROR(__xludf.DUMMYFUNCTION("""COMPUTED_VALUE"""),"No preprint policy")</f>
        <v>No preprint policy</v>
      </c>
      <c r="AH25" s="535"/>
      <c r="AI25" s="558" t="str">
        <f>IFERROR(__xludf.DUMMYFUNCTION("""COMPUTED_VALUE"""),"Nature Reviews. Molecular Cell Biology")</f>
        <v>Nature Reviews. Molecular Cell Biology</v>
      </c>
      <c r="AJ25" t="str">
        <f>IFERROR(__xludf.DUMMYFUNCTION("""COMPUTED_VALUE"""),"Life Sciences &amp; Earth Sciences")</f>
        <v>Life Sciences &amp; Earth Sciences</v>
      </c>
      <c r="AK25" t="str">
        <f>IFERROR(__xludf.DUMMYFUNCTION("""COMPUTED_VALUE"""),"No preprint policy")</f>
        <v>No preprint policy</v>
      </c>
      <c r="AL25" s="535"/>
      <c r="AM25" t="str">
        <f>IFERROR(__xludf.DUMMYFUNCTION("""COMPUTED_VALUE"""),"Physical Review Letters")</f>
        <v>Physical Review Letters</v>
      </c>
      <c r="AN25" t="str">
        <f>IFERROR(__xludf.DUMMYFUNCTION("""COMPUTED_VALUE"""),"Physics &amp; Mathematics")</f>
        <v>Physics &amp; Mathematics</v>
      </c>
      <c r="AO25" t="str">
        <f>IFERROR(__xludf.DUMMYFUNCTION("""COMPUTED_VALUE"""),"No preprint policy")</f>
        <v>No preprint policy</v>
      </c>
      <c r="AP25" s="535"/>
      <c r="AQ25" t="str">
        <f>IFERROR(__xludf.DUMMYFUNCTION("""COMPUTED_VALUE"""),"New Media and Society")</f>
        <v>New Media and Society</v>
      </c>
      <c r="AR25" t="str">
        <f>IFERROR(__xludf.DUMMYFUNCTION("""COMPUTED_VALUE"""),"Social Sciences")</f>
        <v>Social Sciences</v>
      </c>
      <c r="AS25" t="str">
        <f>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row>
    <row r="26">
      <c r="A26" s="552"/>
      <c r="B26" s="552"/>
      <c r="C26" t="str">
        <f>Filtered!I16</f>
        <v>Angewandte Chemie International Edition</v>
      </c>
      <c r="D26" t="str">
        <f>Filtered!J16</f>
        <v>Chemical &amp; Materials Sciences</v>
      </c>
      <c r="E26" t="str">
        <f>Filtered!AH16</f>
        <v>First submission only (before peer review)</v>
      </c>
      <c r="F26" t="b">
        <f t="shared" si="10"/>
        <v>0</v>
      </c>
      <c r="G26" t="b">
        <f t="shared" si="11"/>
        <v>1</v>
      </c>
      <c r="H26" t="b">
        <f t="shared" si="12"/>
        <v>0</v>
      </c>
      <c r="I26" t="b">
        <f t="shared" si="13"/>
        <v>0</v>
      </c>
      <c r="J26" t="b">
        <f t="shared" si="14"/>
        <v>0</v>
      </c>
      <c r="K26" t="b">
        <f t="shared" si="15"/>
        <v>0</v>
      </c>
      <c r="L26" t="b">
        <f t="shared" si="16"/>
        <v>0</v>
      </c>
      <c r="M26" t="b">
        <f t="shared" si="17"/>
        <v>0</v>
      </c>
      <c r="N26" s="535"/>
      <c r="O26" s="558" t="str">
        <f>IFERROR(__xludf.DUMMYFUNCTION("""COMPUTED_VALUE"""),"The Journal of Finance")</f>
        <v>The Journal of Finance</v>
      </c>
      <c r="P26" t="str">
        <f>IFERROR(__xludf.DUMMYFUNCTION("""COMPUTED_VALUE"""),"Business, Economics &amp; Management")</f>
        <v>Business, Economics &amp; Management</v>
      </c>
      <c r="Q26" t="str">
        <f>IFERROR(__xludf.DUMMYFUNCTION("""COMPUTED_VALUE"""),"None ""All submitted manuscripts must be; (i) original, (ii) unpublished (including any
 online publication), """)</f>
        <v>None "All submitted manuscripts must be; (i) original, (ii) unpublished (including any
 online publication), "</v>
      </c>
      <c r="R26" s="535"/>
      <c r="S26" s="558" t="str">
        <f>IFERROR(__xludf.DUMMYFUNCTION("""COMPUTED_VALUE"""),"Nano Letters")</f>
        <v>Nano Letters</v>
      </c>
      <c r="T26" t="str">
        <f>IFERROR(__xludf.DUMMYFUNCTION("""COMPUTED_VALUE"""),"Chemical &amp; Materials Sciences,
Engineering &amp; Computer Science")</f>
        <v>Chemical &amp; Materials Sciences,
Engineering &amp; Computer Science</v>
      </c>
      <c r="U26" t="str">
        <f>IFERROR(__xludf.DUMMYFUNCTION("""COMPUTED_VALUE"""),"First submission only (before peer review)")</f>
        <v>First submission only (before peer review)</v>
      </c>
      <c r="V26" s="535"/>
      <c r="W26" s="558" t="str">
        <f>IFERROR(__xludf.DUMMYFUNCTION("""COMPUTED_VALUE"""),"Nanoscale")</f>
        <v>Nanoscale</v>
      </c>
      <c r="X26" t="str">
        <f>IFERROR(__xludf.DUMMYFUNCTION("""COMPUTED_VALUE"""),"Chemical &amp; Materials Sciences,
Engineering &amp; Computer Science")</f>
        <v>Chemical &amp; Materials Sciences,
Engineering &amp; Computer Science</v>
      </c>
      <c r="Y26" t="str">
        <f>IFERROR(__xludf.DUMMYFUNCTION("""COMPUTED_VALUE"""),"First submission only (before peer review)")</f>
        <v>First submission only (before peer review)</v>
      </c>
      <c r="Z26" s="535"/>
      <c r="AA26" s="558" t="str">
        <f>IFERROR(__xludf.DUMMYFUNCTION("""COMPUTED_VALUE"""),"PLoS One")</f>
        <v>PLoS One</v>
      </c>
      <c r="AB26" t="str">
        <f>IFERROR(__xludf.DUMMYFUNCTION("""COMPUTED_VALUE"""),"Health &amp; Medical Sciences,
Life Sciences &amp; Earth Sciences")</f>
        <v>Health &amp; Medical Sciences,
Life Sciences &amp; Earth Sciences</v>
      </c>
      <c r="AC26" t="str">
        <f>IFERROR(__xludf.DUMMYFUNCTION("""COMPUTED_VALUE"""),"First submission only (before peer review)")</f>
        <v>First submission only (before peer review)</v>
      </c>
      <c r="AD26" s="535"/>
      <c r="AE26" s="558" t="str">
        <f>IFERROR(__xludf.DUMMYFUNCTION("""COMPUTED_VALUE"""),"Public Opinion Quarterly")</f>
        <v>Public Opinion Quarterly</v>
      </c>
      <c r="AF26" t="str">
        <f>IFERROR(__xludf.DUMMYFUNCTION("""COMPUTED_VALUE"""),"Humanities, Literature &amp; Arts")</f>
        <v>Humanities, Literature &amp; Arts</v>
      </c>
      <c r="AG26" t="str">
        <f>IFERROR(__xludf.DUMMYFUNCTION("""COMPUTED_VALUE"""),"First submission only (before peer review)")</f>
        <v>First submission only (before peer review)</v>
      </c>
      <c r="AH26" s="535"/>
      <c r="AI26" s="558" t="str">
        <f>IFERROR(__xludf.DUMMYFUNCTION("""COMPUTED_VALUE"""),"Neuron")</f>
        <v>Neuron</v>
      </c>
      <c r="AJ26" t="str">
        <f>IFERROR(__xludf.DUMMYFUNCTION("""COMPUTED_VALUE"""),"Health &amp; Medical Sciences,
Life Sciences &amp; Earth Sciences")</f>
        <v>Health &amp; Medical Sciences,
Life Sciences &amp; Earth Sciences</v>
      </c>
      <c r="AK26" t="str">
        <f>IFERROR(__xludf.DUMMYFUNCTION("""COMPUTED_VALUE"""),"First submission only (before peer review)")</f>
        <v>First submission only (before peer review)</v>
      </c>
      <c r="AL26" s="535"/>
      <c r="AM26" t="str">
        <f>IFERROR(__xludf.DUMMYFUNCTION("""COMPUTED_VALUE"""),"Physical Review X")</f>
        <v>Physical Review X</v>
      </c>
      <c r="AN26" t="str">
        <f>IFERROR(__xludf.DUMMYFUNCTION("""COMPUTED_VALUE"""),"Physics &amp; Mathematics")</f>
        <v>Physics &amp; Mathematics</v>
      </c>
      <c r="AO26" t="str">
        <f>IFERROR(__xludf.DUMMYFUNCTION("""COMPUTED_VALUE"""),"No preprint policy")</f>
        <v>No preprint policy</v>
      </c>
      <c r="AP26" s="535"/>
      <c r="AQ26" t="str">
        <f>IFERROR(__xludf.DUMMYFUNCTION("""COMPUTED_VALUE"""),"Noûs")</f>
        <v>Noûs</v>
      </c>
      <c r="AR26" t="str">
        <f>IFERROR(__xludf.DUMMYFUNCTION("""COMPUTED_VALUE"""),"Social Sciences, Humanities, Literature &amp; Arts")</f>
        <v>Social Sciences, Humanities, Literature &amp; Arts</v>
      </c>
      <c r="AS26" t="str">
        <f>IFERROR(__xludf.DUMMYFUNCTION("""COMPUTED_VALUE"""),"First submission only (before peer review)")</f>
        <v>First submission only (before peer review)</v>
      </c>
    </row>
    <row r="27">
      <c r="A27" s="552"/>
      <c r="B27" s="552"/>
      <c r="C27" t="str">
        <f>Filtered!I17</f>
        <v>Annals of Internal Medicine</v>
      </c>
      <c r="D27" t="str">
        <f>Filtered!J17</f>
        <v/>
      </c>
      <c r="E27" t="str">
        <f>Filtered!AH17</f>
        <v>No preprint policy</v>
      </c>
      <c r="F27" t="b">
        <f t="shared" si="10"/>
        <v>0</v>
      </c>
      <c r="G27" t="b">
        <f t="shared" si="11"/>
        <v>0</v>
      </c>
      <c r="H27" t="b">
        <f t="shared" si="12"/>
        <v>0</v>
      </c>
      <c r="I27" t="b">
        <f t="shared" si="13"/>
        <v>0</v>
      </c>
      <c r="J27" t="b">
        <f t="shared" si="14"/>
        <v>0</v>
      </c>
      <c r="K27" t="b">
        <f t="shared" si="15"/>
        <v>0</v>
      </c>
      <c r="L27" t="b">
        <f t="shared" si="16"/>
        <v>0</v>
      </c>
      <c r="M27" t="b">
        <f t="shared" si="17"/>
        <v>0</v>
      </c>
      <c r="N27" s="535"/>
      <c r="O27" s="558" t="str">
        <f>IFERROR(__xludf.DUMMYFUNCTION("""COMPUTED_VALUE"""),"The Quarterly Journal of Economics")</f>
        <v>The Quarterly Journal of Economics</v>
      </c>
      <c r="P27" t="str">
        <f>IFERROR(__xludf.DUMMYFUNCTION("""COMPUTED_VALUE"""),"Business, Economics &amp; Management")</f>
        <v>Business, Economics &amp; Management</v>
      </c>
      <c r="Q27" t="str">
        <f>IFERROR(__xludf.DUMMYFUNCTION("""COMPUTED_VALUE"""),"First submission only (before peer review)")</f>
        <v>First submission only (before peer review)</v>
      </c>
      <c r="R27" s="535"/>
      <c r="S27" s="558" t="str">
        <f>IFERROR(__xludf.DUMMYFUNCTION("""COMPUTED_VALUE"""),"Nanoscale")</f>
        <v>Nanoscale</v>
      </c>
      <c r="T27" t="str">
        <f>IFERROR(__xludf.DUMMYFUNCTION("""COMPUTED_VALUE"""),"Chemical &amp; Materials Sciences,
Engineering &amp; Computer Science")</f>
        <v>Chemical &amp; Materials Sciences,
Engineering &amp; Computer Science</v>
      </c>
      <c r="U27" t="str">
        <f>IFERROR(__xludf.DUMMYFUNCTION("""COMPUTED_VALUE"""),"First submission only (before peer review)")</f>
        <v>First submission only (before peer review)</v>
      </c>
      <c r="V27" s="535"/>
      <c r="W27" s="558" t="str">
        <f>IFERROR(__xludf.DUMMYFUNCTION("""COMPUTED_VALUE"""),"Nature Materials")</f>
        <v>Nature Materials</v>
      </c>
      <c r="X27" t="str">
        <f>IFERROR(__xludf.DUMMYFUNCTION("""COMPUTED_VALUE"""),"Chemical &amp; Materials Sciences,
Engineering &amp; Computer Science")</f>
        <v>Chemical &amp; Materials Sciences,
Engineering &amp; Computer Science</v>
      </c>
      <c r="Y27" t="str">
        <f>IFERROR(__xludf.DUMMYFUNCTION("""COMPUTED_VALUE"""),"First submission only (before peer review)")</f>
        <v>First submission only (before peer review)</v>
      </c>
      <c r="Z27" s="535"/>
      <c r="AA27" s="558" t="str">
        <f>IFERROR(__xludf.DUMMYFUNCTION("""COMPUTED_VALUE"""),"Proceedings of the National Academy of Sciences")</f>
        <v>Proceedings of the National Academy of Sciences</v>
      </c>
      <c r="AB27" t="str">
        <f>IFERROR(__xludf.DUMMYFUNCTION("""COMPUTED_VALUE"""),"Health &amp; Medical Sciences,
Life Sciences &amp; Earth Sciences")</f>
        <v>Health &amp; Medical Sciences,
Life Sciences &amp; Earth Sciences</v>
      </c>
      <c r="AC27" t="str">
        <f>IFERROR(__xludf.DUMMYFUNCTION("""COMPUTED_VALUE"""),"Unsure (preprints are allowed, but it's not clear what version")</f>
        <v>Unsure (preprints are allowed, but it's not clear what version</v>
      </c>
      <c r="AD27" s="535"/>
      <c r="AE27" s="558" t="str">
        <f>IFERROR(__xludf.DUMMYFUNCTION("""COMPUTED_VALUE"""),"Synthese")</f>
        <v>Synthese</v>
      </c>
      <c r="AF27" t="str">
        <f>IFERROR(__xludf.DUMMYFUNCTION("""COMPUTED_VALUE"""),"Humanities, Literature &amp; Arts")</f>
        <v>Humanities, Literature &amp; Arts</v>
      </c>
      <c r="AG27" t="str">
        <f>IFERROR(__xludf.DUMMYFUNCTION("""COMPUTED_VALUE"""),"No preprint policy")</f>
        <v>No preprint policy</v>
      </c>
      <c r="AH27" s="535"/>
      <c r="AI27" s="558" t="str">
        <f>IFERROR(__xludf.DUMMYFUNCTION("""COMPUTED_VALUE"""),"Nucleic Acids Research")</f>
        <v>Nucleic Acids Research</v>
      </c>
      <c r="AJ27" t="str">
        <f>IFERROR(__xludf.DUMMYFUNCTION("""COMPUTED_VALUE"""),"Life Sciences &amp; Earth Sciences")</f>
        <v>Life Sciences &amp; Earth Sciences</v>
      </c>
      <c r="AK27" t="str">
        <f>IFERROR(__xludf.DUMMYFUNCTION("""COMPUTED_VALUE"""),"First submission only (before peer review)")</f>
        <v>First submission only (before peer review)</v>
      </c>
      <c r="AL27" s="535"/>
      <c r="AM27" t="str">
        <f>IFERROR(__xludf.DUMMYFUNCTION("""COMPUTED_VALUE"""),"Physics Letters B")</f>
        <v>Physics Letters B</v>
      </c>
      <c r="AN27" t="str">
        <f>IFERROR(__xludf.DUMMYFUNCTION("""COMPUTED_VALUE"""),"Physics &amp; Mathematics")</f>
        <v>Physics &amp; Mathematics</v>
      </c>
      <c r="AO27" t="str">
        <f>IFERROR(__xludf.DUMMYFUNCTION("""COMPUTED_VALUE"""),"First submission only (before peer review)")</f>
        <v>First submission only (before peer review)</v>
      </c>
      <c r="AP27" s="535"/>
      <c r="AQ27" t="str">
        <f>IFERROR(__xludf.DUMMYFUNCTION("""COMPUTED_VALUE"""),"Progress in Human Geography")</f>
        <v>Progress in Human Geography</v>
      </c>
      <c r="AR27" t="str">
        <f>IFERROR(__xludf.DUMMYFUNCTION("""COMPUTED_VALUE"""),"Social Sciences")</f>
        <v>Social Sciences</v>
      </c>
      <c r="AS27" t="str">
        <f>IFERROR(__xludf.DUMMYFUNCTION("""COMPUTED_VALUE"""),"Unsure (preprints are allowed, but it's not clear what version)")</f>
        <v>Unsure (preprints are allowed, but it's not clear what version)</v>
      </c>
    </row>
    <row r="28">
      <c r="A28" s="552"/>
      <c r="B28" s="552"/>
      <c r="C28" t="str">
        <f>Filtered!I18</f>
        <v>Annals of Oncology</v>
      </c>
      <c r="D28" t="str">
        <f>Filtered!J18</f>
        <v/>
      </c>
      <c r="E28" t="str">
        <f>Filtered!AH18</f>
        <v>First submission only (before peer review)</v>
      </c>
      <c r="F28" t="b">
        <f t="shared" si="10"/>
        <v>0</v>
      </c>
      <c r="G28" t="b">
        <f t="shared" si="11"/>
        <v>0</v>
      </c>
      <c r="H28" t="b">
        <f t="shared" si="12"/>
        <v>0</v>
      </c>
      <c r="I28" t="b">
        <f t="shared" si="13"/>
        <v>0</v>
      </c>
      <c r="J28" t="b">
        <f t="shared" si="14"/>
        <v>0</v>
      </c>
      <c r="K28" t="b">
        <f t="shared" si="15"/>
        <v>0</v>
      </c>
      <c r="L28" t="b">
        <f t="shared" si="16"/>
        <v>0</v>
      </c>
      <c r="M28" t="b">
        <f t="shared" si="17"/>
        <v>0</v>
      </c>
      <c r="N28" s="535"/>
      <c r="O28" s="558" t="str">
        <f>IFERROR(__xludf.DUMMYFUNCTION("""COMPUTED_VALUE"""),"The Review of Economic Studies")</f>
        <v>The Review of Economic Studies</v>
      </c>
      <c r="P28" t="str">
        <f>IFERROR(__xludf.DUMMYFUNCTION("""COMPUTED_VALUE"""),"Business, Economics &amp; Management")</f>
        <v>Business, Economics &amp; Management</v>
      </c>
      <c r="Q28" t="str">
        <f>IFERROR(__xludf.DUMMYFUNCTION("""COMPUTED_VALUE"""),"First submission only (before peer review)")</f>
        <v>First submission only (before peer review)</v>
      </c>
      <c r="R28" s="535"/>
      <c r="S28" s="558" t="str">
        <f>IFERROR(__xludf.DUMMYFUNCTION("""COMPUTED_VALUE"""),"Nature Chemistry")</f>
        <v>Nature Chemistry</v>
      </c>
      <c r="T28" t="str">
        <f>IFERROR(__xludf.DUMMYFUNCTION("""COMPUTED_VALUE"""),"Chemical &amp; Materials Sciences")</f>
        <v>Chemical &amp; Materials Sciences</v>
      </c>
      <c r="U28" t="str">
        <f>IFERROR(__xludf.DUMMYFUNCTION("""COMPUTED_VALUE"""),"First submission only (before peer review)")</f>
        <v>First submission only (before peer review)</v>
      </c>
      <c r="V28" s="535"/>
      <c r="W28" s="558" t="str">
        <f>IFERROR(__xludf.DUMMYFUNCTION("""COMPUTED_VALUE"""),"Nature Nanotechnology")</f>
        <v>Nature Nanotechnology</v>
      </c>
      <c r="X28" t="str">
        <f>IFERROR(__xludf.DUMMYFUNCTION("""COMPUTED_VALUE"""),"Chemical &amp; Materials Sciences,
Engineering &amp; Computer Science")</f>
        <v>Chemical &amp; Materials Sciences,
Engineering &amp; Computer Science</v>
      </c>
      <c r="Y28" t="str">
        <f>IFERROR(__xludf.DUMMYFUNCTION("""COMPUTED_VALUE"""),"First submission only (before peer review)")</f>
        <v>First submission only (before peer review)</v>
      </c>
      <c r="Z28" s="535"/>
      <c r="AA28" s="558" t="str">
        <f>IFERROR(__xludf.DUMMYFUNCTION("""COMPUTED_VALUE"""),"The Cochrane Database of Systematic Reviews")</f>
        <v>The Cochrane Database of Systematic Reviews</v>
      </c>
      <c r="AB28" t="str">
        <f>IFERROR(__xludf.DUMMYFUNCTION("""COMPUTED_VALUE"""),"Health &amp; Medical Sciences")</f>
        <v>Health &amp; Medical Sciences</v>
      </c>
      <c r="AC28" t="str">
        <f>IFERROR(__xludf.DUMMYFUNCTION("""COMPUTED_VALUE"""),"No preprint policy")</f>
        <v>No preprint policy</v>
      </c>
      <c r="AD28" s="535"/>
      <c r="AE28" s="558" t="str">
        <f>IFERROR(__xludf.DUMMYFUNCTION("""COMPUTED_VALUE"""),"System")</f>
        <v>System</v>
      </c>
      <c r="AF28" t="str">
        <f>IFERROR(__xludf.DUMMYFUNCTION("""COMPUTED_VALUE"""),"Humanities, Literature &amp; Arts")</f>
        <v>Humanities, Literature &amp; Arts</v>
      </c>
      <c r="AG28" t="str">
        <f>IFERROR(__xludf.DUMMYFUNCTION("""COMPUTED_VALUE"""),"No preprint policy")</f>
        <v>No preprint policy</v>
      </c>
      <c r="AH28" s="535"/>
      <c r="AI28" s="558" t="str">
        <f>IFERROR(__xludf.DUMMYFUNCTION("""COMPUTED_VALUE"""),"PLoS One")</f>
        <v>PLoS One</v>
      </c>
      <c r="AJ28" t="str">
        <f>IFERROR(__xludf.DUMMYFUNCTION("""COMPUTED_VALUE"""),"Health &amp; Medical Sciences,
Life Sciences &amp; Earth Sciences")</f>
        <v>Health &amp; Medical Sciences,
Life Sciences &amp; Earth Sciences</v>
      </c>
      <c r="AK28" t="str">
        <f>IFERROR(__xludf.DUMMYFUNCTION("""COMPUTED_VALUE"""),"First submission only (before peer review)")</f>
        <v>First submission only (before peer review)</v>
      </c>
      <c r="AL28" s="535"/>
      <c r="AM28" t="str">
        <f>IFERROR(__xludf.DUMMYFUNCTION("""COMPUTED_VALUE"""),"Reviews of Modern Physics")</f>
        <v>Reviews of Modern Physics</v>
      </c>
      <c r="AN28" t="str">
        <f>IFERROR(__xludf.DUMMYFUNCTION("""COMPUTED_VALUE"""),"Physics &amp; Mathematics")</f>
        <v>Physics &amp; Mathematics</v>
      </c>
      <c r="AO28" t="str">
        <f>IFERROR(__xludf.DUMMYFUNCTION("""COMPUTED_VALUE"""),"Any")</f>
        <v>Any</v>
      </c>
      <c r="AP28" s="535"/>
      <c r="AQ28" t="str">
        <f>IFERROR(__xludf.DUMMYFUNCTION("""COMPUTED_VALUE"""),"Regional Studies")</f>
        <v>Regional Studies</v>
      </c>
      <c r="AR28" t="str">
        <f>IFERROR(__xludf.DUMMYFUNCTION("""COMPUTED_VALUE"""),"Social Sciences")</f>
        <v>Social Sciences</v>
      </c>
      <c r="AS28" t="str">
        <f>IFERROR(__xludf.DUMMYFUNCTION("""COMPUTED_VALUE"""),"No preprint policy")</f>
        <v>No preprint policy</v>
      </c>
    </row>
    <row r="29">
      <c r="A29" s="552"/>
      <c r="B29" s="552"/>
      <c r="C29" t="str">
        <f>Filtered!I19</f>
        <v>Annals of the Rheumatic Diseases</v>
      </c>
      <c r="D29" t="str">
        <f>Filtered!J19</f>
        <v/>
      </c>
      <c r="E29" t="str">
        <f>Filtered!AH19</f>
        <v>After peer review (but not final, copyedited version)</v>
      </c>
      <c r="F29" t="b">
        <f t="shared" si="10"/>
        <v>0</v>
      </c>
      <c r="G29" t="b">
        <f t="shared" si="11"/>
        <v>0</v>
      </c>
      <c r="H29" t="b">
        <f t="shared" si="12"/>
        <v>0</v>
      </c>
      <c r="I29" t="b">
        <f t="shared" si="13"/>
        <v>0</v>
      </c>
      <c r="J29" t="b">
        <f t="shared" si="14"/>
        <v>0</v>
      </c>
      <c r="K29" t="b">
        <f t="shared" si="15"/>
        <v>0</v>
      </c>
      <c r="L29" t="b">
        <f t="shared" si="16"/>
        <v>0</v>
      </c>
      <c r="M29" t="b">
        <f t="shared" si="17"/>
        <v>0</v>
      </c>
      <c r="N29" s="535"/>
      <c r="O29" s="558" t="str">
        <f>IFERROR(__xludf.DUMMYFUNCTION("""COMPUTED_VALUE"""),"The Review of Financial Studies")</f>
        <v>The Review of Financial Studies</v>
      </c>
      <c r="P29" t="str">
        <f>IFERROR(__xludf.DUMMYFUNCTION("""COMPUTED_VALUE"""),"Business, Economics &amp; Management")</f>
        <v>Business, Economics &amp; Management</v>
      </c>
      <c r="Q29" t="str">
        <f>IFERROR(__xludf.DUMMYFUNCTION("""COMPUTED_VALUE"""),"After peer review (but not final, copyedited version)")</f>
        <v>After peer review (but not final, copyedited version)</v>
      </c>
      <c r="R29" s="535"/>
      <c r="S29" s="558" t="str">
        <f>IFERROR(__xludf.DUMMYFUNCTION("""COMPUTED_VALUE"""),"Nature Materials")</f>
        <v>Nature Materials</v>
      </c>
      <c r="T29" t="str">
        <f>IFERROR(__xludf.DUMMYFUNCTION("""COMPUTED_VALUE"""),"Chemical &amp; Materials Sciences,
Engineering &amp; Computer Science")</f>
        <v>Chemical &amp; Materials Sciences,
Engineering &amp; Computer Science</v>
      </c>
      <c r="U29" t="str">
        <f>IFERROR(__xludf.DUMMYFUNCTION("""COMPUTED_VALUE"""),"First submission only (before peer review)")</f>
        <v>First submission only (before peer review)</v>
      </c>
      <c r="V29" s="535"/>
      <c r="W29" s="558" t="str">
        <f>IFERROR(__xludf.DUMMYFUNCTION("""COMPUTED_VALUE"""),"Nature Photonics")</f>
        <v>Nature Photonics</v>
      </c>
      <c r="X29" t="str">
        <f>IFERROR(__xludf.DUMMYFUNCTION("""COMPUTED_VALUE"""),"Engineering &amp; Computer Science,
Physics &amp; Mathematics")</f>
        <v>Engineering &amp; Computer Science,
Physics &amp; Mathematics</v>
      </c>
      <c r="Y29" t="str">
        <f>IFERROR(__xludf.DUMMYFUNCTION("""COMPUTED_VALUE"""),"First submission only (before peer review)")</f>
        <v>First submission only (before peer review)</v>
      </c>
      <c r="Z29" s="535"/>
      <c r="AA29" s="558" t="str">
        <f>IFERROR(__xludf.DUMMYFUNCTION("""COMPUTED_VALUE"""),"The Lancet")</f>
        <v>The Lancet</v>
      </c>
      <c r="AB29" t="str">
        <f>IFERROR(__xludf.DUMMYFUNCTION("""COMPUTED_VALUE"""),"Health &amp; Medical Sciences")</f>
        <v>Health &amp; Medical Sciences</v>
      </c>
      <c r="AC29" t="str">
        <f>IFERROR(__xludf.DUMMYFUNCTION("""COMPUTED_VALUE"""),"Unsure")</f>
        <v>Unsure</v>
      </c>
      <c r="AD29" s="535"/>
      <c r="AE29" s="558" t="str">
        <f>IFERROR(__xludf.DUMMYFUNCTION("""COMPUTED_VALUE"""),"TESOL Quarterly")</f>
        <v>TESOL Quarterly</v>
      </c>
      <c r="AF29" t="str">
        <f>IFERROR(__xludf.DUMMYFUNCTION("""COMPUTED_VALUE"""),"Humanities, Literature &amp; Arts")</f>
        <v>Humanities, Literature &amp; Arts</v>
      </c>
      <c r="AG29" t="str">
        <f>IFERROR(__xludf.DUMMYFUNCTION("""COMPUTED_VALUE"""),"No preprint policy")</f>
        <v>No preprint policy</v>
      </c>
      <c r="AH29" s="535"/>
      <c r="AI29" s="558" t="str">
        <f>IFERROR(__xludf.DUMMYFUNCTION("""COMPUTED_VALUE"""),"Proceedings of the National Academy of Sciences")</f>
        <v>Proceedings of the National Academy of Sciences</v>
      </c>
      <c r="AJ29" t="str">
        <f>IFERROR(__xludf.DUMMYFUNCTION("""COMPUTED_VALUE"""),"Health &amp; Medical Sciences,
Life Sciences &amp; Earth Sciences")</f>
        <v>Health &amp; Medical Sciences,
Life Sciences &amp; Earth Sciences</v>
      </c>
      <c r="AK29" t="str">
        <f>IFERROR(__xludf.DUMMYFUNCTION("""COMPUTED_VALUE"""),"Unsure (preprints are allowed, but it's not clear what version")</f>
        <v>Unsure (preprints are allowed, but it's not clear what version</v>
      </c>
      <c r="AL29" s="535"/>
      <c r="AM29" t="str">
        <f>IFERROR(__xludf.DUMMYFUNCTION("""COMPUTED_VALUE"""),"The Astrophysical Journal")</f>
        <v>The Astrophysical Journal</v>
      </c>
      <c r="AN29" t="str">
        <f>IFERROR(__xludf.DUMMYFUNCTION("""COMPUTED_VALUE"""),"Physics &amp; Mathematics")</f>
        <v>Physics &amp; Mathematics</v>
      </c>
      <c r="AO29" t="str">
        <f>IFERROR(__xludf.DUMMYFUNCTION("""COMPUTED_VALUE"""),"No preprint policy")</f>
        <v>No preprint policy</v>
      </c>
      <c r="AP29" s="535"/>
      <c r="AQ29" t="str">
        <f>IFERROR(__xludf.DUMMYFUNCTION("""COMPUTED_VALUE"""),"Research Policy")</f>
        <v>Research Policy</v>
      </c>
      <c r="AR29" t="str">
        <f>IFERROR(__xludf.DUMMYFUNCTION("""COMPUTED_VALUE"""),"Social Sciences")</f>
        <v>Social Sciences</v>
      </c>
      <c r="AS29" t="str">
        <f>IFERROR(__xludf.DUMMYFUNCTION("""COMPUTED_VALUE"""),"First submission only (before peer review)")</f>
        <v>First submission only (before peer review)</v>
      </c>
    </row>
    <row r="30">
      <c r="A30" s="552"/>
      <c r="B30" s="552"/>
      <c r="C30" t="str">
        <f>Filtered!I20</f>
        <v>Annals of Tourism Research</v>
      </c>
      <c r="D30" t="str">
        <f>Filtered!J20</f>
        <v>Social Sciences</v>
      </c>
      <c r="E30" t="str">
        <f>Filtered!AH20</f>
        <v>Any</v>
      </c>
      <c r="F30" t="b">
        <f t="shared" si="10"/>
        <v>0</v>
      </c>
      <c r="G30" t="b">
        <f t="shared" si="11"/>
        <v>0</v>
      </c>
      <c r="H30" t="b">
        <f t="shared" si="12"/>
        <v>0</v>
      </c>
      <c r="I30" t="b">
        <f t="shared" si="13"/>
        <v>0</v>
      </c>
      <c r="J30" t="b">
        <f t="shared" si="14"/>
        <v>0</v>
      </c>
      <c r="K30" t="b">
        <f t="shared" si="15"/>
        <v>0</v>
      </c>
      <c r="L30" t="b">
        <f t="shared" si="16"/>
        <v>0</v>
      </c>
      <c r="M30" t="b">
        <f t="shared" si="17"/>
        <v>1</v>
      </c>
      <c r="N30" s="535"/>
      <c r="O30" s="558" t="str">
        <f>IFERROR(__xludf.DUMMYFUNCTION("""COMPUTED_VALUE"""),"Tourism Management")</f>
        <v>Tourism Management</v>
      </c>
      <c r="P30" t="str">
        <f>IFERROR(__xludf.DUMMYFUNCTION("""COMPUTED_VALUE"""),"Business, Economics &amp; Management")</f>
        <v>Business, Economics &amp; Management</v>
      </c>
      <c r="Q30" t="str">
        <f>IFERROR(__xludf.DUMMYFUNCTION("""COMPUTED_VALUE"""),"First submission only (before peer review)")</f>
        <v>First submission only (before peer review)</v>
      </c>
      <c r="R30" s="535"/>
      <c r="S30" s="558" t="str">
        <f>IFERROR(__xludf.DUMMYFUNCTION("""COMPUTED_VALUE"""),"Nature Nanotechnology")</f>
        <v>Nature Nanotechnology</v>
      </c>
      <c r="T30" t="str">
        <f>IFERROR(__xludf.DUMMYFUNCTION("""COMPUTED_VALUE"""),"Chemical &amp; Materials Sciences,
Engineering &amp; Computer Science")</f>
        <v>Chemical &amp; Materials Sciences,
Engineering &amp; Computer Science</v>
      </c>
      <c r="U30" t="str">
        <f>IFERROR(__xludf.DUMMYFUNCTION("""COMPUTED_VALUE"""),"First submission only (before peer review)")</f>
        <v>First submission only (before peer review)</v>
      </c>
      <c r="V30" s="535"/>
      <c r="W30" s="558" t="str">
        <f>IFERROR(__xludf.DUMMYFUNCTION("""COMPUTED_VALUE"""),"Neural Information Processing Systems (NIPS)")</f>
        <v>Neural Information Processing Systems (NIPS)</v>
      </c>
      <c r="X30" t="str">
        <f>IFERROR(__xludf.DUMMYFUNCTION("""COMPUTED_VALUE"""),"Engineering &amp; Computer Science")</f>
        <v>Engineering &amp; Computer Science</v>
      </c>
      <c r="Y30" t="str">
        <f>IFERROR(__xludf.DUMMYFUNCTION("""COMPUTED_VALUE"""),"Unclear")</f>
        <v>Unclear</v>
      </c>
      <c r="Z30" s="535"/>
      <c r="AA30" s="558" t="str">
        <f>IFERROR(__xludf.DUMMYFUNCTION("""COMPUTED_VALUE"""),"The Lancet Oncology")</f>
        <v>The Lancet Oncology</v>
      </c>
      <c r="AB30" t="str">
        <f>IFERROR(__xludf.DUMMYFUNCTION("""COMPUTED_VALUE"""),"Health &amp; Medical Sciences")</f>
        <v>Health &amp; Medical Sciences</v>
      </c>
      <c r="AC30" t="str">
        <f>IFERROR(__xludf.DUMMYFUNCTION("""COMPUTED_VALUE"""),"First submission only")</f>
        <v>First submission only</v>
      </c>
      <c r="AD30" s="535"/>
      <c r="AE30" s="558" t="str">
        <f>IFERROR(__xludf.DUMMYFUNCTION("""COMPUTED_VALUE"""),"The China Quarterly")</f>
        <v>The China Quarterly</v>
      </c>
      <c r="AF30" t="str">
        <f>IFERROR(__xludf.DUMMYFUNCTION("""COMPUTED_VALUE"""),"Humanities, Literature &amp; Arts")</f>
        <v>Humanities, Literature &amp; Arts</v>
      </c>
      <c r="AG30" t="str">
        <f>IFERROR(__xludf.DUMMYFUNCTION("""COMPUTED_VALUE"""),"No preprint policy")</f>
        <v>No preprint policy</v>
      </c>
      <c r="AH30" s="535"/>
      <c r="AI30" s="558" t="str">
        <f>IFERROR(__xludf.DUMMYFUNCTION("""COMPUTED_VALUE"""),"Science")</f>
        <v>Science</v>
      </c>
      <c r="AJ30" t="str">
        <f>IFERROR(__xludf.DUMMYFUNCTION("""COMPUTED_VALUE"""),"Life Sciences &amp; Earth Sciences")</f>
        <v>Life Sciences &amp; Earth Sciences</v>
      </c>
      <c r="AK30" t="str">
        <f>IFERROR(__xludf.DUMMYFUNCTION("""COMPUTED_VALUE"""),"First submission only (before peer review)")</f>
        <v>First submission only (before peer review)</v>
      </c>
      <c r="AL30" s="535"/>
      <c r="AM30" t="str">
        <f>IFERROR(__xludf.DUMMYFUNCTION("""COMPUTED_VALUE"""),"The European Physical Journal C")</f>
        <v>The European Physical Journal C</v>
      </c>
      <c r="AN30" t="str">
        <f>IFERROR(__xludf.DUMMYFUNCTION("""COMPUTED_VALUE"""),"Physics &amp; Mathematics")</f>
        <v>Physics &amp; Mathematics</v>
      </c>
      <c r="AO30" t="str">
        <f>IFERROR(__xludf.DUMMYFUNCTION("""COMPUTED_VALUE"""),"Any (OA) or After peer review (non-OA)")</f>
        <v>Any (OA) or After peer review (non-OA)</v>
      </c>
      <c r="AP30" s="535"/>
      <c r="AQ30" t="str">
        <f>IFERROR(__xludf.DUMMYFUNCTION("""COMPUTED_VALUE"""),"Social Science &amp; Medicine")</f>
        <v>Social Science &amp; Medicine</v>
      </c>
      <c r="AR30" t="str">
        <f>IFERROR(__xludf.DUMMYFUNCTION("""COMPUTED_VALUE"""),"Social Sciences")</f>
        <v>Social Sciences</v>
      </c>
      <c r="AS30" t="str">
        <f>IFERROR(__xludf.DUMMYFUNCTION("""COMPUTED_VALUE"""),"First submission only")</f>
        <v>First submission only</v>
      </c>
    </row>
    <row r="31">
      <c r="A31" s="552"/>
      <c r="B31" s="552"/>
      <c r="C31" t="str">
        <f>Filtered!I21</f>
        <v>Applied Energy</v>
      </c>
      <c r="D31" t="str">
        <f>Filtered!J21</f>
        <v/>
      </c>
      <c r="E31" t="str">
        <f>Filtered!AH21</f>
        <v>Any</v>
      </c>
      <c r="F31" t="b">
        <f t="shared" si="10"/>
        <v>0</v>
      </c>
      <c r="G31" t="b">
        <f t="shared" si="11"/>
        <v>0</v>
      </c>
      <c r="H31" t="b">
        <f t="shared" si="12"/>
        <v>0</v>
      </c>
      <c r="I31" t="b">
        <f t="shared" si="13"/>
        <v>0</v>
      </c>
      <c r="J31" t="b">
        <f t="shared" si="14"/>
        <v>0</v>
      </c>
      <c r="K31" t="b">
        <f t="shared" si="15"/>
        <v>0</v>
      </c>
      <c r="L31" t="b">
        <f t="shared" si="16"/>
        <v>0</v>
      </c>
      <c r="M31" t="b">
        <f t="shared" si="17"/>
        <v>0</v>
      </c>
      <c r="N31" s="535"/>
      <c r="O31" s="558" t="str">
        <f>IFERROR(__xludf.DUMMYFUNCTION("""COMPUTED_VALUE"""),"World Development")</f>
        <v>World Development</v>
      </c>
      <c r="P31" t="str">
        <f>IFERROR(__xludf.DUMMYFUNCTION("""COMPUTED_VALUE"""),"Business, Economics &amp; Management")</f>
        <v>Business, Economics &amp; Management</v>
      </c>
      <c r="Q31" t="str">
        <f>IFERROR(__xludf.DUMMYFUNCTION("""COMPUTED_VALUE"""),"Unsure (preprints are allowed, but it's not clear what version)")</f>
        <v>Unsure (preprints are allowed, but it's not clear what version)</v>
      </c>
      <c r="R31" s="535"/>
      <c r="S31" s="558" t="str">
        <f>IFERROR(__xludf.DUMMYFUNCTION("""COMPUTED_VALUE"""),"The Journal of Physical Chemistry Letters")</f>
        <v>The Journal of Physical Chemistry Letters</v>
      </c>
      <c r="T31" t="str">
        <f>IFERROR(__xludf.DUMMYFUNCTION("""COMPUTED_VALUE"""),"Physics &amp; Mathematics, Chemical &amp; Materials Sciences")</f>
        <v>Physics &amp; Mathematics, Chemical &amp; Materials Sciences</v>
      </c>
      <c r="U31" t="str">
        <f>IFERROR(__xludf.DUMMYFUNCTION("""COMPUTED_VALUE"""),"First submission only")</f>
        <v>First submission only</v>
      </c>
      <c r="V31" s="535"/>
      <c r="W31" s="558" t="str">
        <f>IFERROR(__xludf.DUMMYFUNCTION("""COMPUTED_VALUE"""),"Renewable and Sustainable Energy Reviews")</f>
        <v>Renewable and Sustainable Energy Reviews</v>
      </c>
      <c r="X31" t="str">
        <f>IFERROR(__xludf.DUMMYFUNCTION("""COMPUTED_VALUE"""),"Engineering &amp; Computer Science")</f>
        <v>Engineering &amp; Computer Science</v>
      </c>
      <c r="Y31" t="str">
        <f>IFERROR(__xludf.DUMMYFUNCTION("""COMPUTED_VALUE"""),"Unsure (preprints are allowed, but it's not clear what version)")</f>
        <v>Unsure (preprints are allowed, but it's not clear what version)</v>
      </c>
      <c r="Z31" s="535"/>
      <c r="AA31" s="558" t="str">
        <f>IFERROR(__xludf.DUMMYFUNCTION("""COMPUTED_VALUE"""),"The New England Journal of Medicine")</f>
        <v>The New England Journal of Medicine</v>
      </c>
      <c r="AB31" t="str">
        <f>IFERROR(__xludf.DUMMYFUNCTION("""COMPUTED_VALUE"""),"Health &amp; Medical Sciences")</f>
        <v>Health &amp; Medical Sciences</v>
      </c>
      <c r="AC31" t="str">
        <f>IFERROR(__xludf.DUMMYFUNCTION("""COMPUTED_VALUE"""),"None (preprints not allowed)")</f>
        <v>None (preprints not allowed)</v>
      </c>
      <c r="AD31" s="535"/>
      <c r="AE31" s="558" t="str">
        <f>IFERROR(__xludf.DUMMYFUNCTION("""COMPUTED_VALUE"""),"The Modern Language Journal")</f>
        <v>The Modern Language Journal</v>
      </c>
      <c r="AF31" t="str">
        <f>IFERROR(__xludf.DUMMYFUNCTION("""COMPUTED_VALUE"""),"Humanities, Literature &amp; Arts")</f>
        <v>Humanities, Literature &amp; Arts</v>
      </c>
      <c r="AG31" t="str">
        <f>IFERROR(__xludf.DUMMYFUNCTION("""COMPUTED_VALUE"""),"No preprint policy")</f>
        <v>No preprint policy</v>
      </c>
      <c r="AH31" s="535"/>
      <c r="AI31" s="558" t="str">
        <f>IFERROR(__xludf.DUMMYFUNCTION("""COMPUTED_VALUE"""),"Scientific Reports")</f>
        <v>Scientific Reports</v>
      </c>
      <c r="AJ31" t="str">
        <f>IFERROR(__xludf.DUMMYFUNCTION("""COMPUTED_VALUE"""),"Life Sciences &amp; Earth Sciences")</f>
        <v>Life Sciences &amp; Earth Sciences</v>
      </c>
      <c r="AK31" t="str">
        <f>IFERROR(__xludf.DUMMYFUNCTION("""COMPUTED_VALUE"""),"Any")</f>
        <v>Any</v>
      </c>
      <c r="AL31" s="535"/>
      <c r="AM31" t="str">
        <f>IFERROR(__xludf.DUMMYFUNCTION("""COMPUTED_VALUE"""),"The Journal of Physical Chemistry Letters")</f>
        <v>The Journal of Physical Chemistry Letters</v>
      </c>
      <c r="AN31" t="str">
        <f>IFERROR(__xludf.DUMMYFUNCTION("""COMPUTED_VALUE"""),"Physics &amp; Mathematics, Chemical &amp; Materials Sciences")</f>
        <v>Physics &amp; Mathematics, Chemical &amp; Materials Sciences</v>
      </c>
      <c r="AO31" t="str">
        <f>IFERROR(__xludf.DUMMYFUNCTION("""COMPUTED_VALUE"""),"First submission only")</f>
        <v>First submission only</v>
      </c>
      <c r="AP31" s="535"/>
      <c r="AQ31" t="str">
        <f>IFERROR(__xludf.DUMMYFUNCTION("""COMPUTED_VALUE"""),"Teaching and Teacher Education")</f>
        <v>Teaching and Teacher Education</v>
      </c>
      <c r="AR31" t="str">
        <f>IFERROR(__xludf.DUMMYFUNCTION("""COMPUTED_VALUE"""),"Social Sciences")</f>
        <v>Social Sciences</v>
      </c>
      <c r="AS31" t="str">
        <f>IFERROR(__xludf.DUMMYFUNCTION("""COMPUTED_VALUE"""),"First submission only")</f>
        <v>First submission only</v>
      </c>
    </row>
    <row r="32">
      <c r="A32" s="552"/>
      <c r="B32" s="552"/>
      <c r="C32" t="str">
        <f>Filtered!I22</f>
        <v>Applied Linguistics</v>
      </c>
      <c r="D32" t="str">
        <f>Filtered!J22</f>
        <v>Humanities, Literature &amp; Arts</v>
      </c>
      <c r="E32" t="str">
        <f>Filtered!AH22</f>
        <v>Unsure (preprint can be posted)</v>
      </c>
      <c r="F32" t="b">
        <f t="shared" si="10"/>
        <v>0</v>
      </c>
      <c r="G32" t="b">
        <f t="shared" si="11"/>
        <v>0</v>
      </c>
      <c r="H32" t="b">
        <f t="shared" si="12"/>
        <v>0</v>
      </c>
      <c r="I32" t="b">
        <f t="shared" si="13"/>
        <v>0</v>
      </c>
      <c r="J32" t="b">
        <f t="shared" si="14"/>
        <v>1</v>
      </c>
      <c r="K32" t="b">
        <f t="shared" si="15"/>
        <v>0</v>
      </c>
      <c r="L32" t="b">
        <f t="shared" si="16"/>
        <v>0</v>
      </c>
      <c r="M32" t="b">
        <f t="shared" si="17"/>
        <v>0</v>
      </c>
      <c r="N32" s="535"/>
      <c r="O32" s="558"/>
      <c r="R32" s="535"/>
      <c r="S32" s="558"/>
      <c r="V32" s="535"/>
      <c r="W32" s="558"/>
      <c r="Z32" s="535"/>
      <c r="AA32" s="558"/>
      <c r="AD32" s="535"/>
      <c r="AE32" s="558"/>
      <c r="AH32" s="535"/>
      <c r="AI32" s="558"/>
      <c r="AL32" s="535"/>
      <c r="AP32" s="535"/>
    </row>
    <row r="33">
      <c r="A33" s="552"/>
      <c r="B33" s="552"/>
      <c r="C33" t="str">
        <f>Filtered!I23</f>
        <v>Applied Physics Letters</v>
      </c>
      <c r="D33" t="str">
        <f>Filtered!J23</f>
        <v/>
      </c>
      <c r="E33" t="str">
        <f>Filtered!AH23</f>
        <v>No preprint policy</v>
      </c>
      <c r="F33" t="b">
        <f t="shared" si="10"/>
        <v>0</v>
      </c>
      <c r="G33" t="b">
        <f t="shared" si="11"/>
        <v>0</v>
      </c>
      <c r="H33" t="b">
        <f t="shared" si="12"/>
        <v>0</v>
      </c>
      <c r="I33" t="b">
        <f t="shared" si="13"/>
        <v>0</v>
      </c>
      <c r="J33" t="b">
        <f t="shared" si="14"/>
        <v>0</v>
      </c>
      <c r="K33" t="b">
        <f t="shared" si="15"/>
        <v>0</v>
      </c>
      <c r="L33" t="b">
        <f t="shared" si="16"/>
        <v>0</v>
      </c>
      <c r="M33" t="b">
        <f t="shared" si="17"/>
        <v>0</v>
      </c>
      <c r="N33" s="535"/>
      <c r="O33" s="558"/>
      <c r="R33" s="535"/>
      <c r="S33" s="558"/>
      <c r="V33" s="535"/>
      <c r="W33" s="558"/>
      <c r="Z33" s="535"/>
      <c r="AA33" s="558"/>
      <c r="AD33" s="535"/>
      <c r="AE33" s="558"/>
      <c r="AH33" s="535"/>
      <c r="AI33" s="558"/>
      <c r="AL33" s="535"/>
      <c r="AP33" s="535"/>
    </row>
    <row r="34">
      <c r="A34" s="552"/>
      <c r="B34" s="552"/>
      <c r="C34" t="str">
        <f>Filtered!I24</f>
        <v>Astronomy &amp; Astrophysics</v>
      </c>
      <c r="D34" t="str">
        <f>Filtered!J24</f>
        <v>Physics &amp; Mathematics</v>
      </c>
      <c r="E34" t="str">
        <f>Filtered!AH24</f>
        <v>Unsure</v>
      </c>
      <c r="F34" t="b">
        <f t="shared" si="10"/>
        <v>0</v>
      </c>
      <c r="G34" t="b">
        <f t="shared" si="11"/>
        <v>0</v>
      </c>
      <c r="H34" t="b">
        <f t="shared" si="12"/>
        <v>0</v>
      </c>
      <c r="I34" t="b">
        <f t="shared" si="13"/>
        <v>0</v>
      </c>
      <c r="J34" t="b">
        <f t="shared" si="14"/>
        <v>0</v>
      </c>
      <c r="K34" t="b">
        <f t="shared" si="15"/>
        <v>0</v>
      </c>
      <c r="L34" t="b">
        <f t="shared" si="16"/>
        <v>1</v>
      </c>
      <c r="M34" t="b">
        <f t="shared" si="17"/>
        <v>0</v>
      </c>
      <c r="N34" s="535"/>
      <c r="O34" s="558"/>
      <c r="R34" s="535"/>
      <c r="S34" s="558"/>
      <c r="V34" s="535"/>
      <c r="W34" s="558"/>
      <c r="Z34" s="535"/>
      <c r="AA34" s="558"/>
      <c r="AD34" s="535"/>
      <c r="AE34" s="558"/>
      <c r="AH34" s="535"/>
      <c r="AI34" s="558"/>
      <c r="AL34" s="535"/>
      <c r="AP34" s="535"/>
    </row>
    <row r="35">
      <c r="A35" s="552"/>
      <c r="B35" s="552"/>
      <c r="C35" t="str">
        <f>Filtered!I25</f>
        <v>Biomaterials</v>
      </c>
      <c r="D35" t="str">
        <f>Filtered!J25</f>
        <v/>
      </c>
      <c r="E35" t="str">
        <f>Filtered!AH25</f>
        <v>Any (arXiv &amp; RePEc)</v>
      </c>
      <c r="F35" t="b">
        <f t="shared" si="10"/>
        <v>0</v>
      </c>
      <c r="G35" t="b">
        <f t="shared" si="11"/>
        <v>0</v>
      </c>
      <c r="H35" t="b">
        <f t="shared" si="12"/>
        <v>0</v>
      </c>
      <c r="I35" t="b">
        <f t="shared" si="13"/>
        <v>0</v>
      </c>
      <c r="J35" t="b">
        <f t="shared" si="14"/>
        <v>0</v>
      </c>
      <c r="K35" t="b">
        <f t="shared" si="15"/>
        <v>0</v>
      </c>
      <c r="L35" t="b">
        <f t="shared" si="16"/>
        <v>0</v>
      </c>
      <c r="M35" t="b">
        <f t="shared" si="17"/>
        <v>0</v>
      </c>
      <c r="N35" s="535"/>
      <c r="O35" s="558"/>
      <c r="R35" s="535"/>
      <c r="S35" s="558"/>
      <c r="V35" s="535"/>
      <c r="W35" s="558"/>
      <c r="Z35" s="535"/>
      <c r="AA35" s="558"/>
      <c r="AD35" s="535"/>
      <c r="AE35" s="558"/>
      <c r="AH35" s="535"/>
      <c r="AI35" s="558"/>
      <c r="AL35" s="535"/>
      <c r="AP35" s="535"/>
    </row>
    <row r="36">
      <c r="A36" s="552"/>
      <c r="B36" s="552"/>
      <c r="C36" t="str">
        <f>Filtered!I26</f>
        <v>Blood</v>
      </c>
      <c r="D36" t="str">
        <f>Filtered!J26</f>
        <v>Health &amp; Medical Sciences</v>
      </c>
      <c r="E36" t="str">
        <f>Filtered!AH26</f>
        <v>First submission only (before peer review)</v>
      </c>
      <c r="F36" t="b">
        <f t="shared" si="10"/>
        <v>0</v>
      </c>
      <c r="G36" t="b">
        <f t="shared" si="11"/>
        <v>0</v>
      </c>
      <c r="H36" t="b">
        <f t="shared" si="12"/>
        <v>0</v>
      </c>
      <c r="I36" t="b">
        <f t="shared" si="13"/>
        <v>1</v>
      </c>
      <c r="J36" t="b">
        <f t="shared" si="14"/>
        <v>0</v>
      </c>
      <c r="K36" t="b">
        <f t="shared" si="15"/>
        <v>0</v>
      </c>
      <c r="L36" t="b">
        <f t="shared" si="16"/>
        <v>0</v>
      </c>
      <c r="M36" t="b">
        <f t="shared" si="17"/>
        <v>0</v>
      </c>
      <c r="N36" s="535"/>
      <c r="O36" s="558"/>
      <c r="R36" s="535"/>
      <c r="S36" s="558"/>
      <c r="V36" s="535"/>
      <c r="W36" s="558"/>
      <c r="Z36" s="535"/>
      <c r="AA36" s="558"/>
      <c r="AD36" s="535"/>
      <c r="AE36" s="558"/>
      <c r="AH36" s="535"/>
      <c r="AI36" s="558"/>
      <c r="AL36" s="535"/>
      <c r="AP36" s="535"/>
    </row>
    <row r="37">
      <c r="A37" s="552"/>
      <c r="B37" s="552"/>
      <c r="C37" t="str">
        <f>Filtered!I27</f>
        <v>BMJ</v>
      </c>
      <c r="D37" t="str">
        <f>Filtered!J27</f>
        <v>Health &amp; Medical Sciences</v>
      </c>
      <c r="E37" t="str">
        <f>Filtered!AH27</f>
        <v>Any</v>
      </c>
      <c r="F37" t="b">
        <f t="shared" si="10"/>
        <v>0</v>
      </c>
      <c r="G37" t="b">
        <f t="shared" si="11"/>
        <v>0</v>
      </c>
      <c r="H37" t="b">
        <f t="shared" si="12"/>
        <v>0</v>
      </c>
      <c r="I37" t="b">
        <f t="shared" si="13"/>
        <v>1</v>
      </c>
      <c r="J37" t="b">
        <f t="shared" si="14"/>
        <v>0</v>
      </c>
      <c r="K37" t="b">
        <f t="shared" si="15"/>
        <v>0</v>
      </c>
      <c r="L37" t="b">
        <f t="shared" si="16"/>
        <v>0</v>
      </c>
      <c r="M37" t="b">
        <f t="shared" si="17"/>
        <v>0</v>
      </c>
      <c r="N37" s="535"/>
      <c r="O37" s="558"/>
      <c r="R37" s="535"/>
      <c r="S37" s="558"/>
      <c r="V37" s="535"/>
      <c r="W37" s="558"/>
      <c r="Z37" s="535"/>
      <c r="AA37" s="558"/>
      <c r="AD37" s="535"/>
      <c r="AE37" s="558"/>
      <c r="AH37" s="535"/>
      <c r="AI37" s="558"/>
      <c r="AL37" s="535"/>
      <c r="AP37" s="535"/>
    </row>
    <row r="38">
      <c r="A38" s="552"/>
      <c r="B38" s="552"/>
      <c r="C38" t="str">
        <f>Filtered!I28</f>
        <v>Cancer Cell</v>
      </c>
      <c r="D38" t="str">
        <f>Filtered!J28</f>
        <v/>
      </c>
      <c r="E38" t="str">
        <f>Filtered!AH28</f>
        <v>First submission only (before peer review)</v>
      </c>
      <c r="F38" t="b">
        <f t="shared" si="10"/>
        <v>0</v>
      </c>
      <c r="G38" t="b">
        <f t="shared" si="11"/>
        <v>0</v>
      </c>
      <c r="H38" t="b">
        <f t="shared" si="12"/>
        <v>0</v>
      </c>
      <c r="I38" t="b">
        <f t="shared" si="13"/>
        <v>0</v>
      </c>
      <c r="J38" t="b">
        <f t="shared" si="14"/>
        <v>0</v>
      </c>
      <c r="K38" t="b">
        <f t="shared" si="15"/>
        <v>0</v>
      </c>
      <c r="L38" t="b">
        <f t="shared" si="16"/>
        <v>0</v>
      </c>
      <c r="M38" t="b">
        <f t="shared" si="17"/>
        <v>0</v>
      </c>
      <c r="N38" s="535"/>
      <c r="O38" s="558"/>
      <c r="R38" s="535"/>
      <c r="S38" s="558"/>
      <c r="V38" s="535"/>
      <c r="W38" s="558"/>
      <c r="Z38" s="535"/>
      <c r="AA38" s="558"/>
      <c r="AD38" s="535"/>
      <c r="AE38" s="558"/>
      <c r="AH38" s="535"/>
      <c r="AI38" s="558"/>
      <c r="AL38" s="535"/>
      <c r="AP38" s="535"/>
    </row>
    <row r="39">
      <c r="A39" s="552"/>
      <c r="B39" s="552"/>
      <c r="C39" t="str">
        <f>Filtered!I29</f>
        <v>Cancer Research</v>
      </c>
      <c r="D39" t="str">
        <f>Filtered!J29</f>
        <v/>
      </c>
      <c r="E39" t="str">
        <f>Filtered!AH29</f>
        <v>First submission only (before peer review)</v>
      </c>
      <c r="F39" t="b">
        <f t="shared" si="10"/>
        <v>0</v>
      </c>
      <c r="G39" t="b">
        <f t="shared" si="11"/>
        <v>0</v>
      </c>
      <c r="H39" t="b">
        <f t="shared" si="12"/>
        <v>0</v>
      </c>
      <c r="I39" t="b">
        <f t="shared" si="13"/>
        <v>0</v>
      </c>
      <c r="J39" t="b">
        <f t="shared" si="14"/>
        <v>0</v>
      </c>
      <c r="K39" t="b">
        <f t="shared" si="15"/>
        <v>0</v>
      </c>
      <c r="L39" t="b">
        <f t="shared" si="16"/>
        <v>0</v>
      </c>
      <c r="M39" t="b">
        <f t="shared" si="17"/>
        <v>0</v>
      </c>
      <c r="N39" s="535"/>
      <c r="O39" s="558"/>
      <c r="R39" s="535"/>
      <c r="S39" s="558"/>
      <c r="V39" s="535"/>
      <c r="W39" s="558"/>
      <c r="Z39" s="535"/>
      <c r="AA39" s="558"/>
      <c r="AD39" s="535"/>
      <c r="AE39" s="558"/>
      <c r="AH39" s="535"/>
      <c r="AI39" s="558"/>
      <c r="AL39" s="535"/>
      <c r="AP39" s="535"/>
    </row>
    <row r="40">
      <c r="A40" s="552"/>
      <c r="B40" s="552"/>
      <c r="C40" t="str">
        <f>Filtered!I30</f>
        <v>Cell</v>
      </c>
      <c r="D40" t="str">
        <f>Filtered!J30</f>
        <v>Health &amp; Medical Sciences, Life Sciences &amp; Earth Sciences</v>
      </c>
      <c r="E40" t="str">
        <f>Filtered!AH30</f>
        <v>First submission only (before peer review)</v>
      </c>
      <c r="F40" t="b">
        <f t="shared" si="10"/>
        <v>0</v>
      </c>
      <c r="G40" t="b">
        <f t="shared" si="11"/>
        <v>0</v>
      </c>
      <c r="H40" t="b">
        <f t="shared" si="12"/>
        <v>0</v>
      </c>
      <c r="I40" t="b">
        <f t="shared" si="13"/>
        <v>1</v>
      </c>
      <c r="J40" t="b">
        <f t="shared" si="14"/>
        <v>0</v>
      </c>
      <c r="K40" t="b">
        <f t="shared" si="15"/>
        <v>1</v>
      </c>
      <c r="L40" t="b">
        <f t="shared" si="16"/>
        <v>0</v>
      </c>
      <c r="M40" t="b">
        <f t="shared" si="17"/>
        <v>0</v>
      </c>
      <c r="N40" s="535"/>
      <c r="O40" s="558"/>
      <c r="R40" s="535"/>
      <c r="S40" s="558"/>
      <c r="V40" s="535"/>
      <c r="W40" s="558"/>
      <c r="Z40" s="535"/>
      <c r="AA40" s="558"/>
      <c r="AD40" s="535"/>
      <c r="AE40" s="558"/>
      <c r="AH40" s="535"/>
      <c r="AI40" s="558"/>
      <c r="AL40" s="535"/>
      <c r="AP40" s="535"/>
    </row>
    <row r="41">
      <c r="A41" s="552"/>
      <c r="B41" s="552"/>
      <c r="C41" t="str">
        <f>Filtered!I31</f>
        <v>Cell Metabolism</v>
      </c>
      <c r="D41" t="str">
        <f>Filtered!J31</f>
        <v>Life Sciences &amp; Earth Sciences</v>
      </c>
      <c r="E41" t="str">
        <f>Filtered!AH31</f>
        <v>First submission only (before peer review)</v>
      </c>
      <c r="F41" t="b">
        <f t="shared" si="10"/>
        <v>0</v>
      </c>
      <c r="G41" t="b">
        <f t="shared" si="11"/>
        <v>0</v>
      </c>
      <c r="H41" t="b">
        <f t="shared" si="12"/>
        <v>0</v>
      </c>
      <c r="I41" t="b">
        <f t="shared" si="13"/>
        <v>0</v>
      </c>
      <c r="J41" t="b">
        <f t="shared" si="14"/>
        <v>0</v>
      </c>
      <c r="K41" t="b">
        <f t="shared" si="15"/>
        <v>1</v>
      </c>
      <c r="L41" t="b">
        <f t="shared" si="16"/>
        <v>0</v>
      </c>
      <c r="M41" t="b">
        <f t="shared" si="17"/>
        <v>0</v>
      </c>
      <c r="N41" s="535"/>
      <c r="O41" s="558"/>
      <c r="R41" s="535"/>
      <c r="S41" s="558"/>
      <c r="V41" s="535"/>
      <c r="W41" s="558"/>
      <c r="Z41" s="535"/>
      <c r="AA41" s="558"/>
      <c r="AD41" s="535"/>
      <c r="AE41" s="558"/>
      <c r="AH41" s="535"/>
      <c r="AI41" s="558"/>
      <c r="AL41" s="535"/>
      <c r="AP41" s="535"/>
    </row>
    <row r="42">
      <c r="A42" s="552"/>
      <c r="B42" s="552"/>
      <c r="C42" t="str">
        <f>Filtered!I32</f>
        <v>Cell Stem Cell</v>
      </c>
      <c r="D42" t="str">
        <f>Filtered!J32</f>
        <v>Life Sciences &amp; Earth Sciences</v>
      </c>
      <c r="E42" t="str">
        <f>Filtered!AH32</f>
        <v>First submission only (before peer review)</v>
      </c>
      <c r="F42" t="b">
        <f t="shared" si="10"/>
        <v>0</v>
      </c>
      <c r="G42" t="b">
        <f t="shared" si="11"/>
        <v>0</v>
      </c>
      <c r="H42" t="b">
        <f t="shared" si="12"/>
        <v>0</v>
      </c>
      <c r="I42" t="b">
        <f t="shared" si="13"/>
        <v>0</v>
      </c>
      <c r="J42" t="b">
        <f t="shared" si="14"/>
        <v>0</v>
      </c>
      <c r="K42" t="b">
        <f t="shared" si="15"/>
        <v>1</v>
      </c>
      <c r="L42" t="b">
        <f t="shared" si="16"/>
        <v>0</v>
      </c>
      <c r="M42" t="b">
        <f t="shared" si="17"/>
        <v>0</v>
      </c>
      <c r="N42" s="535"/>
      <c r="O42" s="558"/>
      <c r="R42" s="535"/>
      <c r="S42" s="558"/>
      <c r="V42" s="535"/>
      <c r="W42" s="558"/>
      <c r="Z42" s="535"/>
      <c r="AA42" s="558"/>
      <c r="AD42" s="535"/>
      <c r="AE42" s="558"/>
      <c r="AH42" s="535"/>
      <c r="AI42" s="558"/>
      <c r="AL42" s="535"/>
      <c r="AP42" s="535"/>
    </row>
    <row r="43">
      <c r="A43" s="552"/>
      <c r="B43" s="552"/>
      <c r="C43" t="str">
        <f>Filtered!I33</f>
        <v>Chemical communications (Cambridge, England)</v>
      </c>
      <c r="D43" t="str">
        <f>Filtered!J33</f>
        <v>Chemical &amp; Materials Sciences</v>
      </c>
      <c r="E43" t="str">
        <f>Filtered!AH33</f>
        <v>Unsure (preprints are allowed, but it's not clear what version)</v>
      </c>
      <c r="F43" t="b">
        <f t="shared" si="10"/>
        <v>0</v>
      </c>
      <c r="G43" t="b">
        <f t="shared" si="11"/>
        <v>1</v>
      </c>
      <c r="H43" t="b">
        <f t="shared" si="12"/>
        <v>0</v>
      </c>
      <c r="I43" t="b">
        <f t="shared" si="13"/>
        <v>0</v>
      </c>
      <c r="J43" t="b">
        <f t="shared" si="14"/>
        <v>0</v>
      </c>
      <c r="K43" t="b">
        <f t="shared" si="15"/>
        <v>0</v>
      </c>
      <c r="L43" t="b">
        <f t="shared" si="16"/>
        <v>0</v>
      </c>
      <c r="M43" t="b">
        <f t="shared" si="17"/>
        <v>0</v>
      </c>
      <c r="N43" s="535"/>
      <c r="O43" s="558"/>
      <c r="R43" s="535"/>
      <c r="S43" s="558"/>
      <c r="V43" s="535"/>
      <c r="W43" s="558"/>
      <c r="Z43" s="535"/>
      <c r="AA43" s="558"/>
      <c r="AD43" s="535"/>
      <c r="AE43" s="558"/>
      <c r="AH43" s="535"/>
      <c r="AI43" s="558"/>
      <c r="AL43" s="535"/>
      <c r="AP43" s="535"/>
    </row>
    <row r="44">
      <c r="A44" s="552"/>
      <c r="B44" s="552"/>
      <c r="C44" t="str">
        <f>Filtered!I34</f>
        <v>Chemical Reviews</v>
      </c>
      <c r="D44" t="str">
        <f>Filtered!J34</f>
        <v>Chemical &amp; Materials Sciences</v>
      </c>
      <c r="E44" t="str">
        <f>Filtered!AH34</f>
        <v>Other</v>
      </c>
      <c r="F44" t="b">
        <f t="shared" si="10"/>
        <v>0</v>
      </c>
      <c r="G44" t="b">
        <f t="shared" si="11"/>
        <v>1</v>
      </c>
      <c r="H44" t="b">
        <f t="shared" si="12"/>
        <v>0</v>
      </c>
      <c r="I44" t="b">
        <f t="shared" si="13"/>
        <v>0</v>
      </c>
      <c r="J44" t="b">
        <f t="shared" si="14"/>
        <v>0</v>
      </c>
      <c r="K44" t="b">
        <f t="shared" si="15"/>
        <v>0</v>
      </c>
      <c r="L44" t="b">
        <f t="shared" si="16"/>
        <v>0</v>
      </c>
      <c r="M44" t="b">
        <f t="shared" si="17"/>
        <v>0</v>
      </c>
      <c r="N44" s="535"/>
      <c r="O44" s="558"/>
      <c r="R44" s="535"/>
      <c r="S44" s="558"/>
      <c r="V44" s="535"/>
      <c r="W44" s="558"/>
      <c r="Z44" s="535"/>
      <c r="AA44" s="558"/>
      <c r="AD44" s="535"/>
      <c r="AE44" s="558"/>
      <c r="AH44" s="535"/>
      <c r="AI44" s="558"/>
      <c r="AL44" s="535"/>
      <c r="AP44" s="535"/>
    </row>
    <row r="45">
      <c r="A45" s="552"/>
      <c r="B45" s="552"/>
      <c r="C45" t="str">
        <f>Filtered!I35</f>
        <v>Chemical Society reviews</v>
      </c>
      <c r="D45" t="str">
        <f>Filtered!J35</f>
        <v>Chemical &amp; Materials Sciences</v>
      </c>
      <c r="E45" t="str">
        <f>Filtered!AH35</f>
        <v>First submission only (before peer review)</v>
      </c>
      <c r="F45" t="b">
        <f t="shared" si="10"/>
        <v>0</v>
      </c>
      <c r="G45" t="b">
        <f t="shared" si="11"/>
        <v>1</v>
      </c>
      <c r="H45" t="b">
        <f t="shared" si="12"/>
        <v>0</v>
      </c>
      <c r="I45" t="b">
        <f t="shared" si="13"/>
        <v>0</v>
      </c>
      <c r="J45" t="b">
        <f t="shared" si="14"/>
        <v>0</v>
      </c>
      <c r="K45" t="b">
        <f t="shared" si="15"/>
        <v>0</v>
      </c>
      <c r="L45" t="b">
        <f t="shared" si="16"/>
        <v>0</v>
      </c>
      <c r="M45" t="b">
        <f t="shared" si="17"/>
        <v>0</v>
      </c>
      <c r="N45" s="535"/>
      <c r="O45" s="558"/>
      <c r="R45" s="535"/>
      <c r="S45" s="558"/>
      <c r="V45" s="535"/>
      <c r="W45" s="558"/>
      <c r="Z45" s="535"/>
      <c r="AA45" s="558"/>
      <c r="AD45" s="535"/>
      <c r="AE45" s="558"/>
      <c r="AH45" s="535"/>
      <c r="AI45" s="558"/>
      <c r="AL45" s="535"/>
      <c r="AP45" s="535"/>
    </row>
    <row r="46">
      <c r="A46" s="552"/>
      <c r="B46" s="552"/>
      <c r="C46" t="str">
        <f>Filtered!I36</f>
        <v>Chemistry of Materials</v>
      </c>
      <c r="D46" t="str">
        <f>Filtered!J36</f>
        <v>Chemical &amp; Materials Sciences,
Engineering &amp; Computer Science</v>
      </c>
      <c r="E46" t="str">
        <f>Filtered!AH36</f>
        <v>First submission only (before peer review)</v>
      </c>
      <c r="F46" t="b">
        <f t="shared" si="10"/>
        <v>0</v>
      </c>
      <c r="G46" t="b">
        <f t="shared" si="11"/>
        <v>1</v>
      </c>
      <c r="H46" t="b">
        <f t="shared" si="12"/>
        <v>1</v>
      </c>
      <c r="I46" t="b">
        <f t="shared" si="13"/>
        <v>0</v>
      </c>
      <c r="J46" t="b">
        <f t="shared" si="14"/>
        <v>0</v>
      </c>
      <c r="K46" t="b">
        <f t="shared" si="15"/>
        <v>0</v>
      </c>
      <c r="L46" t="b">
        <f t="shared" si="16"/>
        <v>0</v>
      </c>
      <c r="M46" t="b">
        <f t="shared" si="17"/>
        <v>0</v>
      </c>
      <c r="N46" s="535"/>
      <c r="O46" s="558"/>
      <c r="R46" s="535"/>
      <c r="S46" s="558"/>
      <c r="V46" s="535"/>
      <c r="W46" s="558"/>
      <c r="Z46" s="535"/>
      <c r="AA46" s="558"/>
      <c r="AD46" s="535"/>
      <c r="AE46" s="558"/>
      <c r="AH46" s="535"/>
      <c r="AI46" s="558"/>
      <c r="AL46" s="535"/>
      <c r="AP46" s="535"/>
    </row>
    <row r="47">
      <c r="A47" s="552"/>
      <c r="B47" s="552"/>
      <c r="C47" t="str">
        <f>Filtered!I37</f>
        <v>Circulation</v>
      </c>
      <c r="D47" t="str">
        <f>Filtered!J37</f>
        <v>Health &amp; Medical Sciences</v>
      </c>
      <c r="E47" t="str">
        <f>Filtered!AH37</f>
        <v>First submission only (before peer review)</v>
      </c>
      <c r="F47" t="b">
        <f t="shared" si="10"/>
        <v>0</v>
      </c>
      <c r="G47" t="b">
        <f t="shared" si="11"/>
        <v>0</v>
      </c>
      <c r="H47" t="b">
        <f t="shared" si="12"/>
        <v>0</v>
      </c>
      <c r="I47" t="b">
        <f t="shared" si="13"/>
        <v>1</v>
      </c>
      <c r="J47" t="b">
        <f t="shared" si="14"/>
        <v>0</v>
      </c>
      <c r="K47" t="b">
        <f t="shared" si="15"/>
        <v>0</v>
      </c>
      <c r="L47" t="b">
        <f t="shared" si="16"/>
        <v>0</v>
      </c>
      <c r="M47" t="b">
        <f t="shared" si="17"/>
        <v>0</v>
      </c>
      <c r="N47" s="535"/>
      <c r="O47" s="558"/>
      <c r="R47" s="535"/>
      <c r="S47" s="558"/>
      <c r="V47" s="535"/>
      <c r="W47" s="558"/>
      <c r="Z47" s="535"/>
      <c r="AA47" s="558"/>
      <c r="AD47" s="535"/>
      <c r="AE47" s="558"/>
      <c r="AH47" s="535"/>
      <c r="AI47" s="558"/>
      <c r="AL47" s="535"/>
      <c r="AP47" s="535"/>
    </row>
    <row r="48">
      <c r="A48" s="552"/>
      <c r="B48" s="552"/>
      <c r="C48" t="str">
        <f>Filtered!I38</f>
        <v>Circulation Research</v>
      </c>
      <c r="D48" t="str">
        <f>Filtered!J38</f>
        <v/>
      </c>
      <c r="E48" t="str">
        <f>Filtered!AH38</f>
        <v>First submission only (before peer review)</v>
      </c>
      <c r="F48" t="b">
        <f t="shared" si="10"/>
        <v>0</v>
      </c>
      <c r="G48" t="b">
        <f t="shared" si="11"/>
        <v>0</v>
      </c>
      <c r="H48" t="b">
        <f t="shared" si="12"/>
        <v>0</v>
      </c>
      <c r="I48" t="b">
        <f t="shared" si="13"/>
        <v>0</v>
      </c>
      <c r="J48" t="b">
        <f t="shared" si="14"/>
        <v>0</v>
      </c>
      <c r="K48" t="b">
        <f t="shared" si="15"/>
        <v>0</v>
      </c>
      <c r="L48" t="b">
        <f t="shared" si="16"/>
        <v>0</v>
      </c>
      <c r="M48" t="b">
        <f t="shared" si="17"/>
        <v>0</v>
      </c>
      <c r="N48" s="535"/>
      <c r="O48" s="558"/>
      <c r="R48" s="535"/>
      <c r="S48" s="558"/>
      <c r="V48" s="535"/>
      <c r="W48" s="558"/>
      <c r="Z48" s="535"/>
      <c r="AA48" s="558"/>
      <c r="AD48" s="535"/>
      <c r="AE48" s="558"/>
      <c r="AH48" s="535"/>
      <c r="AI48" s="558"/>
      <c r="AL48" s="535"/>
      <c r="AP48" s="535"/>
    </row>
    <row r="49">
      <c r="A49" s="552"/>
      <c r="B49" s="552"/>
      <c r="C49" t="str">
        <f>Filtered!I39</f>
        <v>Clinical Cancer Research</v>
      </c>
      <c r="D49" t="str">
        <f>Filtered!J39</f>
        <v/>
      </c>
      <c r="E49" t="str">
        <f>Filtered!AH39</f>
        <v>First submission only (before peer review)</v>
      </c>
      <c r="F49" t="b">
        <f t="shared" si="10"/>
        <v>0</v>
      </c>
      <c r="G49" t="b">
        <f t="shared" si="11"/>
        <v>0</v>
      </c>
      <c r="H49" t="b">
        <f t="shared" si="12"/>
        <v>0</v>
      </c>
      <c r="I49" t="b">
        <f t="shared" si="13"/>
        <v>0</v>
      </c>
      <c r="J49" t="b">
        <f t="shared" si="14"/>
        <v>0</v>
      </c>
      <c r="K49" t="b">
        <f t="shared" si="15"/>
        <v>0</v>
      </c>
      <c r="L49" t="b">
        <f t="shared" si="16"/>
        <v>0</v>
      </c>
      <c r="M49" t="b">
        <f t="shared" si="17"/>
        <v>0</v>
      </c>
      <c r="N49" s="535"/>
      <c r="O49" s="558"/>
      <c r="R49" s="535"/>
      <c r="S49" s="558"/>
      <c r="V49" s="535"/>
      <c r="W49" s="558"/>
      <c r="Z49" s="535"/>
      <c r="AA49" s="558"/>
      <c r="AD49" s="535"/>
      <c r="AE49" s="558"/>
      <c r="AH49" s="535"/>
      <c r="AI49" s="558"/>
      <c r="AL49" s="535"/>
      <c r="AP49" s="535"/>
    </row>
    <row r="50">
      <c r="A50" s="552"/>
      <c r="B50" s="552"/>
      <c r="C50" t="str">
        <f>Filtered!I40</f>
        <v>Computers &amp; Education</v>
      </c>
      <c r="D50" t="str">
        <f>Filtered!J40</f>
        <v/>
      </c>
      <c r="E50" t="str">
        <f>Filtered!AH40</f>
        <v>Any</v>
      </c>
      <c r="F50" t="b">
        <f t="shared" si="10"/>
        <v>0</v>
      </c>
      <c r="G50" t="b">
        <f t="shared" si="11"/>
        <v>0</v>
      </c>
      <c r="H50" t="b">
        <f t="shared" si="12"/>
        <v>0</v>
      </c>
      <c r="I50" t="b">
        <f t="shared" si="13"/>
        <v>0</v>
      </c>
      <c r="J50" t="b">
        <f t="shared" si="14"/>
        <v>0</v>
      </c>
      <c r="K50" t="b">
        <f t="shared" si="15"/>
        <v>0</v>
      </c>
      <c r="L50" t="b">
        <f t="shared" si="16"/>
        <v>0</v>
      </c>
      <c r="M50" t="b">
        <f t="shared" si="17"/>
        <v>0</v>
      </c>
      <c r="N50" s="535"/>
      <c r="O50" s="558"/>
      <c r="R50" s="535"/>
      <c r="S50" s="558"/>
      <c r="V50" s="535"/>
      <c r="W50" s="558"/>
      <c r="Z50" s="535"/>
      <c r="AA50" s="558"/>
      <c r="AD50" s="535"/>
      <c r="AE50" s="558"/>
      <c r="AH50" s="535"/>
      <c r="AI50" s="558"/>
      <c r="AL50" s="535"/>
      <c r="AP50" s="535"/>
    </row>
    <row r="51">
      <c r="A51" s="552"/>
      <c r="B51" s="552"/>
      <c r="C51" t="str">
        <f>Filtered!I41</f>
        <v>Diabetes Care</v>
      </c>
      <c r="D51" t="str">
        <f>Filtered!J41</f>
        <v/>
      </c>
      <c r="E51" t="str">
        <f>Filtered!AH41</f>
        <v>Unsure (preprints are allowed, but it's not clear what version)</v>
      </c>
      <c r="F51" t="b">
        <f t="shared" si="10"/>
        <v>0</v>
      </c>
      <c r="G51" t="b">
        <f t="shared" si="11"/>
        <v>0</v>
      </c>
      <c r="H51" t="b">
        <f t="shared" si="12"/>
        <v>0</v>
      </c>
      <c r="I51" t="b">
        <f t="shared" si="13"/>
        <v>0</v>
      </c>
      <c r="J51" t="b">
        <f t="shared" si="14"/>
        <v>0</v>
      </c>
      <c r="K51" t="b">
        <f t="shared" si="15"/>
        <v>0</v>
      </c>
      <c r="L51" t="b">
        <f t="shared" si="16"/>
        <v>0</v>
      </c>
      <c r="M51" t="b">
        <f t="shared" si="17"/>
        <v>0</v>
      </c>
      <c r="N51" s="535"/>
      <c r="O51" s="558"/>
      <c r="R51" s="535"/>
      <c r="S51" s="558"/>
      <c r="V51" s="535"/>
      <c r="W51" s="558"/>
      <c r="Z51" s="535"/>
      <c r="AA51" s="558"/>
      <c r="AD51" s="535"/>
      <c r="AE51" s="558"/>
      <c r="AH51" s="535"/>
      <c r="AI51" s="558"/>
      <c r="AL51" s="535"/>
      <c r="AP51" s="535"/>
    </row>
    <row r="52">
      <c r="A52" s="552"/>
      <c r="B52" s="552"/>
      <c r="C52" t="str">
        <f>Filtered!I42</f>
        <v>Digital Journalism</v>
      </c>
      <c r="D52" t="str">
        <f>Filtered!J42</f>
        <v>Humanities, Literature &amp; Arts</v>
      </c>
      <c r="E52" t="str">
        <f>Filtered!AH42</f>
        <v>No preprint policy</v>
      </c>
      <c r="F52" t="b">
        <f t="shared" si="10"/>
        <v>0</v>
      </c>
      <c r="G52" t="b">
        <f t="shared" si="11"/>
        <v>0</v>
      </c>
      <c r="H52" t="b">
        <f t="shared" si="12"/>
        <v>0</v>
      </c>
      <c r="I52" t="b">
        <f t="shared" si="13"/>
        <v>0</v>
      </c>
      <c r="J52" t="b">
        <f t="shared" si="14"/>
        <v>1</v>
      </c>
      <c r="K52" t="b">
        <f t="shared" si="15"/>
        <v>0</v>
      </c>
      <c r="L52" t="b">
        <f t="shared" si="16"/>
        <v>0</v>
      </c>
      <c r="M52" t="b">
        <f t="shared" si="17"/>
        <v>0</v>
      </c>
      <c r="N52" s="535"/>
      <c r="O52" s="558"/>
      <c r="R52" s="535"/>
      <c r="S52" s="558"/>
      <c r="V52" s="535"/>
      <c r="W52" s="558"/>
      <c r="Z52" s="535"/>
      <c r="AA52" s="558"/>
      <c r="AD52" s="535"/>
      <c r="AE52" s="558"/>
      <c r="AH52" s="535"/>
      <c r="AI52" s="558"/>
      <c r="AL52" s="535"/>
      <c r="AP52" s="535"/>
    </row>
    <row r="53">
      <c r="A53" s="552"/>
      <c r="B53" s="552"/>
      <c r="C53" t="str">
        <f>Filtered!I43</f>
        <v>Econometrica</v>
      </c>
      <c r="D53" t="str">
        <f>Filtered!J43</f>
        <v>Business, Economics &amp; Management</v>
      </c>
      <c r="E53" t="str">
        <f>Filtered!AH43</f>
        <v>Other (references prior publication, but not preprints specifically; "in any case this will be decided on a case-by-case basis")</v>
      </c>
      <c r="F53" t="b">
        <f t="shared" si="10"/>
        <v>1</v>
      </c>
      <c r="G53" t="b">
        <f t="shared" si="11"/>
        <v>0</v>
      </c>
      <c r="H53" t="b">
        <f t="shared" si="12"/>
        <v>0</v>
      </c>
      <c r="I53" t="b">
        <f t="shared" si="13"/>
        <v>0</v>
      </c>
      <c r="J53" t="b">
        <f t="shared" si="14"/>
        <v>0</v>
      </c>
      <c r="K53" t="b">
        <f t="shared" si="15"/>
        <v>0</v>
      </c>
      <c r="L53" t="b">
        <f t="shared" si="16"/>
        <v>0</v>
      </c>
      <c r="M53" t="b">
        <f t="shared" si="17"/>
        <v>0</v>
      </c>
      <c r="N53" s="535"/>
      <c r="O53" s="558"/>
      <c r="R53" s="535"/>
      <c r="S53" s="558"/>
      <c r="V53" s="535"/>
      <c r="W53" s="558"/>
      <c r="Z53" s="535"/>
      <c r="AA53" s="558"/>
      <c r="AD53" s="535"/>
      <c r="AE53" s="558"/>
      <c r="AH53" s="535"/>
      <c r="AI53" s="558"/>
      <c r="AL53" s="535"/>
      <c r="AP53" s="535"/>
    </row>
    <row r="54">
      <c r="A54" s="552"/>
      <c r="B54" s="552"/>
      <c r="C54" t="str">
        <f>Filtered!I44</f>
        <v>Energy and Environmental Science</v>
      </c>
      <c r="D54" t="str">
        <f>Filtered!J44</f>
        <v>Chemical &amp; Materials Sciences, Engineering &amp; Computer Science</v>
      </c>
      <c r="E54" t="str">
        <f>Filtered!AH44</f>
        <v>First submission only (before peer review)</v>
      </c>
      <c r="F54" t="b">
        <f t="shared" si="10"/>
        <v>0</v>
      </c>
      <c r="G54" t="b">
        <f t="shared" si="11"/>
        <v>1</v>
      </c>
      <c r="H54" t="b">
        <f t="shared" si="12"/>
        <v>1</v>
      </c>
      <c r="I54" t="b">
        <f t="shared" si="13"/>
        <v>0</v>
      </c>
      <c r="J54" t="b">
        <f t="shared" si="14"/>
        <v>0</v>
      </c>
      <c r="K54" t="b">
        <f t="shared" si="15"/>
        <v>0</v>
      </c>
      <c r="L54" t="b">
        <f t="shared" si="16"/>
        <v>0</v>
      </c>
      <c r="M54" t="b">
        <f t="shared" si="17"/>
        <v>0</v>
      </c>
      <c r="N54" s="535"/>
      <c r="O54" s="558"/>
      <c r="R54" s="535"/>
      <c r="S54" s="558"/>
      <c r="V54" s="535"/>
      <c r="W54" s="558"/>
      <c r="Z54" s="535"/>
      <c r="AA54" s="558"/>
      <c r="AD54" s="535"/>
      <c r="AE54" s="558"/>
      <c r="AH54" s="535"/>
      <c r="AI54" s="558"/>
      <c r="AL54" s="535"/>
      <c r="AP54" s="535"/>
    </row>
    <row r="55">
      <c r="A55" s="552"/>
      <c r="B55" s="552"/>
      <c r="C55" t="str">
        <f>Filtered!I45</f>
        <v>Environmental Science &amp; Technology</v>
      </c>
      <c r="D55" t="str">
        <f>Filtered!J45</f>
        <v>Life Sciences &amp; Earth Sciences</v>
      </c>
      <c r="E55" t="str">
        <f>Filtered!AH45</f>
        <v>Unsure (preprints are allowed, but it's not clear what version)</v>
      </c>
      <c r="F55" t="b">
        <f t="shared" si="10"/>
        <v>0</v>
      </c>
      <c r="G55" t="b">
        <f t="shared" si="11"/>
        <v>0</v>
      </c>
      <c r="H55" t="b">
        <f t="shared" si="12"/>
        <v>0</v>
      </c>
      <c r="I55" t="b">
        <f t="shared" si="13"/>
        <v>0</v>
      </c>
      <c r="J55" t="b">
        <f t="shared" si="14"/>
        <v>0</v>
      </c>
      <c r="K55" t="b">
        <f t="shared" si="15"/>
        <v>1</v>
      </c>
      <c r="L55" t="b">
        <f t="shared" si="16"/>
        <v>0</v>
      </c>
      <c r="M55" t="b">
        <f t="shared" si="17"/>
        <v>0</v>
      </c>
      <c r="N55" s="535"/>
      <c r="O55" s="558"/>
      <c r="R55" s="535"/>
      <c r="S55" s="558"/>
      <c r="V55" s="535"/>
      <c r="W55" s="558"/>
      <c r="Z55" s="535"/>
      <c r="AA55" s="558"/>
      <c r="AD55" s="535"/>
      <c r="AE55" s="558"/>
      <c r="AH55" s="535"/>
      <c r="AI55" s="558"/>
      <c r="AL55" s="535"/>
      <c r="AP55" s="535"/>
    </row>
    <row r="56">
      <c r="A56" s="552"/>
      <c r="B56" s="552"/>
      <c r="C56" t="str">
        <f>Filtered!I46</f>
        <v>European Heart Journal</v>
      </c>
      <c r="D56" t="str">
        <f>Filtered!J46</f>
        <v>Health &amp; Medical Sciences</v>
      </c>
      <c r="E56" t="str">
        <f>Filtered!AH46</f>
        <v>First submission only (before peer review)</v>
      </c>
      <c r="F56" t="b">
        <f t="shared" si="10"/>
        <v>0</v>
      </c>
      <c r="G56" t="b">
        <f t="shared" si="11"/>
        <v>0</v>
      </c>
      <c r="H56" t="b">
        <f t="shared" si="12"/>
        <v>0</v>
      </c>
      <c r="I56" t="b">
        <f t="shared" si="13"/>
        <v>1</v>
      </c>
      <c r="J56" t="b">
        <f t="shared" si="14"/>
        <v>0</v>
      </c>
      <c r="K56" t="b">
        <f t="shared" si="15"/>
        <v>0</v>
      </c>
      <c r="L56" t="b">
        <f t="shared" si="16"/>
        <v>0</v>
      </c>
      <c r="M56" t="b">
        <f t="shared" si="17"/>
        <v>0</v>
      </c>
      <c r="N56" s="535"/>
      <c r="O56" s="558"/>
      <c r="R56" s="535"/>
      <c r="S56" s="558"/>
      <c r="V56" s="535"/>
      <c r="W56" s="558"/>
      <c r="Z56" s="535"/>
      <c r="AA56" s="558"/>
      <c r="AD56" s="535"/>
      <c r="AE56" s="558"/>
      <c r="AH56" s="535"/>
      <c r="AI56" s="558"/>
      <c r="AL56" s="535"/>
      <c r="AP56" s="535"/>
    </row>
    <row r="57">
      <c r="A57" s="552"/>
      <c r="B57" s="552"/>
      <c r="C57" t="str">
        <f>Filtered!I47</f>
        <v>European Urology</v>
      </c>
      <c r="D57" t="str">
        <f>Filtered!J47</f>
        <v/>
      </c>
      <c r="E57" t="str">
        <f>Filtered!AH47</f>
        <v>No preprint policy</v>
      </c>
      <c r="F57" t="b">
        <f t="shared" si="10"/>
        <v>0</v>
      </c>
      <c r="G57" t="b">
        <f t="shared" si="11"/>
        <v>0</v>
      </c>
      <c r="H57" t="b">
        <f t="shared" si="12"/>
        <v>0</v>
      </c>
      <c r="I57" t="b">
        <f t="shared" si="13"/>
        <v>0</v>
      </c>
      <c r="J57" t="b">
        <f t="shared" si="14"/>
        <v>0</v>
      </c>
      <c r="K57" t="b">
        <f t="shared" si="15"/>
        <v>0</v>
      </c>
      <c r="L57" t="b">
        <f t="shared" si="16"/>
        <v>0</v>
      </c>
      <c r="M57" t="b">
        <f t="shared" si="17"/>
        <v>0</v>
      </c>
      <c r="N57" s="535"/>
      <c r="O57" s="558"/>
      <c r="R57" s="535"/>
      <c r="S57" s="558"/>
      <c r="V57" s="535"/>
      <c r="W57" s="558"/>
      <c r="Z57" s="535"/>
      <c r="AA57" s="558"/>
      <c r="AD57" s="535"/>
      <c r="AE57" s="558"/>
      <c r="AH57" s="535"/>
      <c r="AI57" s="558"/>
      <c r="AL57" s="535"/>
      <c r="AP57" s="535"/>
    </row>
    <row r="58">
      <c r="A58" s="552"/>
      <c r="B58" s="552"/>
      <c r="C58" t="str">
        <f>Filtered!I48</f>
        <v>Gastroenterology</v>
      </c>
      <c r="D58" t="str">
        <f>Filtered!J48</f>
        <v>Health &amp; Medical Sciences</v>
      </c>
      <c r="E58" t="str">
        <f>Filtered!AH48</f>
        <v>No preprint policy</v>
      </c>
      <c r="F58" t="b">
        <f t="shared" si="10"/>
        <v>0</v>
      </c>
      <c r="G58" t="b">
        <f t="shared" si="11"/>
        <v>0</v>
      </c>
      <c r="H58" t="b">
        <f t="shared" si="12"/>
        <v>0</v>
      </c>
      <c r="I58" t="b">
        <f t="shared" si="13"/>
        <v>1</v>
      </c>
      <c r="J58" t="b">
        <f t="shared" si="14"/>
        <v>0</v>
      </c>
      <c r="K58" t="b">
        <f t="shared" si="15"/>
        <v>0</v>
      </c>
      <c r="L58" t="b">
        <f t="shared" si="16"/>
        <v>0</v>
      </c>
      <c r="M58" t="b">
        <f t="shared" si="17"/>
        <v>0</v>
      </c>
      <c r="N58" s="535"/>
      <c r="O58" s="558"/>
      <c r="R58" s="535"/>
      <c r="S58" s="558"/>
      <c r="V58" s="535"/>
      <c r="W58" s="558"/>
      <c r="Z58" s="535"/>
      <c r="AA58" s="558"/>
      <c r="AD58" s="535"/>
      <c r="AE58" s="558"/>
      <c r="AH58" s="535"/>
      <c r="AI58" s="558"/>
      <c r="AL58" s="535"/>
      <c r="AP58" s="535"/>
    </row>
    <row r="59">
      <c r="A59" s="552"/>
      <c r="B59" s="552"/>
      <c r="C59" t="str">
        <f>Filtered!I49</f>
        <v>Gender &amp; Society</v>
      </c>
      <c r="D59" t="str">
        <f>Filtered!J49</f>
        <v>Humanities, Literature &amp; Arts</v>
      </c>
      <c r="E59" t="str">
        <f>Filtered!AH49</f>
        <v>After peer review (but not final, copyedited version)</v>
      </c>
      <c r="F59" t="b">
        <f t="shared" si="10"/>
        <v>0</v>
      </c>
      <c r="G59" t="b">
        <f t="shared" si="11"/>
        <v>0</v>
      </c>
      <c r="H59" t="b">
        <f t="shared" si="12"/>
        <v>0</v>
      </c>
      <c r="I59" t="b">
        <f t="shared" si="13"/>
        <v>0</v>
      </c>
      <c r="J59" t="b">
        <f t="shared" si="14"/>
        <v>1</v>
      </c>
      <c r="K59" t="b">
        <f t="shared" si="15"/>
        <v>0</v>
      </c>
      <c r="L59" t="b">
        <f t="shared" si="16"/>
        <v>0</v>
      </c>
      <c r="M59" t="b">
        <f t="shared" si="17"/>
        <v>0</v>
      </c>
      <c r="N59" s="535"/>
      <c r="O59" s="558"/>
      <c r="R59" s="535"/>
      <c r="S59" s="558"/>
      <c r="V59" s="535"/>
      <c r="W59" s="558"/>
      <c r="Z59" s="535"/>
      <c r="AA59" s="558"/>
      <c r="AD59" s="535"/>
      <c r="AE59" s="558"/>
      <c r="AH59" s="535"/>
      <c r="AI59" s="558"/>
      <c r="AL59" s="535"/>
      <c r="AP59" s="535"/>
    </row>
    <row r="60">
      <c r="A60" s="552"/>
      <c r="B60" s="552"/>
      <c r="C60" t="str">
        <f>Filtered!I50</f>
        <v>Geophysical Research Letters</v>
      </c>
      <c r="D60" t="str">
        <f>Filtered!J50</f>
        <v>Physics &amp; Mathematics</v>
      </c>
      <c r="E60" t="str">
        <f>Filtered!AH50</f>
        <v>After peer review (but not final, copyedited version)</v>
      </c>
      <c r="F60" t="b">
        <f t="shared" si="10"/>
        <v>0</v>
      </c>
      <c r="G60" t="b">
        <f t="shared" si="11"/>
        <v>0</v>
      </c>
      <c r="H60" t="b">
        <f t="shared" si="12"/>
        <v>0</v>
      </c>
      <c r="I60" t="b">
        <f t="shared" si="13"/>
        <v>0</v>
      </c>
      <c r="J60" t="b">
        <f t="shared" si="14"/>
        <v>0</v>
      </c>
      <c r="K60" t="b">
        <f t="shared" si="15"/>
        <v>0</v>
      </c>
      <c r="L60" t="b">
        <f t="shared" si="16"/>
        <v>1</v>
      </c>
      <c r="M60" t="b">
        <f t="shared" si="17"/>
        <v>0</v>
      </c>
      <c r="N60" s="535"/>
      <c r="O60" s="558"/>
      <c r="R60" s="535"/>
      <c r="S60" s="558"/>
      <c r="V60" s="535"/>
      <c r="W60" s="558"/>
      <c r="Z60" s="535"/>
      <c r="AA60" s="558"/>
      <c r="AD60" s="535"/>
      <c r="AE60" s="558"/>
      <c r="AH60" s="535"/>
      <c r="AI60" s="558"/>
      <c r="AL60" s="535"/>
      <c r="AP60" s="535"/>
    </row>
    <row r="61">
      <c r="A61" s="552"/>
      <c r="B61" s="552"/>
      <c r="C61" t="str">
        <f>Filtered!I51</f>
        <v>Global Environmental Change</v>
      </c>
      <c r="D61" t="str">
        <f>Filtered!J51</f>
        <v>Social Sciences</v>
      </c>
      <c r="E61" t="str">
        <f>Filtered!AH51</f>
        <v>Unsure (preprints are allowed, but it's not clear what version) - accepted version can be posted to arXiv &amp; RePEc</v>
      </c>
      <c r="F61" t="b">
        <f t="shared" si="10"/>
        <v>0</v>
      </c>
      <c r="G61" t="b">
        <f t="shared" si="11"/>
        <v>0</v>
      </c>
      <c r="H61" t="b">
        <f t="shared" si="12"/>
        <v>0</v>
      </c>
      <c r="I61" t="b">
        <f t="shared" si="13"/>
        <v>0</v>
      </c>
      <c r="J61" t="b">
        <f t="shared" si="14"/>
        <v>0</v>
      </c>
      <c r="K61" t="b">
        <f t="shared" si="15"/>
        <v>0</v>
      </c>
      <c r="L61" t="b">
        <f t="shared" si="16"/>
        <v>0</v>
      </c>
      <c r="M61" t="b">
        <f t="shared" si="17"/>
        <v>1</v>
      </c>
      <c r="N61" s="535"/>
      <c r="O61" s="558"/>
      <c r="R61" s="535"/>
      <c r="S61" s="558"/>
      <c r="V61" s="535"/>
      <c r="W61" s="558"/>
      <c r="Z61" s="535"/>
      <c r="AA61" s="558"/>
      <c r="AD61" s="535"/>
      <c r="AE61" s="558"/>
      <c r="AH61" s="535"/>
      <c r="AI61" s="558"/>
      <c r="AL61" s="535"/>
      <c r="AP61" s="535"/>
    </row>
    <row r="62">
      <c r="A62" s="552"/>
      <c r="B62" s="552"/>
      <c r="C62" t="str">
        <f>Filtered!I52</f>
        <v>Government Information Quarterly</v>
      </c>
      <c r="D62" t="str">
        <f>Filtered!J52</f>
        <v>Social Sciences</v>
      </c>
      <c r="E62" t="str">
        <f>Filtered!AH52</f>
        <v>Unsure (preprints are allowed, but it's not clear what version) - accepted version can be posted to arXiv &amp; RePEc</v>
      </c>
      <c r="F62" t="b">
        <f t="shared" si="10"/>
        <v>0</v>
      </c>
      <c r="G62" t="b">
        <f t="shared" si="11"/>
        <v>0</v>
      </c>
      <c r="H62" t="b">
        <f t="shared" si="12"/>
        <v>0</v>
      </c>
      <c r="I62" t="b">
        <f t="shared" si="13"/>
        <v>0</v>
      </c>
      <c r="J62" t="b">
        <f t="shared" si="14"/>
        <v>0</v>
      </c>
      <c r="K62" t="b">
        <f t="shared" si="15"/>
        <v>0</v>
      </c>
      <c r="L62" t="b">
        <f t="shared" si="16"/>
        <v>0</v>
      </c>
      <c r="M62" t="b">
        <f t="shared" si="17"/>
        <v>1</v>
      </c>
      <c r="N62" s="535"/>
      <c r="O62" s="558"/>
      <c r="R62" s="535"/>
      <c r="S62" s="558"/>
      <c r="V62" s="535"/>
      <c r="W62" s="558"/>
      <c r="Z62" s="535"/>
      <c r="AA62" s="558"/>
      <c r="AD62" s="535"/>
      <c r="AE62" s="558"/>
      <c r="AH62" s="535"/>
      <c r="AI62" s="558"/>
      <c r="AL62" s="535"/>
      <c r="AP62" s="535"/>
    </row>
    <row r="63">
      <c r="A63" s="552"/>
      <c r="B63" s="552"/>
      <c r="C63" t="str">
        <f>Filtered!I53</f>
        <v>Gut</v>
      </c>
      <c r="D63" t="str">
        <f>Filtered!J53</f>
        <v/>
      </c>
      <c r="E63" t="str">
        <f>Filtered!AH53</f>
        <v>After peer review (but not final version): "BMJ does not recommend that Author Accepted Manuscripts are placed on preprint servers."</v>
      </c>
      <c r="F63" t="b">
        <f t="shared" si="10"/>
        <v>0</v>
      </c>
      <c r="G63" t="b">
        <f t="shared" si="11"/>
        <v>0</v>
      </c>
      <c r="H63" t="b">
        <f t="shared" si="12"/>
        <v>0</v>
      </c>
      <c r="I63" t="b">
        <f t="shared" si="13"/>
        <v>0</v>
      </c>
      <c r="J63" t="b">
        <f t="shared" si="14"/>
        <v>0</v>
      </c>
      <c r="K63" t="b">
        <f t="shared" si="15"/>
        <v>0</v>
      </c>
      <c r="L63" t="b">
        <f t="shared" si="16"/>
        <v>0</v>
      </c>
      <c r="M63" t="b">
        <f t="shared" si="17"/>
        <v>0</v>
      </c>
      <c r="N63" s="535"/>
      <c r="O63" s="558"/>
      <c r="R63" s="535"/>
      <c r="S63" s="558"/>
      <c r="V63" s="535"/>
      <c r="W63" s="558"/>
      <c r="Z63" s="535"/>
      <c r="AA63" s="558"/>
      <c r="AD63" s="535"/>
      <c r="AE63" s="558"/>
      <c r="AH63" s="535"/>
      <c r="AI63" s="558"/>
      <c r="AL63" s="535"/>
      <c r="AP63" s="535"/>
    </row>
    <row r="64">
      <c r="A64" s="552"/>
      <c r="B64" s="552"/>
      <c r="C64" t="str">
        <f>Filtered!I54</f>
        <v>Health Affairs</v>
      </c>
      <c r="D64" t="str">
        <f>Filtered!J54</f>
        <v>Social Sciences</v>
      </c>
      <c r="E64" t="str">
        <f>Filtered!AH54</f>
        <v>Unsure (preprints are allowed, but not sure what version)</v>
      </c>
      <c r="F64" t="b">
        <f t="shared" si="10"/>
        <v>0</v>
      </c>
      <c r="G64" t="b">
        <f t="shared" si="11"/>
        <v>0</v>
      </c>
      <c r="H64" t="b">
        <f t="shared" si="12"/>
        <v>0</v>
      </c>
      <c r="I64" t="b">
        <f t="shared" si="13"/>
        <v>0</v>
      </c>
      <c r="J64" t="b">
        <f t="shared" si="14"/>
        <v>0</v>
      </c>
      <c r="K64" t="b">
        <f t="shared" si="15"/>
        <v>0</v>
      </c>
      <c r="L64" t="b">
        <f t="shared" si="16"/>
        <v>0</v>
      </c>
      <c r="M64" t="b">
        <f t="shared" si="17"/>
        <v>1</v>
      </c>
      <c r="N64" s="535"/>
      <c r="O64" s="558"/>
      <c r="R64" s="535"/>
      <c r="S64" s="558"/>
      <c r="V64" s="535"/>
      <c r="W64" s="558"/>
      <c r="Z64" s="535"/>
      <c r="AA64" s="558"/>
      <c r="AD64" s="535"/>
      <c r="AE64" s="558"/>
      <c r="AH64" s="535"/>
      <c r="AI64" s="558"/>
      <c r="AL64" s="535"/>
      <c r="AP64" s="535"/>
    </row>
    <row r="65">
      <c r="A65" s="552"/>
      <c r="B65" s="552"/>
      <c r="C65" t="str">
        <f>Filtered!I55</f>
        <v>Hepatology</v>
      </c>
      <c r="D65" t="str">
        <f>Filtered!J55</f>
        <v/>
      </c>
      <c r="E65" t="str">
        <f>Filtered!AH55</f>
        <v>First submission only (before peer review)</v>
      </c>
      <c r="F65" t="b">
        <f t="shared" si="10"/>
        <v>0</v>
      </c>
      <c r="G65" t="b">
        <f t="shared" si="11"/>
        <v>0</v>
      </c>
      <c r="H65" t="b">
        <f t="shared" si="12"/>
        <v>0</v>
      </c>
      <c r="I65" t="b">
        <f t="shared" si="13"/>
        <v>0</v>
      </c>
      <c r="J65" t="b">
        <f t="shared" si="14"/>
        <v>0</v>
      </c>
      <c r="K65" t="b">
        <f t="shared" si="15"/>
        <v>0</v>
      </c>
      <c r="L65" t="b">
        <f t="shared" si="16"/>
        <v>0</v>
      </c>
      <c r="M65" t="b">
        <f t="shared" si="17"/>
        <v>0</v>
      </c>
      <c r="N65" s="535"/>
      <c r="O65" s="558"/>
      <c r="R65" s="535"/>
      <c r="S65" s="558"/>
      <c r="V65" s="535"/>
      <c r="W65" s="558"/>
      <c r="Z65" s="535"/>
      <c r="AA65" s="558"/>
      <c r="AD65" s="535"/>
      <c r="AE65" s="558"/>
      <c r="AH65" s="535"/>
      <c r="AI65" s="558"/>
      <c r="AL65" s="535"/>
      <c r="AP65" s="535"/>
    </row>
    <row r="66">
      <c r="A66" s="552"/>
      <c r="B66" s="552"/>
      <c r="C66" t="str">
        <f>Filtered!I56</f>
        <v>IEEE Communications Magazine</v>
      </c>
      <c r="D66" t="str">
        <f>Filtered!J56</f>
        <v/>
      </c>
      <c r="E66" t="str">
        <f>Filtered!AH56</f>
        <v>First submission only (before peer review)</v>
      </c>
      <c r="F66" t="b">
        <f t="shared" si="10"/>
        <v>0</v>
      </c>
      <c r="G66" t="b">
        <f t="shared" si="11"/>
        <v>0</v>
      </c>
      <c r="H66" t="b">
        <f t="shared" si="12"/>
        <v>0</v>
      </c>
      <c r="I66" t="b">
        <f t="shared" si="13"/>
        <v>0</v>
      </c>
      <c r="J66" t="b">
        <f t="shared" si="14"/>
        <v>0</v>
      </c>
      <c r="K66" t="b">
        <f t="shared" si="15"/>
        <v>0</v>
      </c>
      <c r="L66" t="b">
        <f t="shared" si="16"/>
        <v>0</v>
      </c>
      <c r="M66" t="b">
        <f t="shared" si="17"/>
        <v>0</v>
      </c>
      <c r="N66" s="535"/>
      <c r="O66" s="558"/>
      <c r="R66" s="535"/>
      <c r="S66" s="558"/>
      <c r="V66" s="535"/>
      <c r="W66" s="558"/>
      <c r="Z66" s="535"/>
      <c r="AA66" s="558"/>
      <c r="AD66" s="535"/>
      <c r="AE66" s="558"/>
      <c r="AH66" s="535"/>
      <c r="AI66" s="558"/>
      <c r="AL66" s="535"/>
      <c r="AP66" s="535"/>
    </row>
    <row r="67">
      <c r="A67" s="552"/>
      <c r="B67" s="552"/>
      <c r="C67" t="str">
        <f>Filtered!I57</f>
        <v>IEEE Communications Surveys &amp; Tutorials</v>
      </c>
      <c r="D67" t="str">
        <f>Filtered!J57</f>
        <v>Engineering &amp; Computer Science</v>
      </c>
      <c r="E67" t="str">
        <f>Filtered!AH57</f>
        <v>First submission only (before peer review)</v>
      </c>
      <c r="F67" t="b">
        <f t="shared" si="10"/>
        <v>0</v>
      </c>
      <c r="G67" t="b">
        <f t="shared" si="11"/>
        <v>0</v>
      </c>
      <c r="H67" t="b">
        <f t="shared" si="12"/>
        <v>1</v>
      </c>
      <c r="I67" t="b">
        <f t="shared" si="13"/>
        <v>0</v>
      </c>
      <c r="J67" t="b">
        <f t="shared" si="14"/>
        <v>0</v>
      </c>
      <c r="K67" t="b">
        <f t="shared" si="15"/>
        <v>0</v>
      </c>
      <c r="L67" t="b">
        <f t="shared" si="16"/>
        <v>0</v>
      </c>
      <c r="M67" t="b">
        <f t="shared" si="17"/>
        <v>0</v>
      </c>
      <c r="N67" s="535"/>
      <c r="O67" s="558"/>
      <c r="R67" s="535"/>
      <c r="S67" s="558"/>
      <c r="V67" s="535"/>
      <c r="W67" s="558"/>
      <c r="Z67" s="535"/>
      <c r="AA67" s="558"/>
      <c r="AD67" s="535"/>
      <c r="AE67" s="558"/>
      <c r="AH67" s="535"/>
      <c r="AI67" s="558"/>
      <c r="AL67" s="535"/>
      <c r="AP67" s="535"/>
    </row>
    <row r="68">
      <c r="A68" s="552"/>
      <c r="B68" s="552"/>
      <c r="C68" t="str">
        <f>Filtered!I58</f>
        <v>IEEE Conference on Computer Vision and Pattern Recognition, CVPR</v>
      </c>
      <c r="D68" t="str">
        <f>Filtered!J58</f>
        <v>Engineering &amp; Computer Science</v>
      </c>
      <c r="E68" t="str">
        <f>Filtered!AH58</f>
        <v>Unsure (preprints are allowed, but it's not clear what version)</v>
      </c>
      <c r="F68" t="b">
        <f t="shared" si="10"/>
        <v>0</v>
      </c>
      <c r="G68" t="b">
        <f t="shared" si="11"/>
        <v>0</v>
      </c>
      <c r="H68" t="b">
        <f t="shared" si="12"/>
        <v>1</v>
      </c>
      <c r="I68" t="b">
        <f t="shared" si="13"/>
        <v>0</v>
      </c>
      <c r="J68" t="b">
        <f t="shared" si="14"/>
        <v>0</v>
      </c>
      <c r="K68" t="b">
        <f t="shared" si="15"/>
        <v>0</v>
      </c>
      <c r="L68" t="b">
        <f t="shared" si="16"/>
        <v>0</v>
      </c>
      <c r="M68" t="b">
        <f t="shared" si="17"/>
        <v>0</v>
      </c>
      <c r="N68" s="535"/>
      <c r="O68" s="558"/>
      <c r="R68" s="535"/>
      <c r="S68" s="558"/>
      <c r="V68" s="535"/>
      <c r="W68" s="558"/>
      <c r="Z68" s="535"/>
      <c r="AA68" s="558"/>
      <c r="AD68" s="535"/>
      <c r="AE68" s="558"/>
      <c r="AH68" s="535"/>
      <c r="AI68" s="558"/>
      <c r="AL68" s="535"/>
      <c r="AP68" s="535"/>
    </row>
    <row r="69">
      <c r="A69" s="552"/>
      <c r="B69" s="552"/>
      <c r="C69" t="str">
        <f>Filtered!I59</f>
        <v>IEEE International Conference on Computer Vision</v>
      </c>
      <c r="D69" t="str">
        <f>Filtered!J59</f>
        <v>Engineering &amp; Computer Science</v>
      </c>
      <c r="E69" t="str">
        <f>Filtered!AH59</f>
        <v>Any</v>
      </c>
      <c r="F69" t="b">
        <f t="shared" si="10"/>
        <v>0</v>
      </c>
      <c r="G69" t="b">
        <f t="shared" si="11"/>
        <v>0</v>
      </c>
      <c r="H69" t="b">
        <f t="shared" si="12"/>
        <v>1</v>
      </c>
      <c r="I69" t="b">
        <f t="shared" si="13"/>
        <v>0</v>
      </c>
      <c r="J69" t="b">
        <f t="shared" si="14"/>
        <v>0</v>
      </c>
      <c r="K69" t="b">
        <f t="shared" si="15"/>
        <v>0</v>
      </c>
      <c r="L69" t="b">
        <f t="shared" si="16"/>
        <v>0</v>
      </c>
      <c r="M69" t="b">
        <f t="shared" si="17"/>
        <v>0</v>
      </c>
      <c r="N69" s="535"/>
      <c r="O69" s="558"/>
      <c r="R69" s="535"/>
      <c r="S69" s="558"/>
      <c r="V69" s="535"/>
      <c r="W69" s="558"/>
      <c r="Z69" s="535"/>
      <c r="AA69" s="558"/>
      <c r="AD69" s="535"/>
      <c r="AE69" s="558"/>
      <c r="AH69" s="535"/>
      <c r="AI69" s="558"/>
      <c r="AL69" s="535"/>
      <c r="AP69" s="535"/>
    </row>
    <row r="70">
      <c r="A70" s="552"/>
      <c r="B70" s="552"/>
      <c r="C70" t="str">
        <f>Filtered!I60</f>
        <v>IEEE Transactions on Automatic Control</v>
      </c>
      <c r="D70" t="str">
        <f>Filtered!J60</f>
        <v>Physics &amp; Mathematics</v>
      </c>
      <c r="E70" t="str">
        <f>Filtered!AH60</f>
        <v>First submission only (before peer review)</v>
      </c>
      <c r="F70" t="b">
        <f t="shared" si="10"/>
        <v>0</v>
      </c>
      <c r="G70" t="b">
        <f t="shared" si="11"/>
        <v>0</v>
      </c>
      <c r="H70" t="b">
        <f t="shared" si="12"/>
        <v>0</v>
      </c>
      <c r="I70" t="b">
        <f t="shared" si="13"/>
        <v>0</v>
      </c>
      <c r="J70" t="b">
        <f t="shared" si="14"/>
        <v>0</v>
      </c>
      <c r="K70" t="b">
        <f t="shared" si="15"/>
        <v>0</v>
      </c>
      <c r="L70" t="b">
        <f t="shared" si="16"/>
        <v>1</v>
      </c>
      <c r="M70" t="b">
        <f t="shared" si="17"/>
        <v>0</v>
      </c>
      <c r="N70" s="535"/>
      <c r="O70" s="558"/>
      <c r="R70" s="535"/>
      <c r="S70" s="558"/>
      <c r="V70" s="535"/>
      <c r="W70" s="558"/>
      <c r="Z70" s="535"/>
      <c r="AA70" s="558"/>
      <c r="AD70" s="535"/>
      <c r="AE70" s="558"/>
      <c r="AH70" s="535"/>
      <c r="AI70" s="558"/>
      <c r="AL70" s="535"/>
      <c r="AP70" s="535"/>
    </row>
    <row r="71">
      <c r="A71" s="552"/>
      <c r="B71" s="552"/>
      <c r="C71" t="str">
        <f>Filtered!I61</f>
        <v>IEEE Transactions on Industrial Electronics</v>
      </c>
      <c r="D71" t="str">
        <f>Filtered!J61</f>
        <v>Engineering &amp; Computer Science</v>
      </c>
      <c r="E71" t="str">
        <f>Filtered!AH61</f>
        <v>Any except for the final published article (IEEE must be listed as copyright holder for classroom use/use in own dissertation)</v>
      </c>
      <c r="F71" t="b">
        <f t="shared" si="10"/>
        <v>0</v>
      </c>
      <c r="G71" t="b">
        <f t="shared" si="11"/>
        <v>0</v>
      </c>
      <c r="H71" t="b">
        <f t="shared" si="12"/>
        <v>1</v>
      </c>
      <c r="I71" t="b">
        <f t="shared" si="13"/>
        <v>0</v>
      </c>
      <c r="J71" t="b">
        <f t="shared" si="14"/>
        <v>0</v>
      </c>
      <c r="K71" t="b">
        <f t="shared" si="15"/>
        <v>0</v>
      </c>
      <c r="L71" t="b">
        <f t="shared" si="16"/>
        <v>0</v>
      </c>
      <c r="M71" t="b">
        <f t="shared" si="17"/>
        <v>0</v>
      </c>
      <c r="N71" s="535"/>
      <c r="O71" s="558"/>
      <c r="R71" s="535"/>
      <c r="S71" s="558"/>
      <c r="V71" s="535"/>
      <c r="W71" s="558"/>
      <c r="Z71" s="535"/>
      <c r="AA71" s="558"/>
      <c r="AD71" s="535"/>
      <c r="AE71" s="558"/>
      <c r="AH71" s="535"/>
      <c r="AI71" s="558"/>
      <c r="AL71" s="535"/>
      <c r="AP71" s="535"/>
    </row>
    <row r="72">
      <c r="A72" s="552"/>
      <c r="B72" s="552"/>
      <c r="C72" t="str">
        <f>Filtered!I62</f>
        <v>IEEE Transactions on Pattern Analysis and Machine Intelligence</v>
      </c>
      <c r="D72" t="str">
        <f>Filtered!J62</f>
        <v/>
      </c>
      <c r="E72" t="str">
        <f>Filtered!AH62</f>
        <v>First submission only (before peer review)</v>
      </c>
      <c r="F72" t="b">
        <f t="shared" si="10"/>
        <v>0</v>
      </c>
      <c r="G72" t="b">
        <f t="shared" si="11"/>
        <v>0</v>
      </c>
      <c r="H72" t="b">
        <f t="shared" si="12"/>
        <v>0</v>
      </c>
      <c r="I72" t="b">
        <f t="shared" si="13"/>
        <v>0</v>
      </c>
      <c r="J72" t="b">
        <f t="shared" si="14"/>
        <v>0</v>
      </c>
      <c r="K72" t="b">
        <f t="shared" si="15"/>
        <v>0</v>
      </c>
      <c r="L72" t="b">
        <f t="shared" si="16"/>
        <v>0</v>
      </c>
      <c r="M72" t="b">
        <f t="shared" si="17"/>
        <v>0</v>
      </c>
      <c r="N72" s="535"/>
      <c r="O72" s="558"/>
      <c r="R72" s="535"/>
      <c r="S72" s="558"/>
      <c r="V72" s="535"/>
      <c r="W72" s="558"/>
      <c r="Z72" s="535"/>
      <c r="AA72" s="558"/>
      <c r="AD72" s="535"/>
      <c r="AE72" s="558"/>
      <c r="AH72" s="535"/>
      <c r="AI72" s="558"/>
      <c r="AL72" s="535"/>
      <c r="AP72" s="535"/>
    </row>
    <row r="73">
      <c r="A73" s="552"/>
      <c r="B73" s="552"/>
      <c r="C73" t="str">
        <f>Filtered!I63</f>
        <v>IEEE Transactions on Power Electronics</v>
      </c>
      <c r="D73" t="str">
        <f>Filtered!J63</f>
        <v>Engineering &amp; Computer Science</v>
      </c>
      <c r="E73" t="str">
        <f>Filtered!AH63</f>
        <v>First submission only (before peer review)</v>
      </c>
      <c r="F73" t="b">
        <f t="shared" si="10"/>
        <v>0</v>
      </c>
      <c r="G73" t="b">
        <f t="shared" si="11"/>
        <v>0</v>
      </c>
      <c r="H73" t="b">
        <f t="shared" si="12"/>
        <v>1</v>
      </c>
      <c r="I73" t="b">
        <f t="shared" si="13"/>
        <v>0</v>
      </c>
      <c r="J73" t="b">
        <f t="shared" si="14"/>
        <v>0</v>
      </c>
      <c r="K73" t="b">
        <f t="shared" si="15"/>
        <v>0</v>
      </c>
      <c r="L73" t="b">
        <f t="shared" si="16"/>
        <v>0</v>
      </c>
      <c r="M73" t="b">
        <f t="shared" si="17"/>
        <v>0</v>
      </c>
      <c r="N73" s="535"/>
      <c r="O73" s="558"/>
      <c r="R73" s="535"/>
      <c r="S73" s="558"/>
      <c r="V73" s="535"/>
      <c r="W73" s="558"/>
      <c r="Z73" s="535"/>
      <c r="AA73" s="558"/>
      <c r="AD73" s="535"/>
      <c r="AE73" s="558"/>
      <c r="AH73" s="535"/>
      <c r="AI73" s="558"/>
      <c r="AL73" s="535"/>
      <c r="AP73" s="535"/>
    </row>
    <row r="74">
      <c r="A74" s="552"/>
      <c r="B74" s="552"/>
      <c r="C74" t="str">
        <f>Filtered!I64</f>
        <v>IEEE Transactions on Signal Processing</v>
      </c>
      <c r="D74" t="str">
        <f>Filtered!J64</f>
        <v>Physics &amp; Mathematics</v>
      </c>
      <c r="E74" t="str">
        <f>Filtered!AH64</f>
        <v>First submission only (before peer review)</v>
      </c>
      <c r="F74" t="b">
        <f t="shared" si="10"/>
        <v>0</v>
      </c>
      <c r="G74" t="b">
        <f t="shared" si="11"/>
        <v>0</v>
      </c>
      <c r="H74" t="b">
        <f t="shared" si="12"/>
        <v>0</v>
      </c>
      <c r="I74" t="b">
        <f t="shared" si="13"/>
        <v>0</v>
      </c>
      <c r="J74" t="b">
        <f t="shared" si="14"/>
        <v>0</v>
      </c>
      <c r="K74" t="b">
        <f t="shared" si="15"/>
        <v>0</v>
      </c>
      <c r="L74" t="b">
        <f t="shared" si="16"/>
        <v>1</v>
      </c>
      <c r="M74" t="b">
        <f t="shared" si="17"/>
        <v>0</v>
      </c>
      <c r="N74" s="535"/>
      <c r="O74" s="558"/>
      <c r="R74" s="535"/>
      <c r="S74" s="558"/>
      <c r="V74" s="535"/>
      <c r="W74" s="558"/>
      <c r="Z74" s="535"/>
      <c r="AA74" s="558"/>
      <c r="AD74" s="535"/>
      <c r="AE74" s="558"/>
      <c r="AH74" s="535"/>
      <c r="AI74" s="558"/>
      <c r="AL74" s="535"/>
      <c r="AP74" s="535"/>
    </row>
    <row r="75">
      <c r="A75" s="552"/>
      <c r="B75" s="552"/>
      <c r="C75" t="str">
        <f>Filtered!I65</f>
        <v>Immunity</v>
      </c>
      <c r="D75" t="str">
        <f>Filtered!J65</f>
        <v>Health &amp; Medical Sciences</v>
      </c>
      <c r="E75" t="str">
        <f>Filtered!AH65</f>
        <v>First submission only (before peer review)</v>
      </c>
      <c r="F75" t="b">
        <f t="shared" si="10"/>
        <v>0</v>
      </c>
      <c r="G75" t="b">
        <f t="shared" si="11"/>
        <v>0</v>
      </c>
      <c r="H75" t="b">
        <f t="shared" si="12"/>
        <v>0</v>
      </c>
      <c r="I75" t="b">
        <f t="shared" si="13"/>
        <v>1</v>
      </c>
      <c r="J75" t="b">
        <f t="shared" si="14"/>
        <v>0</v>
      </c>
      <c r="K75" t="b">
        <f t="shared" si="15"/>
        <v>0</v>
      </c>
      <c r="L75" t="b">
        <f t="shared" si="16"/>
        <v>0</v>
      </c>
      <c r="M75" t="b">
        <f t="shared" si="17"/>
        <v>0</v>
      </c>
      <c r="N75" s="535"/>
      <c r="O75" s="558"/>
      <c r="R75" s="535"/>
      <c r="S75" s="558"/>
      <c r="V75" s="535"/>
      <c r="W75" s="558"/>
      <c r="Z75" s="535"/>
      <c r="AA75" s="558"/>
      <c r="AD75" s="535"/>
      <c r="AE75" s="558"/>
      <c r="AH75" s="535"/>
      <c r="AI75" s="558"/>
      <c r="AL75" s="535"/>
      <c r="AP75" s="535"/>
    </row>
    <row r="76">
      <c r="A76" s="552"/>
      <c r="B76" s="552"/>
      <c r="C76" t="str">
        <f>Filtered!I66</f>
        <v>International Journal of Communication</v>
      </c>
      <c r="D76" t="str">
        <f>Filtered!J66</f>
        <v>Humanities, Literature &amp; Arts</v>
      </c>
      <c r="E76" t="str">
        <f>Filtered!AH66</f>
        <v>No preprint policy</v>
      </c>
      <c r="F76" t="b">
        <f t="shared" si="10"/>
        <v>0</v>
      </c>
      <c r="G76" t="b">
        <f t="shared" si="11"/>
        <v>0</v>
      </c>
      <c r="H76" t="b">
        <f t="shared" si="12"/>
        <v>0</v>
      </c>
      <c r="I76" t="b">
        <f t="shared" si="13"/>
        <v>0</v>
      </c>
      <c r="J76" t="b">
        <f t="shared" si="14"/>
        <v>1</v>
      </c>
      <c r="K76" t="b">
        <f t="shared" si="15"/>
        <v>0</v>
      </c>
      <c r="L76" t="b">
        <f t="shared" si="16"/>
        <v>0</v>
      </c>
      <c r="M76" t="b">
        <f t="shared" si="17"/>
        <v>0</v>
      </c>
      <c r="N76" s="535"/>
      <c r="O76" s="558"/>
      <c r="R76" s="535"/>
      <c r="S76" s="558"/>
      <c r="V76" s="535"/>
      <c r="W76" s="558"/>
      <c r="Z76" s="535"/>
      <c r="AA76" s="558"/>
      <c r="AD76" s="535"/>
      <c r="AE76" s="558"/>
      <c r="AH76" s="535"/>
      <c r="AI76" s="558"/>
      <c r="AL76" s="535"/>
      <c r="AP76" s="535"/>
    </row>
    <row r="77">
      <c r="A77" s="552"/>
      <c r="B77" s="552"/>
      <c r="C77" t="str">
        <f>Filtered!I67</f>
        <v>International Journal of Production Economics</v>
      </c>
      <c r="D77" t="str">
        <f>Filtered!J67</f>
        <v>Business, Economics &amp; Management</v>
      </c>
      <c r="E77" t="str">
        <f>Filtered!AH67</f>
        <v>Unsure (preprints are allowed, but it's not clear what version)</v>
      </c>
      <c r="F77" t="b">
        <f t="shared" si="10"/>
        <v>1</v>
      </c>
      <c r="G77" t="b">
        <f t="shared" si="11"/>
        <v>0</v>
      </c>
      <c r="H77" t="b">
        <f t="shared" si="12"/>
        <v>0</v>
      </c>
      <c r="I77" t="b">
        <f t="shared" si="13"/>
        <v>0</v>
      </c>
      <c r="J77" t="b">
        <f t="shared" si="14"/>
        <v>0</v>
      </c>
      <c r="K77" t="b">
        <f t="shared" si="15"/>
        <v>0</v>
      </c>
      <c r="L77" t="b">
        <f t="shared" si="16"/>
        <v>0</v>
      </c>
      <c r="M77" t="b">
        <f t="shared" si="17"/>
        <v>0</v>
      </c>
      <c r="N77" s="535"/>
      <c r="O77" s="558"/>
      <c r="R77" s="535"/>
      <c r="S77" s="558"/>
      <c r="V77" s="535"/>
      <c r="W77" s="558"/>
      <c r="Z77" s="535"/>
      <c r="AA77" s="558"/>
      <c r="AD77" s="535"/>
      <c r="AE77" s="558"/>
      <c r="AH77" s="535"/>
      <c r="AI77" s="558"/>
      <c r="AL77" s="535"/>
      <c r="AP77" s="535"/>
    </row>
    <row r="78">
      <c r="A78" s="552"/>
      <c r="B78" s="552"/>
      <c r="C78" t="str">
        <f>Filtered!I68</f>
        <v>Journal of the American Medical Association</v>
      </c>
      <c r="D78" t="str">
        <f>Filtered!J68</f>
        <v>Health &amp; Medical Sciences</v>
      </c>
      <c r="E78" t="str">
        <f>Filtered!AH68</f>
        <v>None (preprints not allowed)</v>
      </c>
      <c r="F78" t="b">
        <f t="shared" si="10"/>
        <v>0</v>
      </c>
      <c r="G78" t="b">
        <f t="shared" si="11"/>
        <v>0</v>
      </c>
      <c r="H78" t="b">
        <f t="shared" si="12"/>
        <v>0</v>
      </c>
      <c r="I78" t="b">
        <f t="shared" si="13"/>
        <v>1</v>
      </c>
      <c r="J78" t="b">
        <f t="shared" si="14"/>
        <v>0</v>
      </c>
      <c r="K78" t="b">
        <f t="shared" si="15"/>
        <v>0</v>
      </c>
      <c r="L78" t="b">
        <f t="shared" si="16"/>
        <v>0</v>
      </c>
      <c r="M78" t="b">
        <f t="shared" si="17"/>
        <v>0</v>
      </c>
      <c r="N78" s="535"/>
      <c r="O78" s="558"/>
      <c r="R78" s="535"/>
      <c r="S78" s="558"/>
      <c r="V78" s="535"/>
      <c r="W78" s="558"/>
      <c r="Z78" s="535"/>
      <c r="AA78" s="558"/>
      <c r="AD78" s="535"/>
      <c r="AE78" s="558"/>
      <c r="AH78" s="535"/>
      <c r="AI78" s="558"/>
      <c r="AL78" s="535"/>
      <c r="AP78" s="535"/>
    </row>
    <row r="79">
      <c r="A79" s="552"/>
      <c r="B79" s="552"/>
      <c r="C79" t="str">
        <f>Filtered!I69</f>
        <v>Journal of Allergy and Clinical Immunology</v>
      </c>
      <c r="D79" t="str">
        <f>Filtered!J69</f>
        <v/>
      </c>
      <c r="E79" t="str">
        <f>Filtered!AH69</f>
        <v>Unsure</v>
      </c>
      <c r="F79" t="b">
        <f t="shared" si="10"/>
        <v>0</v>
      </c>
      <c r="G79" t="b">
        <f t="shared" si="11"/>
        <v>0</v>
      </c>
      <c r="H79" t="b">
        <f t="shared" si="12"/>
        <v>0</v>
      </c>
      <c r="I79" t="b">
        <f t="shared" si="13"/>
        <v>0</v>
      </c>
      <c r="J79" t="b">
        <f t="shared" si="14"/>
        <v>0</v>
      </c>
      <c r="K79" t="b">
        <f t="shared" si="15"/>
        <v>0</v>
      </c>
      <c r="L79" t="b">
        <f t="shared" si="16"/>
        <v>0</v>
      </c>
      <c r="M79" t="b">
        <f t="shared" si="17"/>
        <v>0</v>
      </c>
      <c r="N79" s="535"/>
      <c r="O79" s="558"/>
      <c r="R79" s="535"/>
      <c r="S79" s="558"/>
      <c r="V79" s="535"/>
      <c r="W79" s="558"/>
      <c r="Z79" s="535"/>
      <c r="AA79" s="558"/>
      <c r="AD79" s="535"/>
      <c r="AE79" s="558"/>
      <c r="AH79" s="535"/>
      <c r="AI79" s="558"/>
      <c r="AL79" s="535"/>
      <c r="AP79" s="535"/>
    </row>
    <row r="80">
      <c r="A80" s="552"/>
      <c r="B80" s="552"/>
      <c r="C80" t="str">
        <f>Filtered!I70</f>
        <v>Journal of Banking &amp; Finance</v>
      </c>
      <c r="D80" t="str">
        <f>Filtered!J70</f>
        <v>Business, Economics &amp; Management</v>
      </c>
      <c r="E80" t="str">
        <f>Filtered!AH70</f>
        <v>No preprint policy</v>
      </c>
      <c r="F80" t="b">
        <f t="shared" si="10"/>
        <v>1</v>
      </c>
      <c r="G80" t="b">
        <f t="shared" si="11"/>
        <v>0</v>
      </c>
      <c r="H80" t="b">
        <f t="shared" si="12"/>
        <v>0</v>
      </c>
      <c r="I80" t="b">
        <f t="shared" si="13"/>
        <v>0</v>
      </c>
      <c r="J80" t="b">
        <f t="shared" si="14"/>
        <v>0</v>
      </c>
      <c r="K80" t="b">
        <f t="shared" si="15"/>
        <v>0</v>
      </c>
      <c r="L80" t="b">
        <f t="shared" si="16"/>
        <v>0</v>
      </c>
      <c r="M80" t="b">
        <f t="shared" si="17"/>
        <v>0</v>
      </c>
      <c r="N80" s="535"/>
      <c r="O80" s="558"/>
      <c r="R80" s="535"/>
      <c r="S80" s="558"/>
      <c r="V80" s="535"/>
      <c r="W80" s="558"/>
      <c r="Z80" s="535"/>
      <c r="AA80" s="558"/>
      <c r="AD80" s="535"/>
      <c r="AE80" s="558"/>
      <c r="AH80" s="535"/>
      <c r="AI80" s="558"/>
      <c r="AL80" s="535"/>
      <c r="AP80" s="535"/>
    </row>
    <row r="81">
      <c r="A81" s="552"/>
      <c r="B81" s="552"/>
      <c r="C81" t="str">
        <f>Filtered!I71</f>
        <v>Journal of Business Ethics</v>
      </c>
      <c r="D81" t="str">
        <f>Filtered!J71</f>
        <v>Business, Economics &amp; Management,
Social Sciences</v>
      </c>
      <c r="E81" t="str">
        <f>Filtered!AH71</f>
        <v>No preprint policy</v>
      </c>
      <c r="F81" t="b">
        <f t="shared" si="10"/>
        <v>1</v>
      </c>
      <c r="G81" t="b">
        <f t="shared" si="11"/>
        <v>0</v>
      </c>
      <c r="H81" t="b">
        <f t="shared" si="12"/>
        <v>0</v>
      </c>
      <c r="I81" t="b">
        <f t="shared" si="13"/>
        <v>0</v>
      </c>
      <c r="J81" t="b">
        <f t="shared" si="14"/>
        <v>0</v>
      </c>
      <c r="K81" t="b">
        <f t="shared" si="15"/>
        <v>0</v>
      </c>
      <c r="L81" t="b">
        <f t="shared" si="16"/>
        <v>0</v>
      </c>
      <c r="M81" t="b">
        <f t="shared" si="17"/>
        <v>1</v>
      </c>
      <c r="N81" s="535"/>
      <c r="O81" s="558"/>
      <c r="R81" s="535"/>
      <c r="S81" s="558"/>
      <c r="V81" s="535"/>
      <c r="W81" s="558"/>
      <c r="Z81" s="535"/>
      <c r="AA81" s="558"/>
      <c r="AD81" s="535"/>
      <c r="AE81" s="558"/>
      <c r="AH81" s="535"/>
      <c r="AI81" s="558"/>
      <c r="AL81" s="535"/>
      <c r="AP81" s="535"/>
    </row>
    <row r="82">
      <c r="A82" s="552"/>
      <c r="B82" s="552"/>
      <c r="C82" t="str">
        <f>Filtered!I72</f>
        <v>Journal of Business Research</v>
      </c>
      <c r="D82" t="str">
        <f>Filtered!J72</f>
        <v>Business, Economics &amp; Management</v>
      </c>
      <c r="E82" t="str">
        <f>Filtered!AH72</f>
        <v>Unsure</v>
      </c>
      <c r="F82" t="b">
        <f t="shared" si="10"/>
        <v>1</v>
      </c>
      <c r="G82" t="b">
        <f t="shared" si="11"/>
        <v>0</v>
      </c>
      <c r="H82" t="b">
        <f t="shared" si="12"/>
        <v>0</v>
      </c>
      <c r="I82" t="b">
        <f t="shared" si="13"/>
        <v>0</v>
      </c>
      <c r="J82" t="b">
        <f t="shared" si="14"/>
        <v>0</v>
      </c>
      <c r="K82" t="b">
        <f t="shared" si="15"/>
        <v>0</v>
      </c>
      <c r="L82" t="b">
        <f t="shared" si="16"/>
        <v>0</v>
      </c>
      <c r="M82" t="b">
        <f t="shared" si="17"/>
        <v>0</v>
      </c>
      <c r="N82" s="535"/>
      <c r="O82" s="558"/>
      <c r="R82" s="535"/>
      <c r="S82" s="558"/>
      <c r="V82" s="535"/>
      <c r="W82" s="558"/>
      <c r="Z82" s="535"/>
      <c r="AA82" s="558"/>
      <c r="AD82" s="535"/>
      <c r="AE82" s="558"/>
      <c r="AH82" s="535"/>
      <c r="AI82" s="558"/>
      <c r="AL82" s="535"/>
      <c r="AP82" s="535"/>
    </row>
    <row r="83">
      <c r="A83" s="552"/>
      <c r="B83" s="552"/>
      <c r="C83" t="str">
        <f>Filtered!I73</f>
        <v>Journal of Cleaner Production</v>
      </c>
      <c r="D83" t="str">
        <f>Filtered!J73</f>
        <v/>
      </c>
      <c r="E83" t="str">
        <f>Filtered!AH73</f>
        <v>Authors can share their preprint anywhere at any time.</v>
      </c>
      <c r="F83" t="b">
        <f t="shared" si="10"/>
        <v>0</v>
      </c>
      <c r="G83" t="b">
        <f t="shared" si="11"/>
        <v>0</v>
      </c>
      <c r="H83" t="b">
        <f t="shared" si="12"/>
        <v>0</v>
      </c>
      <c r="I83" t="b">
        <f t="shared" si="13"/>
        <v>0</v>
      </c>
      <c r="J83" t="b">
        <f t="shared" si="14"/>
        <v>0</v>
      </c>
      <c r="K83" t="b">
        <f t="shared" si="15"/>
        <v>0</v>
      </c>
      <c r="L83" t="b">
        <f t="shared" si="16"/>
        <v>0</v>
      </c>
      <c r="M83" t="b">
        <f t="shared" si="17"/>
        <v>0</v>
      </c>
      <c r="N83" s="535"/>
      <c r="O83" s="558"/>
      <c r="R83" s="535"/>
      <c r="S83" s="558"/>
      <c r="V83" s="535"/>
      <c r="W83" s="558"/>
      <c r="Z83" s="535"/>
      <c r="AA83" s="558"/>
      <c r="AD83" s="535"/>
      <c r="AE83" s="558"/>
      <c r="AH83" s="535"/>
      <c r="AI83" s="558"/>
      <c r="AL83" s="535"/>
      <c r="AP83" s="535"/>
    </row>
    <row r="84">
      <c r="A84" s="552"/>
      <c r="B84" s="552"/>
      <c r="C84" t="str">
        <f>Filtered!I74</f>
        <v>Journal of Clinical Oncology</v>
      </c>
      <c r="D84" t="str">
        <f>Filtered!J74</f>
        <v>Health &amp; Medical Sciences</v>
      </c>
      <c r="E84" t="str">
        <f>Filtered!AH74</f>
        <v>First submission only (before peer review)</v>
      </c>
      <c r="F84" t="b">
        <f t="shared" si="10"/>
        <v>0</v>
      </c>
      <c r="G84" t="b">
        <f t="shared" si="11"/>
        <v>0</v>
      </c>
      <c r="H84" t="b">
        <f t="shared" si="12"/>
        <v>0</v>
      </c>
      <c r="I84" t="b">
        <f t="shared" si="13"/>
        <v>1</v>
      </c>
      <c r="J84" t="b">
        <f t="shared" si="14"/>
        <v>0</v>
      </c>
      <c r="K84" t="b">
        <f t="shared" si="15"/>
        <v>0</v>
      </c>
      <c r="L84" t="b">
        <f t="shared" si="16"/>
        <v>0</v>
      </c>
      <c r="M84" t="b">
        <f t="shared" si="17"/>
        <v>0</v>
      </c>
      <c r="N84" s="535"/>
      <c r="O84" s="558"/>
      <c r="R84" s="535"/>
      <c r="S84" s="558"/>
      <c r="V84" s="535"/>
      <c r="W84" s="558"/>
      <c r="Z84" s="535"/>
      <c r="AA84" s="558"/>
      <c r="AD84" s="535"/>
      <c r="AE84" s="558"/>
      <c r="AH84" s="535"/>
      <c r="AI84" s="558"/>
      <c r="AL84" s="535"/>
      <c r="AP84" s="535"/>
    </row>
    <row r="85">
      <c r="A85" s="552"/>
      <c r="B85" s="552"/>
      <c r="C85" t="str">
        <f>Filtered!I75</f>
        <v>Journal of Communication</v>
      </c>
      <c r="D85" t="str">
        <f>Filtered!J75</f>
        <v>Humanities, Literature &amp; Arts</v>
      </c>
      <c r="E85" t="str">
        <f>Filtered!AH75</f>
        <v>First submission only (before peer review)</v>
      </c>
      <c r="F85" t="b">
        <f t="shared" si="10"/>
        <v>0</v>
      </c>
      <c r="G85" t="b">
        <f t="shared" si="11"/>
        <v>0</v>
      </c>
      <c r="H85" t="b">
        <f t="shared" si="12"/>
        <v>0</v>
      </c>
      <c r="I85" t="b">
        <f t="shared" si="13"/>
        <v>0</v>
      </c>
      <c r="J85" t="b">
        <f t="shared" si="14"/>
        <v>1</v>
      </c>
      <c r="K85" t="b">
        <f t="shared" si="15"/>
        <v>0</v>
      </c>
      <c r="L85" t="b">
        <f t="shared" si="16"/>
        <v>0</v>
      </c>
      <c r="M85" t="b">
        <f t="shared" si="17"/>
        <v>0</v>
      </c>
      <c r="N85" s="535"/>
      <c r="O85" s="558"/>
      <c r="R85" s="535"/>
      <c r="S85" s="558"/>
      <c r="V85" s="535"/>
      <c r="W85" s="558"/>
      <c r="Z85" s="535"/>
      <c r="AA85" s="558"/>
      <c r="AD85" s="535"/>
      <c r="AE85" s="558"/>
      <c r="AH85" s="535"/>
      <c r="AI85" s="558"/>
      <c r="AL85" s="535"/>
      <c r="AP85" s="535"/>
    </row>
    <row r="86">
      <c r="A86" s="552"/>
      <c r="B86" s="552"/>
      <c r="C86" t="str">
        <f>Filtered!I76</f>
        <v>Journal of Cosmology and Astroparticle Physics</v>
      </c>
      <c r="D86" t="str">
        <f>Filtered!J76</f>
        <v>Physics &amp; Mathematics</v>
      </c>
      <c r="E86" t="str">
        <f>Filtered!AH76</f>
        <v>Any</v>
      </c>
      <c r="F86" t="b">
        <f t="shared" si="10"/>
        <v>0</v>
      </c>
      <c r="G86" t="b">
        <f t="shared" si="11"/>
        <v>0</v>
      </c>
      <c r="H86" t="b">
        <f t="shared" si="12"/>
        <v>0</v>
      </c>
      <c r="I86" t="b">
        <f t="shared" si="13"/>
        <v>0</v>
      </c>
      <c r="J86" t="b">
        <f t="shared" si="14"/>
        <v>0</v>
      </c>
      <c r="K86" t="b">
        <f t="shared" si="15"/>
        <v>0</v>
      </c>
      <c r="L86" t="b">
        <f t="shared" si="16"/>
        <v>1</v>
      </c>
      <c r="M86" t="b">
        <f t="shared" si="17"/>
        <v>0</v>
      </c>
      <c r="N86" s="535"/>
      <c r="O86" s="558"/>
      <c r="R86" s="535"/>
      <c r="S86" s="558"/>
      <c r="V86" s="535"/>
      <c r="W86" s="558"/>
      <c r="Z86" s="535"/>
      <c r="AA86" s="558"/>
      <c r="AD86" s="535"/>
      <c r="AE86" s="558"/>
      <c r="AH86" s="535"/>
      <c r="AI86" s="558"/>
      <c r="AL86" s="535"/>
      <c r="AP86" s="535"/>
    </row>
    <row r="87">
      <c r="A87" s="552"/>
      <c r="B87" s="552"/>
      <c r="C87" t="str">
        <f>Filtered!I77</f>
        <v>Journal of Economic Perspectives</v>
      </c>
      <c r="D87" t="str">
        <f>Filtered!J77</f>
        <v>Business, Economics &amp; Management</v>
      </c>
      <c r="E87" t="str">
        <f>Filtered!AH77</f>
        <v>No preprint policy</v>
      </c>
      <c r="F87" t="b">
        <f t="shared" si="10"/>
        <v>1</v>
      </c>
      <c r="G87" t="b">
        <f t="shared" si="11"/>
        <v>0</v>
      </c>
      <c r="H87" t="b">
        <f t="shared" si="12"/>
        <v>0</v>
      </c>
      <c r="I87" t="b">
        <f t="shared" si="13"/>
        <v>0</v>
      </c>
      <c r="J87" t="b">
        <f t="shared" si="14"/>
        <v>0</v>
      </c>
      <c r="K87" t="b">
        <f t="shared" si="15"/>
        <v>0</v>
      </c>
      <c r="L87" t="b">
        <f t="shared" si="16"/>
        <v>0</v>
      </c>
      <c r="M87" t="b">
        <f t="shared" si="17"/>
        <v>0</v>
      </c>
      <c r="N87" s="535"/>
      <c r="O87" s="558"/>
      <c r="R87" s="535"/>
      <c r="S87" s="558"/>
      <c r="V87" s="535"/>
      <c r="W87" s="558"/>
      <c r="Z87" s="535"/>
      <c r="AA87" s="558"/>
      <c r="AD87" s="535"/>
      <c r="AE87" s="558"/>
      <c r="AH87" s="535"/>
      <c r="AI87" s="558"/>
      <c r="AL87" s="535"/>
      <c r="AP87" s="535"/>
    </row>
    <row r="88">
      <c r="A88" s="552"/>
      <c r="B88" s="552"/>
      <c r="C88" t="str">
        <f>Filtered!I78</f>
        <v>Journal of Educational Psychology</v>
      </c>
      <c r="D88" t="str">
        <f>Filtered!J78</f>
        <v>Social Sciences</v>
      </c>
      <c r="E88" t="str">
        <f>Filtered!AH78</f>
        <v>Unsure</v>
      </c>
      <c r="F88" t="b">
        <f t="shared" si="10"/>
        <v>0</v>
      </c>
      <c r="G88" t="b">
        <f t="shared" si="11"/>
        <v>0</v>
      </c>
      <c r="H88" t="b">
        <f t="shared" si="12"/>
        <v>0</v>
      </c>
      <c r="I88" t="b">
        <f t="shared" si="13"/>
        <v>0</v>
      </c>
      <c r="J88" t="b">
        <f t="shared" si="14"/>
        <v>0</v>
      </c>
      <c r="K88" t="b">
        <f t="shared" si="15"/>
        <v>0</v>
      </c>
      <c r="L88" t="b">
        <f t="shared" si="16"/>
        <v>0</v>
      </c>
      <c r="M88" t="b">
        <f t="shared" si="17"/>
        <v>1</v>
      </c>
      <c r="N88" s="535"/>
      <c r="O88" s="558"/>
      <c r="R88" s="535"/>
      <c r="S88" s="558"/>
      <c r="V88" s="535"/>
      <c r="W88" s="558"/>
      <c r="Z88" s="535"/>
      <c r="AA88" s="558"/>
      <c r="AD88" s="535"/>
      <c r="AE88" s="558"/>
      <c r="AH88" s="535"/>
      <c r="AI88" s="558"/>
      <c r="AL88" s="535"/>
      <c r="AP88" s="535"/>
    </row>
    <row r="89">
      <c r="A89" s="552"/>
      <c r="B89" s="552"/>
      <c r="C89" t="str">
        <f>Filtered!I79</f>
        <v>Journal of Financial Economics</v>
      </c>
      <c r="D89" t="str">
        <f>Filtered!J79</f>
        <v>Business, Economics &amp; Management</v>
      </c>
      <c r="E89" t="str">
        <f>Filtered!AH79</f>
        <v>After peer review (but not final, copyedited version)</v>
      </c>
      <c r="F89" t="b">
        <f t="shared" si="10"/>
        <v>1</v>
      </c>
      <c r="G89" t="b">
        <f t="shared" si="11"/>
        <v>0</v>
      </c>
      <c r="H89" t="b">
        <f t="shared" si="12"/>
        <v>0</v>
      </c>
      <c r="I89" t="b">
        <f t="shared" si="13"/>
        <v>0</v>
      </c>
      <c r="J89" t="b">
        <f t="shared" si="14"/>
        <v>0</v>
      </c>
      <c r="K89" t="b">
        <f t="shared" si="15"/>
        <v>0</v>
      </c>
      <c r="L89" t="b">
        <f t="shared" si="16"/>
        <v>0</v>
      </c>
      <c r="M89" t="b">
        <f t="shared" si="17"/>
        <v>0</v>
      </c>
      <c r="N89" s="535"/>
      <c r="O89" s="558"/>
      <c r="R89" s="535"/>
      <c r="S89" s="558"/>
      <c r="V89" s="535"/>
      <c r="W89" s="558"/>
      <c r="Z89" s="535"/>
      <c r="AA89" s="558"/>
      <c r="AD89" s="535"/>
      <c r="AE89" s="558"/>
      <c r="AH89" s="535"/>
      <c r="AI89" s="558"/>
      <c r="AL89" s="535"/>
      <c r="AP89" s="535"/>
    </row>
    <row r="90">
      <c r="A90" s="552"/>
      <c r="B90" s="552"/>
      <c r="C90" t="str">
        <f>Filtered!I80</f>
        <v>Journal of Geophysical Research</v>
      </c>
      <c r="D90" t="str">
        <f>Filtered!J80</f>
        <v>Physics &amp; Mathematics</v>
      </c>
      <c r="E90" t="str">
        <f>Filtered!AH80</f>
        <v>After peer review (but not final, copyedited version)</v>
      </c>
      <c r="F90" t="b">
        <f t="shared" si="10"/>
        <v>0</v>
      </c>
      <c r="G90" t="b">
        <f t="shared" si="11"/>
        <v>0</v>
      </c>
      <c r="H90" t="b">
        <f t="shared" si="12"/>
        <v>0</v>
      </c>
      <c r="I90" t="b">
        <f t="shared" si="13"/>
        <v>0</v>
      </c>
      <c r="J90" t="b">
        <f t="shared" si="14"/>
        <v>0</v>
      </c>
      <c r="K90" t="b">
        <f t="shared" si="15"/>
        <v>0</v>
      </c>
      <c r="L90" t="b">
        <f t="shared" si="16"/>
        <v>1</v>
      </c>
      <c r="M90" t="b">
        <f t="shared" si="17"/>
        <v>0</v>
      </c>
      <c r="N90" s="535"/>
      <c r="O90" s="558"/>
      <c r="R90" s="535"/>
      <c r="S90" s="558"/>
      <c r="V90" s="535"/>
      <c r="W90" s="558"/>
      <c r="Z90" s="535"/>
      <c r="AA90" s="558"/>
      <c r="AD90" s="535"/>
      <c r="AE90" s="558"/>
      <c r="AH90" s="535"/>
      <c r="AI90" s="558"/>
      <c r="AL90" s="535"/>
      <c r="AP90" s="535"/>
    </row>
    <row r="91">
      <c r="A91" s="552"/>
      <c r="B91" s="552"/>
      <c r="C91" t="str">
        <f>Filtered!I81</f>
        <v>Journal of Hepatology</v>
      </c>
      <c r="D91" t="str">
        <f>Filtered!J81</f>
        <v/>
      </c>
      <c r="E91" t="str">
        <f>Filtered!AH81</f>
        <v>After peer review (but not final, copyedited version)</v>
      </c>
      <c r="F91" t="b">
        <f t="shared" si="10"/>
        <v>0</v>
      </c>
      <c r="G91" t="b">
        <f t="shared" si="11"/>
        <v>0</v>
      </c>
      <c r="H91" t="b">
        <f t="shared" si="12"/>
        <v>0</v>
      </c>
      <c r="I91" t="b">
        <f t="shared" si="13"/>
        <v>0</v>
      </c>
      <c r="J91" t="b">
        <f t="shared" si="14"/>
        <v>0</v>
      </c>
      <c r="K91" t="b">
        <f t="shared" si="15"/>
        <v>0</v>
      </c>
      <c r="L91" t="b">
        <f t="shared" si="16"/>
        <v>0</v>
      </c>
      <c r="M91" t="b">
        <f t="shared" si="17"/>
        <v>0</v>
      </c>
      <c r="N91" s="535"/>
      <c r="O91" s="558"/>
      <c r="R91" s="535"/>
      <c r="S91" s="558"/>
      <c r="V91" s="535"/>
      <c r="W91" s="558"/>
      <c r="Z91" s="535"/>
      <c r="AA91" s="558"/>
      <c r="AD91" s="535"/>
      <c r="AE91" s="558"/>
      <c r="AH91" s="535"/>
      <c r="AI91" s="558"/>
      <c r="AL91" s="535"/>
      <c r="AP91" s="535"/>
    </row>
    <row r="92">
      <c r="A92" s="552"/>
      <c r="B92" s="552"/>
      <c r="C92" t="str">
        <f>Filtered!I82</f>
        <v>Journal of High Energy Physics</v>
      </c>
      <c r="D92" t="str">
        <f>Filtered!J82</f>
        <v>Physics &amp; Mathematics</v>
      </c>
      <c r="E92" t="str">
        <f>Filtered!AH82</f>
        <v>Any</v>
      </c>
      <c r="F92" t="b">
        <f t="shared" si="10"/>
        <v>0</v>
      </c>
      <c r="G92" t="b">
        <f t="shared" si="11"/>
        <v>0</v>
      </c>
      <c r="H92" t="b">
        <f t="shared" si="12"/>
        <v>0</v>
      </c>
      <c r="I92" t="b">
        <f t="shared" si="13"/>
        <v>0</v>
      </c>
      <c r="J92" t="b">
        <f t="shared" si="14"/>
        <v>0</v>
      </c>
      <c r="K92" t="b">
        <f t="shared" si="15"/>
        <v>0</v>
      </c>
      <c r="L92" t="b">
        <f t="shared" si="16"/>
        <v>1</v>
      </c>
      <c r="M92" t="b">
        <f t="shared" si="17"/>
        <v>0</v>
      </c>
      <c r="N92" s="535"/>
      <c r="O92" s="558"/>
      <c r="R92" s="535"/>
      <c r="S92" s="558"/>
      <c r="V92" s="535"/>
      <c r="W92" s="558"/>
      <c r="Z92" s="535"/>
      <c r="AA92" s="558"/>
      <c r="AD92" s="535"/>
      <c r="AE92" s="558"/>
      <c r="AH92" s="535"/>
      <c r="AI92" s="558"/>
      <c r="AL92" s="535"/>
      <c r="AP92" s="535"/>
    </row>
    <row r="93">
      <c r="A93" s="552"/>
      <c r="B93" s="552"/>
      <c r="C93" t="str">
        <f>Filtered!I83</f>
        <v>Journal of Management</v>
      </c>
      <c r="D93" t="str">
        <f>Filtered!J83</f>
        <v>Business, Economics &amp; Management</v>
      </c>
      <c r="E93" t="str">
        <f>Filtered!AH83</f>
        <v>First submission only (before peer review)</v>
      </c>
      <c r="F93" t="b">
        <f t="shared" si="10"/>
        <v>1</v>
      </c>
      <c r="G93" t="b">
        <f t="shared" si="11"/>
        <v>0</v>
      </c>
      <c r="H93" t="b">
        <f t="shared" si="12"/>
        <v>0</v>
      </c>
      <c r="I93" t="b">
        <f t="shared" si="13"/>
        <v>0</v>
      </c>
      <c r="J93" t="b">
        <f t="shared" si="14"/>
        <v>0</v>
      </c>
      <c r="K93" t="b">
        <f t="shared" si="15"/>
        <v>0</v>
      </c>
      <c r="L93" t="b">
        <f t="shared" si="16"/>
        <v>0</v>
      </c>
      <c r="M93" t="b">
        <f t="shared" si="17"/>
        <v>0</v>
      </c>
      <c r="N93" s="535"/>
      <c r="O93" s="558"/>
      <c r="R93" s="535"/>
      <c r="S93" s="558"/>
      <c r="V93" s="535"/>
      <c r="W93" s="558"/>
      <c r="Z93" s="535"/>
      <c r="AA93" s="558"/>
      <c r="AD93" s="535"/>
      <c r="AE93" s="558"/>
      <c r="AH93" s="535"/>
      <c r="AI93" s="558"/>
      <c r="AL93" s="535"/>
      <c r="AP93" s="535"/>
    </row>
    <row r="94">
      <c r="A94" s="552"/>
      <c r="B94" s="552"/>
      <c r="C94" t="str">
        <f>Filtered!I84</f>
        <v>Journal of Materials Chemistry. A</v>
      </c>
      <c r="D94" t="str">
        <f>Filtered!J84</f>
        <v>Chemical &amp; Materials Sciences, Engineering &amp; Computer Science</v>
      </c>
      <c r="E94" t="str">
        <f>Filtered!AH84</f>
        <v>First submission only (before peer review)</v>
      </c>
      <c r="F94" t="b">
        <f t="shared" si="10"/>
        <v>0</v>
      </c>
      <c r="G94" t="b">
        <f t="shared" si="11"/>
        <v>1</v>
      </c>
      <c r="H94" t="b">
        <f t="shared" si="12"/>
        <v>1</v>
      </c>
      <c r="I94" t="b">
        <f t="shared" si="13"/>
        <v>0</v>
      </c>
      <c r="J94" t="b">
        <f t="shared" si="14"/>
        <v>0</v>
      </c>
      <c r="K94" t="b">
        <f t="shared" si="15"/>
        <v>0</v>
      </c>
      <c r="L94" t="b">
        <f t="shared" si="16"/>
        <v>0</v>
      </c>
      <c r="M94" t="b">
        <f t="shared" si="17"/>
        <v>0</v>
      </c>
      <c r="N94" s="535"/>
      <c r="O94" s="558"/>
      <c r="R94" s="535"/>
      <c r="S94" s="558"/>
      <c r="V94" s="535"/>
      <c r="W94" s="558"/>
      <c r="Z94" s="535"/>
      <c r="AA94" s="558"/>
      <c r="AD94" s="535"/>
      <c r="AE94" s="558"/>
      <c r="AH94" s="535"/>
      <c r="AI94" s="558"/>
      <c r="AL94" s="535"/>
      <c r="AP94" s="535"/>
    </row>
    <row r="95">
      <c r="A95" s="552"/>
      <c r="B95" s="552"/>
      <c r="C95" t="str">
        <f>Filtered!I85</f>
        <v>Journal of Pragmatics</v>
      </c>
      <c r="D95" t="str">
        <f>Filtered!J85</f>
        <v>Humanities, Literature &amp; Arts</v>
      </c>
      <c r="E95" t="str">
        <f>Filtered!AH85</f>
        <v>After peer review (but not final, copyedited version)</v>
      </c>
      <c r="F95" t="b">
        <f t="shared" si="10"/>
        <v>0</v>
      </c>
      <c r="G95" t="b">
        <f t="shared" si="11"/>
        <v>0</v>
      </c>
      <c r="H95" t="b">
        <f t="shared" si="12"/>
        <v>0</v>
      </c>
      <c r="I95" t="b">
        <f t="shared" si="13"/>
        <v>0</v>
      </c>
      <c r="J95" t="b">
        <f t="shared" si="14"/>
        <v>1</v>
      </c>
      <c r="K95" t="b">
        <f t="shared" si="15"/>
        <v>0</v>
      </c>
      <c r="L95" t="b">
        <f t="shared" si="16"/>
        <v>0</v>
      </c>
      <c r="M95" t="b">
        <f t="shared" si="17"/>
        <v>0</v>
      </c>
      <c r="N95" s="535"/>
      <c r="O95" s="558"/>
      <c r="R95" s="535"/>
      <c r="S95" s="558"/>
      <c r="V95" s="535"/>
      <c r="W95" s="558"/>
      <c r="Z95" s="535"/>
      <c r="AA95" s="558"/>
      <c r="AD95" s="535"/>
      <c r="AE95" s="558"/>
      <c r="AH95" s="535"/>
      <c r="AI95" s="558"/>
      <c r="AL95" s="535"/>
      <c r="AP95" s="535"/>
    </row>
    <row r="96">
      <c r="A96" s="552"/>
      <c r="B96" s="552"/>
      <c r="C96" t="str">
        <f>Filtered!I86</f>
        <v>Journal of the American Chemical Society</v>
      </c>
      <c r="D96" t="str">
        <f>Filtered!J86</f>
        <v>Chemical &amp; Materials Sciences</v>
      </c>
      <c r="E96" t="str">
        <f>Filtered!AH86</f>
        <v>After peer review (but not final, copyedited version)</v>
      </c>
      <c r="F96" t="b">
        <f t="shared" si="10"/>
        <v>0</v>
      </c>
      <c r="G96" t="b">
        <f t="shared" si="11"/>
        <v>1</v>
      </c>
      <c r="H96" t="b">
        <f t="shared" si="12"/>
        <v>0</v>
      </c>
      <c r="I96" t="b">
        <f t="shared" si="13"/>
        <v>0</v>
      </c>
      <c r="J96" t="b">
        <f t="shared" si="14"/>
        <v>0</v>
      </c>
      <c r="K96" t="b">
        <f t="shared" si="15"/>
        <v>0</v>
      </c>
      <c r="L96" t="b">
        <f t="shared" si="16"/>
        <v>0</v>
      </c>
      <c r="M96" t="b">
        <f t="shared" si="17"/>
        <v>0</v>
      </c>
      <c r="N96" s="535"/>
      <c r="O96" s="558"/>
      <c r="R96" s="535"/>
      <c r="S96" s="558"/>
      <c r="V96" s="535"/>
      <c r="W96" s="558"/>
      <c r="Z96" s="535"/>
      <c r="AA96" s="558"/>
      <c r="AD96" s="535"/>
      <c r="AE96" s="558"/>
      <c r="AH96" s="535"/>
      <c r="AI96" s="558"/>
      <c r="AL96" s="535"/>
      <c r="AP96" s="535"/>
    </row>
    <row r="97">
      <c r="A97" s="552"/>
      <c r="B97" s="552"/>
      <c r="C97" t="str">
        <f>Filtered!I87</f>
        <v>Journal of the American College of Cardiology</v>
      </c>
      <c r="D97" t="str">
        <f>Filtered!J87</f>
        <v>Health &amp; Medical Sciences</v>
      </c>
      <c r="E97" t="str">
        <f>Filtered!AH87</f>
        <v>None (preprints are not allowed)</v>
      </c>
      <c r="F97" t="b">
        <f t="shared" si="10"/>
        <v>0</v>
      </c>
      <c r="G97" t="b">
        <f t="shared" si="11"/>
        <v>0</v>
      </c>
      <c r="H97" t="b">
        <f t="shared" si="12"/>
        <v>0</v>
      </c>
      <c r="I97" t="b">
        <f t="shared" si="13"/>
        <v>1</v>
      </c>
      <c r="J97" t="b">
        <f t="shared" si="14"/>
        <v>0</v>
      </c>
      <c r="K97" t="b">
        <f t="shared" si="15"/>
        <v>0</v>
      </c>
      <c r="L97" t="b">
        <f t="shared" si="16"/>
        <v>0</v>
      </c>
      <c r="M97" t="b">
        <f t="shared" si="17"/>
        <v>0</v>
      </c>
      <c r="N97" s="535"/>
      <c r="O97" s="558"/>
      <c r="R97" s="535"/>
      <c r="S97" s="558"/>
      <c r="V97" s="535"/>
      <c r="W97" s="558"/>
      <c r="Z97" s="535"/>
      <c r="AA97" s="558"/>
      <c r="AD97" s="535"/>
      <c r="AE97" s="558"/>
      <c r="AH97" s="535"/>
      <c r="AI97" s="558"/>
      <c r="AL97" s="535"/>
      <c r="AP97" s="535"/>
    </row>
    <row r="98">
      <c r="A98" s="552"/>
      <c r="B98" s="552"/>
      <c r="C98" t="str">
        <f>Filtered!I88</f>
        <v>Journal of Youth and Adolescence</v>
      </c>
      <c r="D98" t="str">
        <f>Filtered!J88</f>
        <v>Social Sciences</v>
      </c>
      <c r="E98" t="str">
        <f>Filtered!AH88</f>
        <v>No preprint policy</v>
      </c>
      <c r="F98" t="b">
        <f t="shared" si="10"/>
        <v>0</v>
      </c>
      <c r="G98" t="b">
        <f t="shared" si="11"/>
        <v>0</v>
      </c>
      <c r="H98" t="b">
        <f t="shared" si="12"/>
        <v>0</v>
      </c>
      <c r="I98" t="b">
        <f t="shared" si="13"/>
        <v>0</v>
      </c>
      <c r="J98" t="b">
        <f t="shared" si="14"/>
        <v>0</v>
      </c>
      <c r="K98" t="b">
        <f t="shared" si="15"/>
        <v>0</v>
      </c>
      <c r="L98" t="b">
        <f t="shared" si="16"/>
        <v>0</v>
      </c>
      <c r="M98" t="b">
        <f t="shared" si="17"/>
        <v>1</v>
      </c>
      <c r="N98" s="535"/>
      <c r="O98" s="558"/>
      <c r="R98" s="535"/>
      <c r="S98" s="558"/>
      <c r="V98" s="535"/>
      <c r="W98" s="558"/>
      <c r="Z98" s="535"/>
      <c r="AA98" s="558"/>
      <c r="AD98" s="535"/>
      <c r="AE98" s="558"/>
      <c r="AH98" s="535"/>
      <c r="AI98" s="558"/>
      <c r="AL98" s="535"/>
      <c r="AP98" s="535"/>
    </row>
    <row r="99">
      <c r="A99" s="552"/>
      <c r="B99" s="552"/>
      <c r="C99" t="str">
        <f>Filtered!I89</f>
        <v>Journalism</v>
      </c>
      <c r="D99" t="str">
        <f>Filtered!J89</f>
        <v>Humanities, Literature &amp; Arts</v>
      </c>
      <c r="E99" t="str">
        <f>Filtered!AH89</f>
        <v>First submission only (before peer review)</v>
      </c>
      <c r="F99" t="b">
        <f t="shared" si="10"/>
        <v>0</v>
      </c>
      <c r="G99" t="b">
        <f t="shared" si="11"/>
        <v>0</v>
      </c>
      <c r="H99" t="b">
        <f t="shared" si="12"/>
        <v>0</v>
      </c>
      <c r="I99" t="b">
        <f t="shared" si="13"/>
        <v>0</v>
      </c>
      <c r="J99" t="b">
        <f t="shared" si="14"/>
        <v>1</v>
      </c>
      <c r="K99" t="b">
        <f t="shared" si="15"/>
        <v>0</v>
      </c>
      <c r="L99" t="b">
        <f t="shared" si="16"/>
        <v>0</v>
      </c>
      <c r="M99" t="b">
        <f t="shared" si="17"/>
        <v>0</v>
      </c>
      <c r="N99" s="535"/>
      <c r="O99" s="558"/>
      <c r="R99" s="535"/>
      <c r="S99" s="558"/>
      <c r="V99" s="535"/>
      <c r="W99" s="558"/>
      <c r="Z99" s="535"/>
      <c r="AA99" s="558"/>
      <c r="AD99" s="535"/>
      <c r="AE99" s="558"/>
      <c r="AH99" s="535"/>
      <c r="AI99" s="558"/>
      <c r="AL99" s="535"/>
      <c r="AP99" s="535"/>
    </row>
    <row r="100">
      <c r="A100" s="552"/>
      <c r="B100" s="552"/>
      <c r="C100" t="str">
        <f>Filtered!I90</f>
        <v>Journalism Practice</v>
      </c>
      <c r="D100" t="str">
        <f>Filtered!J90</f>
        <v>Humanities, Literature &amp; Arts</v>
      </c>
      <c r="E100" t="str">
        <f>Filtered!AH90</f>
        <v>No preprint policy</v>
      </c>
      <c r="F100" t="b">
        <f t="shared" si="10"/>
        <v>0</v>
      </c>
      <c r="G100" t="b">
        <f t="shared" si="11"/>
        <v>0</v>
      </c>
      <c r="H100" t="b">
        <f t="shared" si="12"/>
        <v>0</v>
      </c>
      <c r="I100" t="b">
        <f t="shared" si="13"/>
        <v>0</v>
      </c>
      <c r="J100" t="b">
        <f t="shared" si="14"/>
        <v>1</v>
      </c>
      <c r="K100" t="b">
        <f t="shared" si="15"/>
        <v>0</v>
      </c>
      <c r="L100" t="b">
        <f t="shared" si="16"/>
        <v>0</v>
      </c>
      <c r="M100" t="b">
        <f t="shared" si="17"/>
        <v>0</v>
      </c>
      <c r="N100" s="535"/>
      <c r="O100" s="558"/>
      <c r="R100" s="535"/>
      <c r="S100" s="558"/>
      <c r="V100" s="535"/>
      <c r="W100" s="558"/>
      <c r="Z100" s="535"/>
      <c r="AA100" s="558"/>
      <c r="AD100" s="535"/>
      <c r="AE100" s="558"/>
      <c r="AH100" s="535"/>
      <c r="AI100" s="558"/>
      <c r="AL100" s="535"/>
      <c r="AP100" s="535"/>
    </row>
    <row r="101">
      <c r="A101" s="552"/>
      <c r="B101" s="552"/>
      <c r="C101" t="str">
        <f>Filtered!I91</f>
        <v>Journalism Studies</v>
      </c>
      <c r="D101" t="str">
        <f>Filtered!J91</f>
        <v>Humanities, Literature &amp; Arts</v>
      </c>
      <c r="E101" t="str">
        <f>Filtered!AH91</f>
        <v>No preprint policy</v>
      </c>
      <c r="F101" t="b">
        <f t="shared" si="10"/>
        <v>0</v>
      </c>
      <c r="G101" t="b">
        <f t="shared" si="11"/>
        <v>0</v>
      </c>
      <c r="H101" t="b">
        <f t="shared" si="12"/>
        <v>0</v>
      </c>
      <c r="I101" t="b">
        <f t="shared" si="13"/>
        <v>0</v>
      </c>
      <c r="J101" t="b">
        <f t="shared" si="14"/>
        <v>1</v>
      </c>
      <c r="K101" t="b">
        <f t="shared" si="15"/>
        <v>0</v>
      </c>
      <c r="L101" t="b">
        <f t="shared" si="16"/>
        <v>0</v>
      </c>
      <c r="M101" t="b">
        <f t="shared" si="17"/>
        <v>0</v>
      </c>
      <c r="N101" s="535"/>
      <c r="O101" s="558"/>
      <c r="R101" s="535"/>
      <c r="S101" s="558"/>
      <c r="V101" s="535"/>
      <c r="W101" s="558"/>
      <c r="Z101" s="535"/>
      <c r="AA101" s="558"/>
      <c r="AD101" s="535"/>
      <c r="AE101" s="558"/>
      <c r="AH101" s="535"/>
      <c r="AI101" s="558"/>
      <c r="AL101" s="535"/>
      <c r="AP101" s="535"/>
    </row>
    <row r="102">
      <c r="A102" s="552"/>
      <c r="B102" s="552"/>
      <c r="C102" t="str">
        <f>Filtered!I92</f>
        <v>Land Use Policy</v>
      </c>
      <c r="D102" t="str">
        <f>Filtered!J92</f>
        <v>Social Sciences</v>
      </c>
      <c r="E102" t="str">
        <f>Filtered!AH92</f>
        <v>After peer review (but not final, copyedited version)</v>
      </c>
      <c r="F102" t="b">
        <f t="shared" si="10"/>
        <v>0</v>
      </c>
      <c r="G102" t="b">
        <f t="shared" si="11"/>
        <v>0</v>
      </c>
      <c r="H102" t="b">
        <f t="shared" si="12"/>
        <v>0</v>
      </c>
      <c r="I102" t="b">
        <f t="shared" si="13"/>
        <v>0</v>
      </c>
      <c r="J102" t="b">
        <f t="shared" si="14"/>
        <v>0</v>
      </c>
      <c r="K102" t="b">
        <f t="shared" si="15"/>
        <v>0</v>
      </c>
      <c r="L102" t="b">
        <f t="shared" si="16"/>
        <v>0</v>
      </c>
      <c r="M102" t="b">
        <f t="shared" si="17"/>
        <v>1</v>
      </c>
      <c r="N102" s="535"/>
      <c r="O102" s="558"/>
      <c r="R102" s="535"/>
      <c r="S102" s="558"/>
      <c r="V102" s="535"/>
      <c r="W102" s="558"/>
      <c r="Z102" s="535"/>
      <c r="AA102" s="558"/>
      <c r="AD102" s="535"/>
      <c r="AE102" s="558"/>
      <c r="AH102" s="535"/>
      <c r="AI102" s="558"/>
      <c r="AL102" s="535"/>
      <c r="AP102" s="535"/>
    </row>
    <row r="103">
      <c r="A103" s="552"/>
      <c r="B103" s="552"/>
      <c r="C103" t="str">
        <f>Filtered!I93</f>
        <v>Language Learning</v>
      </c>
      <c r="D103" t="str">
        <f>Filtered!J93</f>
        <v>Humanities, Literature &amp; Arts</v>
      </c>
      <c r="E103" t="str">
        <f>Filtered!AH93</f>
        <v>No preprint policy</v>
      </c>
      <c r="F103" t="b">
        <f t="shared" si="10"/>
        <v>0</v>
      </c>
      <c r="G103" t="b">
        <f t="shared" si="11"/>
        <v>0</v>
      </c>
      <c r="H103" t="b">
        <f t="shared" si="12"/>
        <v>0</v>
      </c>
      <c r="I103" t="b">
        <f t="shared" si="13"/>
        <v>0</v>
      </c>
      <c r="J103" t="b">
        <f t="shared" si="14"/>
        <v>1</v>
      </c>
      <c r="K103" t="b">
        <f t="shared" si="15"/>
        <v>0</v>
      </c>
      <c r="L103" t="b">
        <f t="shared" si="16"/>
        <v>0</v>
      </c>
      <c r="M103" t="b">
        <f t="shared" si="17"/>
        <v>0</v>
      </c>
      <c r="N103" s="535"/>
      <c r="O103" s="558"/>
      <c r="R103" s="535"/>
      <c r="S103" s="558"/>
      <c r="V103" s="535"/>
      <c r="W103" s="558"/>
      <c r="Z103" s="535"/>
      <c r="AA103" s="558"/>
      <c r="AD103" s="535"/>
      <c r="AE103" s="558"/>
      <c r="AH103" s="535"/>
      <c r="AI103" s="558"/>
      <c r="AL103" s="535"/>
      <c r="AP103" s="535"/>
    </row>
    <row r="104">
      <c r="A104" s="552"/>
      <c r="B104" s="552"/>
      <c r="C104" t="str">
        <f>Filtered!I94</f>
        <v>Lingua</v>
      </c>
      <c r="D104" t="str">
        <f>Filtered!J94</f>
        <v>Humanities, Literature &amp; Arts</v>
      </c>
      <c r="E104" t="str">
        <f>Filtered!AH94</f>
        <v>After peer review (but not final, copyedited version)</v>
      </c>
      <c r="F104" t="b">
        <f t="shared" si="10"/>
        <v>0</v>
      </c>
      <c r="G104" t="b">
        <f t="shared" si="11"/>
        <v>0</v>
      </c>
      <c r="H104" t="b">
        <f t="shared" si="12"/>
        <v>0</v>
      </c>
      <c r="I104" t="b">
        <f t="shared" si="13"/>
        <v>0</v>
      </c>
      <c r="J104" t="b">
        <f t="shared" si="14"/>
        <v>1</v>
      </c>
      <c r="K104" t="b">
        <f t="shared" si="15"/>
        <v>0</v>
      </c>
      <c r="L104" t="b">
        <f t="shared" si="16"/>
        <v>0</v>
      </c>
      <c r="M104" t="b">
        <f t="shared" si="17"/>
        <v>0</v>
      </c>
      <c r="N104" s="535"/>
      <c r="O104" s="558"/>
      <c r="R104" s="535"/>
      <c r="S104" s="558"/>
      <c r="V104" s="535"/>
      <c r="W104" s="558"/>
      <c r="Z104" s="535"/>
      <c r="AA104" s="558"/>
      <c r="AD104" s="535"/>
      <c r="AE104" s="558"/>
      <c r="AH104" s="535"/>
      <c r="AI104" s="558"/>
      <c r="AL104" s="535"/>
      <c r="AP104" s="535"/>
    </row>
    <row r="105">
      <c r="A105" s="552"/>
      <c r="B105" s="552"/>
      <c r="C105" t="str">
        <f>Filtered!I95</f>
        <v>Management Information Systems Quarterly</v>
      </c>
      <c r="D105" t="str">
        <f>Filtered!J95</f>
        <v>Business, Economics &amp; Management</v>
      </c>
      <c r="E105" t="str">
        <f>Filtered!AH95</f>
        <v>No preprint policy</v>
      </c>
      <c r="F105" t="b">
        <f t="shared" si="10"/>
        <v>1</v>
      </c>
      <c r="G105" t="b">
        <f t="shared" si="11"/>
        <v>0</v>
      </c>
      <c r="H105" t="b">
        <f t="shared" si="12"/>
        <v>0</v>
      </c>
      <c r="I105" t="b">
        <f t="shared" si="13"/>
        <v>0</v>
      </c>
      <c r="J105" t="b">
        <f t="shared" si="14"/>
        <v>0</v>
      </c>
      <c r="K105" t="b">
        <f t="shared" si="15"/>
        <v>0</v>
      </c>
      <c r="L105" t="b">
        <f t="shared" si="16"/>
        <v>0</v>
      </c>
      <c r="M105" t="b">
        <f t="shared" si="17"/>
        <v>0</v>
      </c>
      <c r="N105" s="535"/>
      <c r="O105" s="558"/>
      <c r="R105" s="535"/>
      <c r="S105" s="558"/>
      <c r="V105" s="535"/>
      <c r="W105" s="558"/>
      <c r="Z105" s="535"/>
      <c r="AA105" s="558"/>
      <c r="AD105" s="535"/>
      <c r="AE105" s="558"/>
      <c r="AH105" s="535"/>
      <c r="AI105" s="558"/>
      <c r="AL105" s="535"/>
      <c r="AP105" s="535"/>
    </row>
    <row r="106">
      <c r="A106" s="552"/>
      <c r="B106" s="552"/>
      <c r="C106" t="str">
        <f>Filtered!I96</f>
        <v>Management Science</v>
      </c>
      <c r="D106" t="str">
        <f>Filtered!J96</f>
        <v>Business, Economics &amp; Management</v>
      </c>
      <c r="E106" t="str">
        <f>Filtered!AH96</f>
        <v>No preprint policy</v>
      </c>
      <c r="F106" t="b">
        <f t="shared" si="10"/>
        <v>1</v>
      </c>
      <c r="G106" t="b">
        <f t="shared" si="11"/>
        <v>0</v>
      </c>
      <c r="H106" t="b">
        <f t="shared" si="12"/>
        <v>0</v>
      </c>
      <c r="I106" t="b">
        <f t="shared" si="13"/>
        <v>0</v>
      </c>
      <c r="J106" t="b">
        <f t="shared" si="14"/>
        <v>0</v>
      </c>
      <c r="K106" t="b">
        <f t="shared" si="15"/>
        <v>0</v>
      </c>
      <c r="L106" t="b">
        <f t="shared" si="16"/>
        <v>0</v>
      </c>
      <c r="M106" t="b">
        <f t="shared" si="17"/>
        <v>0</v>
      </c>
      <c r="N106" s="535"/>
      <c r="O106" s="558"/>
      <c r="R106" s="535"/>
      <c r="S106" s="558"/>
      <c r="V106" s="535"/>
      <c r="W106" s="558"/>
      <c r="Z106" s="535"/>
      <c r="AA106" s="558"/>
      <c r="AD106" s="535"/>
      <c r="AE106" s="558"/>
      <c r="AH106" s="535"/>
      <c r="AI106" s="558"/>
      <c r="AL106" s="535"/>
      <c r="AP106" s="535"/>
    </row>
    <row r="107">
      <c r="A107" s="552"/>
      <c r="B107" s="552"/>
      <c r="C107" t="str">
        <f>Filtered!I97</f>
        <v>Media, Culture &amp; Society</v>
      </c>
      <c r="D107" t="str">
        <f>Filtered!J97</f>
        <v>Humanities, Literature &amp; Arts</v>
      </c>
      <c r="E107" t="str">
        <f>Filtered!AH97</f>
        <v>First submission only (before peer review) [unless you wait 12 months for the embargo to clear for the accepted version]</v>
      </c>
      <c r="F107" t="b">
        <f t="shared" si="10"/>
        <v>0</v>
      </c>
      <c r="G107" t="b">
        <f t="shared" si="11"/>
        <v>0</v>
      </c>
      <c r="H107" t="b">
        <f t="shared" si="12"/>
        <v>0</v>
      </c>
      <c r="I107" t="b">
        <f t="shared" si="13"/>
        <v>0</v>
      </c>
      <c r="J107" t="b">
        <f t="shared" si="14"/>
        <v>1</v>
      </c>
      <c r="K107" t="b">
        <f t="shared" si="15"/>
        <v>0</v>
      </c>
      <c r="L107" t="b">
        <f t="shared" si="16"/>
        <v>0</v>
      </c>
      <c r="M107" t="b">
        <f t="shared" si="17"/>
        <v>0</v>
      </c>
      <c r="N107" s="535"/>
      <c r="O107" s="558"/>
      <c r="R107" s="535"/>
      <c r="S107" s="558"/>
      <c r="V107" s="535"/>
      <c r="W107" s="558"/>
      <c r="Z107" s="535"/>
      <c r="AA107" s="558"/>
      <c r="AD107" s="535"/>
      <c r="AE107" s="558"/>
      <c r="AH107" s="535"/>
      <c r="AI107" s="558"/>
      <c r="AL107" s="535"/>
      <c r="AP107" s="535"/>
    </row>
    <row r="108">
      <c r="A108" s="552"/>
      <c r="B108" s="552"/>
      <c r="C108" t="str">
        <f>Filtered!I98</f>
        <v>Molecular Cell</v>
      </c>
      <c r="D108" t="str">
        <f>Filtered!J98</f>
        <v>Life Sciences &amp; Earth Sciences</v>
      </c>
      <c r="E108" t="str">
        <f>Filtered!AH98</f>
        <v>First submission only (before peer review)</v>
      </c>
      <c r="F108" t="b">
        <f t="shared" si="10"/>
        <v>0</v>
      </c>
      <c r="G108" t="b">
        <f t="shared" si="11"/>
        <v>0</v>
      </c>
      <c r="H108" t="b">
        <f t="shared" si="12"/>
        <v>0</v>
      </c>
      <c r="I108" t="b">
        <f t="shared" si="13"/>
        <v>0</v>
      </c>
      <c r="J108" t="b">
        <f t="shared" si="14"/>
        <v>0</v>
      </c>
      <c r="K108" t="b">
        <f t="shared" si="15"/>
        <v>1</v>
      </c>
      <c r="L108" t="b">
        <f t="shared" si="16"/>
        <v>0</v>
      </c>
      <c r="M108" t="b">
        <f t="shared" si="17"/>
        <v>0</v>
      </c>
      <c r="N108" s="535"/>
      <c r="O108" s="558"/>
      <c r="R108" s="535"/>
      <c r="S108" s="558"/>
      <c r="V108" s="535"/>
      <c r="W108" s="558"/>
      <c r="Z108" s="535"/>
      <c r="AA108" s="558"/>
      <c r="AD108" s="535"/>
      <c r="AE108" s="558"/>
      <c r="AH108" s="535"/>
      <c r="AI108" s="558"/>
      <c r="AL108" s="535"/>
      <c r="AP108" s="535"/>
    </row>
    <row r="109">
      <c r="A109" s="552"/>
      <c r="B109" s="552"/>
      <c r="C109" t="str">
        <f>Filtered!I99</f>
        <v>Monthly Notices of the Royal Astronomical Society</v>
      </c>
      <c r="D109" t="str">
        <f>Filtered!J99</f>
        <v>Physics &amp; Mathematics</v>
      </c>
      <c r="E109" t="str">
        <f>Filtered!AH99</f>
        <v>Any</v>
      </c>
      <c r="F109" t="b">
        <f t="shared" si="10"/>
        <v>0</v>
      </c>
      <c r="G109" t="b">
        <f t="shared" si="11"/>
        <v>0</v>
      </c>
      <c r="H109" t="b">
        <f t="shared" si="12"/>
        <v>0</v>
      </c>
      <c r="I109" t="b">
        <f t="shared" si="13"/>
        <v>0</v>
      </c>
      <c r="J109" t="b">
        <f t="shared" si="14"/>
        <v>0</v>
      </c>
      <c r="K109" t="b">
        <f t="shared" si="15"/>
        <v>0</v>
      </c>
      <c r="L109" t="b">
        <f t="shared" si="16"/>
        <v>1</v>
      </c>
      <c r="M109" t="b">
        <f t="shared" si="17"/>
        <v>0</v>
      </c>
      <c r="N109" s="535"/>
      <c r="O109" s="558"/>
      <c r="R109" s="535"/>
      <c r="S109" s="558"/>
      <c r="V109" s="535"/>
      <c r="W109" s="558"/>
      <c r="Z109" s="535"/>
      <c r="AA109" s="558"/>
      <c r="AD109" s="535"/>
      <c r="AE109" s="558"/>
      <c r="AH109" s="535"/>
      <c r="AI109" s="558"/>
      <c r="AL109" s="535"/>
      <c r="AP109" s="535"/>
    </row>
    <row r="110">
      <c r="A110" s="552"/>
      <c r="B110" s="552"/>
      <c r="C110" t="str">
        <f>Filtered!I100</f>
        <v>Nano Letters</v>
      </c>
      <c r="D110" t="str">
        <f>Filtered!J100</f>
        <v>Chemical &amp; Materials Sciences,
Engineering &amp; Computer Science</v>
      </c>
      <c r="E110" t="str">
        <f>Filtered!AH100</f>
        <v>First submission only (before peer review)</v>
      </c>
      <c r="F110" t="b">
        <f t="shared" si="10"/>
        <v>0</v>
      </c>
      <c r="G110" t="b">
        <f t="shared" si="11"/>
        <v>1</v>
      </c>
      <c r="H110" t="b">
        <f t="shared" si="12"/>
        <v>1</v>
      </c>
      <c r="I110" t="b">
        <f t="shared" si="13"/>
        <v>0</v>
      </c>
      <c r="J110" t="b">
        <f t="shared" si="14"/>
        <v>0</v>
      </c>
      <c r="K110" t="b">
        <f t="shared" si="15"/>
        <v>0</v>
      </c>
      <c r="L110" t="b">
        <f t="shared" si="16"/>
        <v>0</v>
      </c>
      <c r="M110" t="b">
        <f t="shared" si="17"/>
        <v>0</v>
      </c>
      <c r="N110" s="535"/>
      <c r="O110" s="558"/>
      <c r="R110" s="535"/>
      <c r="S110" s="558"/>
      <c r="V110" s="535"/>
      <c r="W110" s="558"/>
      <c r="Z110" s="535"/>
      <c r="AA110" s="558"/>
      <c r="AD110" s="535"/>
      <c r="AE110" s="558"/>
      <c r="AH110" s="535"/>
      <c r="AI110" s="558"/>
      <c r="AL110" s="535"/>
      <c r="AP110" s="535"/>
    </row>
    <row r="111">
      <c r="A111" s="552"/>
      <c r="B111" s="552"/>
      <c r="C111" t="str">
        <f>Filtered!I101</f>
        <v>Nanoscale</v>
      </c>
      <c r="D111" t="str">
        <f>Filtered!J101</f>
        <v>Chemical &amp; Materials Sciences,
Engineering &amp; Computer Science</v>
      </c>
      <c r="E111" t="str">
        <f>Filtered!AH101</f>
        <v>First submission only (before peer review)</v>
      </c>
      <c r="F111" t="b">
        <f t="shared" si="10"/>
        <v>0</v>
      </c>
      <c r="G111" t="b">
        <f t="shared" si="11"/>
        <v>1</v>
      </c>
      <c r="H111" t="b">
        <f t="shared" si="12"/>
        <v>1</v>
      </c>
      <c r="I111" t="b">
        <f t="shared" si="13"/>
        <v>0</v>
      </c>
      <c r="J111" t="b">
        <f t="shared" si="14"/>
        <v>0</v>
      </c>
      <c r="K111" t="b">
        <f t="shared" si="15"/>
        <v>0</v>
      </c>
      <c r="L111" t="b">
        <f t="shared" si="16"/>
        <v>0</v>
      </c>
      <c r="M111" t="b">
        <f t="shared" si="17"/>
        <v>0</v>
      </c>
      <c r="N111" s="535"/>
      <c r="O111" s="558"/>
      <c r="R111" s="535"/>
      <c r="S111" s="558"/>
      <c r="V111" s="535"/>
      <c r="W111" s="558"/>
      <c r="Z111" s="535"/>
      <c r="AA111" s="558"/>
      <c r="AD111" s="535"/>
      <c r="AE111" s="558"/>
      <c r="AH111" s="535"/>
      <c r="AI111" s="558"/>
      <c r="AL111" s="535"/>
      <c r="AP111" s="535"/>
    </row>
    <row r="112">
      <c r="A112" s="552"/>
      <c r="B112" s="552"/>
      <c r="C112" t="str">
        <f>Filtered!I102</f>
        <v>Nature</v>
      </c>
      <c r="D112" t="str">
        <f>Filtered!J102</f>
        <v>Life Sciences &amp; Earth Sciences</v>
      </c>
      <c r="E112" t="str">
        <f>Filtered!AH102</f>
        <v>First submission only (before peer review)</v>
      </c>
      <c r="F112" t="b">
        <f t="shared" si="10"/>
        <v>0</v>
      </c>
      <c r="G112" t="b">
        <f t="shared" si="11"/>
        <v>0</v>
      </c>
      <c r="H112" t="b">
        <f t="shared" si="12"/>
        <v>0</v>
      </c>
      <c r="I112" t="b">
        <f t="shared" si="13"/>
        <v>0</v>
      </c>
      <c r="J112" t="b">
        <f t="shared" si="14"/>
        <v>0</v>
      </c>
      <c r="K112" t="b">
        <f t="shared" si="15"/>
        <v>1</v>
      </c>
      <c r="L112" t="b">
        <f t="shared" si="16"/>
        <v>0</v>
      </c>
      <c r="M112" t="b">
        <f t="shared" si="17"/>
        <v>0</v>
      </c>
      <c r="N112" s="535"/>
      <c r="O112" s="558"/>
      <c r="R112" s="535"/>
      <c r="S112" s="558"/>
      <c r="V112" s="535"/>
      <c r="W112" s="558"/>
      <c r="Z112" s="535"/>
      <c r="AA112" s="558"/>
      <c r="AD112" s="535"/>
      <c r="AE112" s="558"/>
      <c r="AH112" s="535"/>
      <c r="AI112" s="558"/>
      <c r="AL112" s="535"/>
      <c r="AP112" s="535"/>
    </row>
    <row r="113">
      <c r="A113" s="552"/>
      <c r="B113" s="552"/>
      <c r="C113" t="str">
        <f>Filtered!I103</f>
        <v>Nature Biotechnology</v>
      </c>
      <c r="D113" t="str">
        <f>Filtered!J103</f>
        <v>Life Sciences &amp; Earth Sciences</v>
      </c>
      <c r="E113" t="str">
        <f>Filtered!AH103</f>
        <v>First submission only (before peer review)</v>
      </c>
      <c r="F113" t="b">
        <f t="shared" si="10"/>
        <v>0</v>
      </c>
      <c r="G113" t="b">
        <f t="shared" si="11"/>
        <v>0</v>
      </c>
      <c r="H113" t="b">
        <f t="shared" si="12"/>
        <v>0</v>
      </c>
      <c r="I113" t="b">
        <f t="shared" si="13"/>
        <v>0</v>
      </c>
      <c r="J113" t="b">
        <f t="shared" si="14"/>
        <v>0</v>
      </c>
      <c r="K113" t="b">
        <f t="shared" si="15"/>
        <v>1</v>
      </c>
      <c r="L113" t="b">
        <f t="shared" si="16"/>
        <v>0</v>
      </c>
      <c r="M113" t="b">
        <f t="shared" si="17"/>
        <v>0</v>
      </c>
      <c r="N113" s="535"/>
      <c r="O113" s="558"/>
      <c r="R113" s="535"/>
      <c r="S113" s="558"/>
      <c r="V113" s="535"/>
      <c r="W113" s="558"/>
      <c r="Z113" s="535"/>
      <c r="AA113" s="558"/>
      <c r="AD113" s="535"/>
      <c r="AE113" s="558"/>
      <c r="AH113" s="535"/>
      <c r="AI113" s="558"/>
      <c r="AL113" s="535"/>
      <c r="AP113" s="535"/>
    </row>
    <row r="114">
      <c r="A114" s="552"/>
      <c r="B114" s="552"/>
      <c r="C114" t="str">
        <f>Filtered!I104</f>
        <v>Nature Cell Biology</v>
      </c>
      <c r="D114" t="str">
        <f>Filtered!J104</f>
        <v>Life Sciences &amp; Earth Sciences</v>
      </c>
      <c r="E114" t="str">
        <f>Filtered!AH104</f>
        <v>First submission only (before peer review)</v>
      </c>
      <c r="F114" t="b">
        <f t="shared" si="10"/>
        <v>0</v>
      </c>
      <c r="G114" t="b">
        <f t="shared" si="11"/>
        <v>0</v>
      </c>
      <c r="H114" t="b">
        <f t="shared" si="12"/>
        <v>0</v>
      </c>
      <c r="I114" t="b">
        <f t="shared" si="13"/>
        <v>0</v>
      </c>
      <c r="J114" t="b">
        <f t="shared" si="14"/>
        <v>0</v>
      </c>
      <c r="K114" t="b">
        <f t="shared" si="15"/>
        <v>1</v>
      </c>
      <c r="L114" t="b">
        <f t="shared" si="16"/>
        <v>0</v>
      </c>
      <c r="M114" t="b">
        <f t="shared" si="17"/>
        <v>0</v>
      </c>
      <c r="N114" s="535"/>
      <c r="O114" s="558"/>
      <c r="R114" s="535"/>
      <c r="S114" s="558"/>
      <c r="V114" s="535"/>
      <c r="W114" s="558"/>
      <c r="Z114" s="535"/>
      <c r="AA114" s="558"/>
      <c r="AD114" s="535"/>
      <c r="AE114" s="558"/>
      <c r="AH114" s="535"/>
      <c r="AI114" s="558"/>
      <c r="AL114" s="535"/>
      <c r="AP114" s="535"/>
    </row>
    <row r="115">
      <c r="A115" s="552"/>
      <c r="B115" s="552"/>
      <c r="C115" t="str">
        <f>Filtered!I105</f>
        <v>Nature Chemistry</v>
      </c>
      <c r="D115" t="str">
        <f>Filtered!J105</f>
        <v>Chemical &amp; Materials Sciences</v>
      </c>
      <c r="E115" t="str">
        <f>Filtered!AH105</f>
        <v>First submission only (before peer review)</v>
      </c>
      <c r="F115" t="b">
        <f t="shared" si="10"/>
        <v>0</v>
      </c>
      <c r="G115" t="b">
        <f t="shared" si="11"/>
        <v>1</v>
      </c>
      <c r="H115" t="b">
        <f t="shared" si="12"/>
        <v>0</v>
      </c>
      <c r="I115" t="b">
        <f t="shared" si="13"/>
        <v>0</v>
      </c>
      <c r="J115" t="b">
        <f t="shared" si="14"/>
        <v>0</v>
      </c>
      <c r="K115" t="b">
        <f t="shared" si="15"/>
        <v>0</v>
      </c>
      <c r="L115" t="b">
        <f t="shared" si="16"/>
        <v>0</v>
      </c>
      <c r="M115" t="b">
        <f t="shared" si="17"/>
        <v>0</v>
      </c>
      <c r="N115" s="535"/>
      <c r="O115" s="558"/>
      <c r="R115" s="535"/>
      <c r="S115" s="558"/>
      <c r="V115" s="535"/>
      <c r="W115" s="558"/>
      <c r="Z115" s="535"/>
      <c r="AA115" s="558"/>
      <c r="AD115" s="535"/>
      <c r="AE115" s="558"/>
      <c r="AH115" s="535"/>
      <c r="AI115" s="558"/>
      <c r="AL115" s="535"/>
      <c r="AP115" s="535"/>
    </row>
    <row r="116">
      <c r="A116" s="552"/>
      <c r="B116" s="552"/>
      <c r="C116" t="str">
        <f>Filtered!I106</f>
        <v>Nature Climate Change</v>
      </c>
      <c r="D116" t="str">
        <f>Filtered!J106</f>
        <v>Life Sciences &amp; Earth Sciences</v>
      </c>
      <c r="E116" t="str">
        <f>Filtered!AH106</f>
        <v>First submission only (before peer review)</v>
      </c>
      <c r="F116" t="b">
        <f t="shared" si="10"/>
        <v>0</v>
      </c>
      <c r="G116" t="b">
        <f t="shared" si="11"/>
        <v>0</v>
      </c>
      <c r="H116" t="b">
        <f t="shared" si="12"/>
        <v>0</v>
      </c>
      <c r="I116" t="b">
        <f t="shared" si="13"/>
        <v>0</v>
      </c>
      <c r="J116" t="b">
        <f t="shared" si="14"/>
        <v>0</v>
      </c>
      <c r="K116" t="b">
        <f t="shared" si="15"/>
        <v>1</v>
      </c>
      <c r="L116" t="b">
        <f t="shared" si="16"/>
        <v>0</v>
      </c>
      <c r="M116" t="b">
        <f t="shared" si="17"/>
        <v>0</v>
      </c>
      <c r="N116" s="535"/>
      <c r="O116" s="558"/>
      <c r="R116" s="535"/>
      <c r="S116" s="558"/>
      <c r="V116" s="535"/>
      <c r="W116" s="558"/>
      <c r="Z116" s="535"/>
      <c r="AA116" s="558"/>
      <c r="AD116" s="535"/>
      <c r="AE116" s="558"/>
      <c r="AH116" s="535"/>
      <c r="AI116" s="558"/>
      <c r="AL116" s="535"/>
      <c r="AP116" s="535"/>
    </row>
    <row r="117">
      <c r="A117" s="552"/>
      <c r="B117" s="552"/>
      <c r="C117" t="str">
        <f>Filtered!I107</f>
        <v>Nature Communications</v>
      </c>
      <c r="D117" t="str">
        <f>Filtered!J107</f>
        <v>Life Sciences &amp; Earth Sciences</v>
      </c>
      <c r="E117" t="str">
        <f>Filtered!AH107</f>
        <v>First submission only (before peer review)</v>
      </c>
      <c r="F117" t="b">
        <f t="shared" si="10"/>
        <v>0</v>
      </c>
      <c r="G117" t="b">
        <f t="shared" si="11"/>
        <v>0</v>
      </c>
      <c r="H117" t="b">
        <f t="shared" si="12"/>
        <v>0</v>
      </c>
      <c r="I117" t="b">
        <f t="shared" si="13"/>
        <v>0</v>
      </c>
      <c r="J117" t="b">
        <f t="shared" si="14"/>
        <v>0</v>
      </c>
      <c r="K117" t="b">
        <f t="shared" si="15"/>
        <v>1</v>
      </c>
      <c r="L117" t="b">
        <f t="shared" si="16"/>
        <v>0</v>
      </c>
      <c r="M117" t="b">
        <f t="shared" si="17"/>
        <v>0</v>
      </c>
      <c r="N117" s="535"/>
      <c r="O117" s="558"/>
      <c r="R117" s="535"/>
      <c r="S117" s="558"/>
      <c r="V117" s="535"/>
      <c r="W117" s="558"/>
      <c r="Z117" s="535"/>
      <c r="AA117" s="558"/>
      <c r="AD117" s="535"/>
      <c r="AE117" s="558"/>
      <c r="AH117" s="535"/>
      <c r="AI117" s="558"/>
      <c r="AL117" s="535"/>
      <c r="AP117" s="535"/>
    </row>
    <row r="118">
      <c r="A118" s="552"/>
      <c r="B118" s="552"/>
      <c r="C118" t="str">
        <f>Filtered!I108</f>
        <v>Nature Genetics</v>
      </c>
      <c r="D118" t="str">
        <f>Filtered!J108</f>
        <v>Health &amp; Medical Sciences,
Life Sciences &amp; Earth Sciences</v>
      </c>
      <c r="E118" t="str">
        <f>Filtered!AH108</f>
        <v>First submission only (before peer review)</v>
      </c>
      <c r="F118" t="b">
        <f t="shared" si="10"/>
        <v>0</v>
      </c>
      <c r="G118" t="b">
        <f t="shared" si="11"/>
        <v>0</v>
      </c>
      <c r="H118" t="b">
        <f t="shared" si="12"/>
        <v>0</v>
      </c>
      <c r="I118" t="b">
        <f t="shared" si="13"/>
        <v>1</v>
      </c>
      <c r="J118" t="b">
        <f t="shared" si="14"/>
        <v>0</v>
      </c>
      <c r="K118" t="b">
        <f t="shared" si="15"/>
        <v>1</v>
      </c>
      <c r="L118" t="b">
        <f t="shared" si="16"/>
        <v>0</v>
      </c>
      <c r="M118" t="b">
        <f t="shared" si="17"/>
        <v>0</v>
      </c>
      <c r="N118" s="535"/>
      <c r="O118" s="558"/>
      <c r="R118" s="535"/>
      <c r="S118" s="558"/>
      <c r="V118" s="535"/>
      <c r="W118" s="558"/>
      <c r="Z118" s="535"/>
      <c r="AA118" s="558"/>
      <c r="AD118" s="535"/>
      <c r="AE118" s="558"/>
      <c r="AH118" s="535"/>
      <c r="AI118" s="558"/>
      <c r="AL118" s="535"/>
      <c r="AP118" s="535"/>
    </row>
    <row r="119">
      <c r="A119" s="552"/>
      <c r="B119" s="552"/>
      <c r="C119" t="str">
        <f>Filtered!I109</f>
        <v>Nature Immunology</v>
      </c>
      <c r="D119" t="str">
        <f>Filtered!J109</f>
        <v/>
      </c>
      <c r="E119" t="str">
        <f>Filtered!AH109</f>
        <v>First submission only (before peer review)</v>
      </c>
      <c r="F119" t="b">
        <f t="shared" si="10"/>
        <v>0</v>
      </c>
      <c r="G119" t="b">
        <f t="shared" si="11"/>
        <v>0</v>
      </c>
      <c r="H119" t="b">
        <f t="shared" si="12"/>
        <v>0</v>
      </c>
      <c r="I119" t="b">
        <f t="shared" si="13"/>
        <v>0</v>
      </c>
      <c r="J119" t="b">
        <f t="shared" si="14"/>
        <v>0</v>
      </c>
      <c r="K119" t="b">
        <f t="shared" si="15"/>
        <v>0</v>
      </c>
      <c r="L119" t="b">
        <f t="shared" si="16"/>
        <v>0</v>
      </c>
      <c r="M119" t="b">
        <f t="shared" si="17"/>
        <v>0</v>
      </c>
      <c r="N119" s="535"/>
      <c r="O119" s="558"/>
      <c r="R119" s="535"/>
      <c r="S119" s="558"/>
      <c r="V119" s="535"/>
      <c r="W119" s="558"/>
      <c r="Z119" s="535"/>
      <c r="AA119" s="558"/>
      <c r="AD119" s="535"/>
      <c r="AE119" s="558"/>
      <c r="AH119" s="535"/>
      <c r="AI119" s="558"/>
      <c r="AL119" s="535"/>
      <c r="AP119" s="535"/>
    </row>
    <row r="120">
      <c r="A120" s="552"/>
      <c r="B120" s="552"/>
      <c r="C120" t="str">
        <f>Filtered!I110</f>
        <v>Nature Materials</v>
      </c>
      <c r="D120" t="str">
        <f>Filtered!J110</f>
        <v>Chemical &amp; Materials Sciences,
Engineering &amp; Computer Science</v>
      </c>
      <c r="E120" t="str">
        <f>Filtered!AH110</f>
        <v>First submission only (before peer review)</v>
      </c>
      <c r="F120" t="b">
        <f t="shared" si="10"/>
        <v>0</v>
      </c>
      <c r="G120" t="b">
        <f t="shared" si="11"/>
        <v>1</v>
      </c>
      <c r="H120" t="b">
        <f t="shared" si="12"/>
        <v>1</v>
      </c>
      <c r="I120" t="b">
        <f t="shared" si="13"/>
        <v>0</v>
      </c>
      <c r="J120" t="b">
        <f t="shared" si="14"/>
        <v>0</v>
      </c>
      <c r="K120" t="b">
        <f t="shared" si="15"/>
        <v>0</v>
      </c>
      <c r="L120" t="b">
        <f t="shared" si="16"/>
        <v>0</v>
      </c>
      <c r="M120" t="b">
        <f t="shared" si="17"/>
        <v>0</v>
      </c>
      <c r="N120" s="535"/>
      <c r="O120" s="558"/>
      <c r="R120" s="535"/>
      <c r="S120" s="558"/>
      <c r="V120" s="535"/>
      <c r="W120" s="558"/>
      <c r="Z120" s="535"/>
      <c r="AA120" s="558"/>
      <c r="AD120" s="535"/>
      <c r="AE120" s="558"/>
      <c r="AH120" s="535"/>
      <c r="AI120" s="558"/>
      <c r="AL120" s="535"/>
      <c r="AP120" s="535"/>
    </row>
    <row r="121">
      <c r="A121" s="552"/>
      <c r="B121" s="552"/>
      <c r="C121" t="str">
        <f>Filtered!I111</f>
        <v>Nature Medicine</v>
      </c>
      <c r="D121" t="str">
        <f>Filtered!J111</f>
        <v>Health &amp; Medical Sciences</v>
      </c>
      <c r="E121" t="str">
        <f>Filtered!AH111</f>
        <v>First submission only (before peer review)</v>
      </c>
      <c r="F121" t="b">
        <f t="shared" si="10"/>
        <v>0</v>
      </c>
      <c r="G121" t="b">
        <f t="shared" si="11"/>
        <v>0</v>
      </c>
      <c r="H121" t="b">
        <f t="shared" si="12"/>
        <v>0</v>
      </c>
      <c r="I121" t="b">
        <f t="shared" si="13"/>
        <v>1</v>
      </c>
      <c r="J121" t="b">
        <f t="shared" si="14"/>
        <v>0</v>
      </c>
      <c r="K121" t="b">
        <f t="shared" si="15"/>
        <v>0</v>
      </c>
      <c r="L121" t="b">
        <f t="shared" si="16"/>
        <v>0</v>
      </c>
      <c r="M121" t="b">
        <f t="shared" si="17"/>
        <v>0</v>
      </c>
      <c r="N121" s="535"/>
      <c r="O121" s="558"/>
      <c r="R121" s="535"/>
      <c r="S121" s="558"/>
      <c r="V121" s="535"/>
      <c r="W121" s="558"/>
      <c r="Z121" s="535"/>
      <c r="AA121" s="558"/>
      <c r="AD121" s="535"/>
      <c r="AE121" s="558"/>
      <c r="AH121" s="535"/>
      <c r="AI121" s="558"/>
      <c r="AL121" s="535"/>
      <c r="AP121" s="535"/>
    </row>
    <row r="122">
      <c r="A122" s="552"/>
      <c r="B122" s="552"/>
      <c r="C122" t="str">
        <f>Filtered!I112</f>
        <v>Nature Methods</v>
      </c>
      <c r="D122" t="str">
        <f>Filtered!J112</f>
        <v>Life Sciences &amp; Earth Sciences</v>
      </c>
      <c r="E122" t="str">
        <f>Filtered!AH112</f>
        <v>First submission only (before peer review)</v>
      </c>
      <c r="F122" t="b">
        <f t="shared" si="10"/>
        <v>0</v>
      </c>
      <c r="G122" t="b">
        <f t="shared" si="11"/>
        <v>0</v>
      </c>
      <c r="H122" t="b">
        <f t="shared" si="12"/>
        <v>0</v>
      </c>
      <c r="I122" t="b">
        <f t="shared" si="13"/>
        <v>0</v>
      </c>
      <c r="J122" t="b">
        <f t="shared" si="14"/>
        <v>0</v>
      </c>
      <c r="K122" t="b">
        <f t="shared" si="15"/>
        <v>1</v>
      </c>
      <c r="L122" t="b">
        <f t="shared" si="16"/>
        <v>0</v>
      </c>
      <c r="M122" t="b">
        <f t="shared" si="17"/>
        <v>0</v>
      </c>
      <c r="N122" s="535"/>
      <c r="O122" s="558"/>
      <c r="R122" s="535"/>
      <c r="S122" s="558"/>
      <c r="V122" s="535"/>
      <c r="W122" s="558"/>
      <c r="Z122" s="535"/>
      <c r="AA122" s="558"/>
      <c r="AD122" s="535"/>
      <c r="AE122" s="558"/>
      <c r="AH122" s="535"/>
      <c r="AI122" s="558"/>
      <c r="AL122" s="535"/>
      <c r="AP122" s="535"/>
    </row>
    <row r="123">
      <c r="A123" s="552"/>
      <c r="B123" s="552"/>
      <c r="C123" t="str">
        <f>Filtered!I113</f>
        <v>Nature Nanotechnology</v>
      </c>
      <c r="D123" t="str">
        <f>Filtered!J113</f>
        <v>Chemical &amp; Materials Sciences,
Engineering &amp; Computer Science</v>
      </c>
      <c r="E123" t="str">
        <f>Filtered!AH113</f>
        <v>First submission only (before peer review)</v>
      </c>
      <c r="F123" t="b">
        <f t="shared" si="10"/>
        <v>0</v>
      </c>
      <c r="G123" t="b">
        <f t="shared" si="11"/>
        <v>1</v>
      </c>
      <c r="H123" t="b">
        <f t="shared" si="12"/>
        <v>1</v>
      </c>
      <c r="I123" t="b">
        <f t="shared" si="13"/>
        <v>0</v>
      </c>
      <c r="J123" t="b">
        <f t="shared" si="14"/>
        <v>0</v>
      </c>
      <c r="K123" t="b">
        <f t="shared" si="15"/>
        <v>0</v>
      </c>
      <c r="L123" t="b">
        <f t="shared" si="16"/>
        <v>0</v>
      </c>
      <c r="M123" t="b">
        <f t="shared" si="17"/>
        <v>0</v>
      </c>
      <c r="N123" s="535"/>
      <c r="O123" s="558"/>
      <c r="R123" s="535"/>
      <c r="S123" s="558"/>
      <c r="V123" s="535"/>
      <c r="W123" s="558"/>
      <c r="Z123" s="535"/>
      <c r="AA123" s="558"/>
      <c r="AD123" s="535"/>
      <c r="AE123" s="558"/>
      <c r="AH123" s="535"/>
      <c r="AI123" s="558"/>
      <c r="AL123" s="535"/>
      <c r="AP123" s="535"/>
    </row>
    <row r="124">
      <c r="A124" s="552"/>
      <c r="B124" s="552"/>
      <c r="C124" t="str">
        <f>Filtered!I114</f>
        <v>Nature Neuroscience</v>
      </c>
      <c r="D124" t="str">
        <f>Filtered!J114</f>
        <v>Health &amp; Medical Sciences</v>
      </c>
      <c r="E124" t="str">
        <f>Filtered!AH114</f>
        <v>First submission only (before peer review)</v>
      </c>
      <c r="F124" t="b">
        <f t="shared" si="10"/>
        <v>0</v>
      </c>
      <c r="G124" t="b">
        <f t="shared" si="11"/>
        <v>0</v>
      </c>
      <c r="H124" t="b">
        <f t="shared" si="12"/>
        <v>0</v>
      </c>
      <c r="I124" t="b">
        <f t="shared" si="13"/>
        <v>1</v>
      </c>
      <c r="J124" t="b">
        <f t="shared" si="14"/>
        <v>0</v>
      </c>
      <c r="K124" t="b">
        <f t="shared" si="15"/>
        <v>0</v>
      </c>
      <c r="L124" t="b">
        <f t="shared" si="16"/>
        <v>0</v>
      </c>
      <c r="M124" t="b">
        <f t="shared" si="17"/>
        <v>0</v>
      </c>
      <c r="N124" s="535"/>
      <c r="O124" s="558"/>
      <c r="R124" s="535"/>
      <c r="S124" s="558"/>
      <c r="V124" s="535"/>
      <c r="W124" s="558"/>
      <c r="Z124" s="535"/>
      <c r="AA124" s="558"/>
      <c r="AD124" s="535"/>
      <c r="AE124" s="558"/>
      <c r="AH124" s="535"/>
      <c r="AI124" s="558"/>
      <c r="AL124" s="535"/>
      <c r="AP124" s="535"/>
    </row>
    <row r="125">
      <c r="A125" s="552"/>
      <c r="B125" s="552"/>
      <c r="C125" t="str">
        <f>Filtered!I115</f>
        <v>Nature Photonics</v>
      </c>
      <c r="D125" t="str">
        <f>Filtered!J115</f>
        <v>Engineering &amp; Computer Science,
Physics &amp; Mathematics</v>
      </c>
      <c r="E125" t="str">
        <f>Filtered!AH115</f>
        <v>First submission only (before peer review)</v>
      </c>
      <c r="F125" t="b">
        <f t="shared" si="10"/>
        <v>0</v>
      </c>
      <c r="G125" t="b">
        <f t="shared" si="11"/>
        <v>0</v>
      </c>
      <c r="H125" t="b">
        <f t="shared" si="12"/>
        <v>1</v>
      </c>
      <c r="I125" t="b">
        <f t="shared" si="13"/>
        <v>0</v>
      </c>
      <c r="J125" t="b">
        <f t="shared" si="14"/>
        <v>0</v>
      </c>
      <c r="K125" t="b">
        <f t="shared" si="15"/>
        <v>0</v>
      </c>
      <c r="L125" t="b">
        <f t="shared" si="16"/>
        <v>1</v>
      </c>
      <c r="M125" t="b">
        <f t="shared" si="17"/>
        <v>0</v>
      </c>
      <c r="N125" s="535"/>
      <c r="O125" s="558"/>
      <c r="R125" s="535"/>
      <c r="S125" s="558"/>
      <c r="V125" s="535"/>
      <c r="W125" s="558"/>
      <c r="Z125" s="535"/>
      <c r="AA125" s="558"/>
      <c r="AD125" s="535"/>
      <c r="AE125" s="558"/>
      <c r="AH125" s="535"/>
      <c r="AI125" s="558"/>
      <c r="AL125" s="535"/>
      <c r="AP125" s="535"/>
    </row>
    <row r="126">
      <c r="A126" s="552"/>
      <c r="B126" s="552"/>
      <c r="C126" t="str">
        <f>Filtered!I116</f>
        <v>Nature Physics</v>
      </c>
      <c r="D126" t="str">
        <f>Filtered!J116</f>
        <v>Physics &amp; Mathematics</v>
      </c>
      <c r="E126" t="str">
        <f>Filtered!AH116</f>
        <v>First submission only (before peer review)</v>
      </c>
      <c r="F126" t="b">
        <f t="shared" si="10"/>
        <v>0</v>
      </c>
      <c r="G126" t="b">
        <f t="shared" si="11"/>
        <v>0</v>
      </c>
      <c r="H126" t="b">
        <f t="shared" si="12"/>
        <v>0</v>
      </c>
      <c r="I126" t="b">
        <f t="shared" si="13"/>
        <v>0</v>
      </c>
      <c r="J126" t="b">
        <f t="shared" si="14"/>
        <v>0</v>
      </c>
      <c r="K126" t="b">
        <f t="shared" si="15"/>
        <v>0</v>
      </c>
      <c r="L126" t="b">
        <f t="shared" si="16"/>
        <v>1</v>
      </c>
      <c r="M126" t="b">
        <f t="shared" si="17"/>
        <v>0</v>
      </c>
      <c r="N126" s="535"/>
      <c r="O126" s="558"/>
      <c r="R126" s="535"/>
      <c r="S126" s="558"/>
      <c r="V126" s="535"/>
      <c r="W126" s="558"/>
      <c r="Z126" s="535"/>
      <c r="AA126" s="558"/>
      <c r="AD126" s="535"/>
      <c r="AE126" s="558"/>
      <c r="AH126" s="535"/>
      <c r="AI126" s="558"/>
      <c r="AL126" s="535"/>
      <c r="AP126" s="535"/>
    </row>
    <row r="127">
      <c r="A127" s="552"/>
      <c r="B127" s="552"/>
      <c r="C127" t="str">
        <f>Filtered!I117</f>
        <v>Nature Reviews Cancer</v>
      </c>
      <c r="D127" t="str">
        <f>Filtered!J117</f>
        <v/>
      </c>
      <c r="E127" t="str">
        <f>Filtered!AH117</f>
        <v>No preprint policy</v>
      </c>
      <c r="F127" t="b">
        <f t="shared" si="10"/>
        <v>0</v>
      </c>
      <c r="G127" t="b">
        <f t="shared" si="11"/>
        <v>0</v>
      </c>
      <c r="H127" t="b">
        <f t="shared" si="12"/>
        <v>0</v>
      </c>
      <c r="I127" t="b">
        <f t="shared" si="13"/>
        <v>0</v>
      </c>
      <c r="J127" t="b">
        <f t="shared" si="14"/>
        <v>0</v>
      </c>
      <c r="K127" t="b">
        <f t="shared" si="15"/>
        <v>0</v>
      </c>
      <c r="L127" t="b">
        <f t="shared" si="16"/>
        <v>0</v>
      </c>
      <c r="M127" t="b">
        <f t="shared" si="17"/>
        <v>0</v>
      </c>
      <c r="N127" s="535"/>
      <c r="O127" s="558"/>
      <c r="R127" s="535"/>
      <c r="S127" s="558"/>
      <c r="V127" s="535"/>
      <c r="W127" s="558"/>
      <c r="Z127" s="535"/>
      <c r="AA127" s="558"/>
      <c r="AD127" s="535"/>
      <c r="AE127" s="558"/>
      <c r="AH127" s="535"/>
      <c r="AI127" s="558"/>
      <c r="AL127" s="535"/>
      <c r="AP127" s="535"/>
    </row>
    <row r="128">
      <c r="A128" s="552"/>
      <c r="B128" s="552"/>
      <c r="C128" t="str">
        <f>Filtered!I118</f>
        <v>Nature Reviews Genetics</v>
      </c>
      <c r="D128" t="str">
        <f>Filtered!J118</f>
        <v>Life Sciences &amp; Earth Sciences</v>
      </c>
      <c r="E128" t="str">
        <f>Filtered!AH118</f>
        <v>No preprint policy</v>
      </c>
      <c r="F128" t="b">
        <f t="shared" si="10"/>
        <v>0</v>
      </c>
      <c r="G128" t="b">
        <f t="shared" si="11"/>
        <v>0</v>
      </c>
      <c r="H128" t="b">
        <f t="shared" si="12"/>
        <v>0</v>
      </c>
      <c r="I128" t="b">
        <f t="shared" si="13"/>
        <v>0</v>
      </c>
      <c r="J128" t="b">
        <f t="shared" si="14"/>
        <v>0</v>
      </c>
      <c r="K128" t="b">
        <f t="shared" si="15"/>
        <v>1</v>
      </c>
      <c r="L128" t="b">
        <f t="shared" si="16"/>
        <v>0</v>
      </c>
      <c r="M128" t="b">
        <f t="shared" si="17"/>
        <v>0</v>
      </c>
      <c r="N128" s="535"/>
      <c r="O128" s="558"/>
      <c r="R128" s="535"/>
      <c r="S128" s="558"/>
      <c r="V128" s="535"/>
      <c r="W128" s="558"/>
      <c r="Z128" s="535"/>
      <c r="AA128" s="558"/>
      <c r="AD128" s="535"/>
      <c r="AE128" s="558"/>
      <c r="AH128" s="535"/>
      <c r="AI128" s="558"/>
      <c r="AL128" s="535"/>
      <c r="AP128" s="535"/>
    </row>
    <row r="129">
      <c r="A129" s="552"/>
      <c r="B129" s="552"/>
      <c r="C129" t="str">
        <f>Filtered!I119</f>
        <v>Nature Reviews Immunology</v>
      </c>
      <c r="D129" t="str">
        <f>Filtered!J119</f>
        <v/>
      </c>
      <c r="E129" t="str">
        <f>Filtered!AH119</f>
        <v>No preprint policy</v>
      </c>
      <c r="F129" t="b">
        <f t="shared" si="10"/>
        <v>0</v>
      </c>
      <c r="G129" t="b">
        <f t="shared" si="11"/>
        <v>0</v>
      </c>
      <c r="H129" t="b">
        <f t="shared" si="12"/>
        <v>0</v>
      </c>
      <c r="I129" t="b">
        <f t="shared" si="13"/>
        <v>0</v>
      </c>
      <c r="J129" t="b">
        <f t="shared" si="14"/>
        <v>0</v>
      </c>
      <c r="K129" t="b">
        <f t="shared" si="15"/>
        <v>0</v>
      </c>
      <c r="L129" t="b">
        <f t="shared" si="16"/>
        <v>0</v>
      </c>
      <c r="M129" t="b">
        <f t="shared" si="17"/>
        <v>0</v>
      </c>
      <c r="N129" s="535"/>
      <c r="O129" s="558"/>
      <c r="R129" s="535"/>
      <c r="S129" s="558"/>
      <c r="V129" s="535"/>
      <c r="W129" s="558"/>
      <c r="Z129" s="535"/>
      <c r="AA129" s="558"/>
      <c r="AD129" s="535"/>
      <c r="AE129" s="558"/>
      <c r="AH129" s="535"/>
      <c r="AI129" s="558"/>
      <c r="AL129" s="535"/>
      <c r="AP129" s="535"/>
    </row>
    <row r="130">
      <c r="A130" s="552"/>
      <c r="B130" s="552"/>
      <c r="C130" t="str">
        <f>Filtered!I120</f>
        <v>Nature Reviews Neuroscience</v>
      </c>
      <c r="D130" t="str">
        <f>Filtered!J120</f>
        <v/>
      </c>
      <c r="E130" t="str">
        <f>Filtered!AH120</f>
        <v>No preprint policy</v>
      </c>
      <c r="F130" t="b">
        <f t="shared" si="10"/>
        <v>0</v>
      </c>
      <c r="G130" t="b">
        <f t="shared" si="11"/>
        <v>0</v>
      </c>
      <c r="H130" t="b">
        <f t="shared" si="12"/>
        <v>0</v>
      </c>
      <c r="I130" t="b">
        <f t="shared" si="13"/>
        <v>0</v>
      </c>
      <c r="J130" t="b">
        <f t="shared" si="14"/>
        <v>0</v>
      </c>
      <c r="K130" t="b">
        <f t="shared" si="15"/>
        <v>0</v>
      </c>
      <c r="L130" t="b">
        <f t="shared" si="16"/>
        <v>0</v>
      </c>
      <c r="M130" t="b">
        <f t="shared" si="17"/>
        <v>0</v>
      </c>
      <c r="N130" s="535"/>
      <c r="O130" s="558"/>
      <c r="R130" s="535"/>
      <c r="S130" s="558"/>
      <c r="V130" s="535"/>
      <c r="W130" s="558"/>
      <c r="Z130" s="535"/>
      <c r="AA130" s="558"/>
      <c r="AD130" s="535"/>
      <c r="AE130" s="558"/>
      <c r="AH130" s="535"/>
      <c r="AI130" s="558"/>
      <c r="AL130" s="535"/>
      <c r="AP130" s="535"/>
    </row>
    <row r="131">
      <c r="A131" s="552"/>
      <c r="B131" s="552"/>
      <c r="C131" t="str">
        <f>Filtered!I121</f>
        <v>Nature Reviews. Drug Discovery</v>
      </c>
      <c r="D131" t="str">
        <f>Filtered!J121</f>
        <v/>
      </c>
      <c r="E131" t="str">
        <f>Filtered!AH121</f>
        <v>No preprint policy</v>
      </c>
      <c r="F131" t="b">
        <f t="shared" si="10"/>
        <v>0</v>
      </c>
      <c r="G131" t="b">
        <f t="shared" si="11"/>
        <v>0</v>
      </c>
      <c r="H131" t="b">
        <f t="shared" si="12"/>
        <v>0</v>
      </c>
      <c r="I131" t="b">
        <f t="shared" si="13"/>
        <v>0</v>
      </c>
      <c r="J131" t="b">
        <f t="shared" si="14"/>
        <v>0</v>
      </c>
      <c r="K131" t="b">
        <f t="shared" si="15"/>
        <v>0</v>
      </c>
      <c r="L131" t="b">
        <f t="shared" si="16"/>
        <v>0</v>
      </c>
      <c r="M131" t="b">
        <f t="shared" si="17"/>
        <v>0</v>
      </c>
      <c r="N131" s="535"/>
      <c r="O131" s="558"/>
      <c r="R131" s="535"/>
      <c r="S131" s="558"/>
      <c r="V131" s="535"/>
      <c r="W131" s="558"/>
      <c r="Z131" s="535"/>
      <c r="AA131" s="558"/>
      <c r="AD131" s="535"/>
      <c r="AE131" s="558"/>
      <c r="AH131" s="535"/>
      <c r="AI131" s="558"/>
      <c r="AL131" s="535"/>
      <c r="AP131" s="535"/>
    </row>
    <row r="132">
      <c r="A132" s="552"/>
      <c r="B132" s="552"/>
      <c r="C132" t="str">
        <f>Filtered!I122</f>
        <v>Nature Reviews. Molecular Cell Biology</v>
      </c>
      <c r="D132" t="str">
        <f>Filtered!J122</f>
        <v>Life Sciences &amp; Earth Sciences</v>
      </c>
      <c r="E132" t="str">
        <f>Filtered!AH122</f>
        <v>No preprint policy</v>
      </c>
      <c r="F132" t="b">
        <f t="shared" si="10"/>
        <v>0</v>
      </c>
      <c r="G132" t="b">
        <f t="shared" si="11"/>
        <v>0</v>
      </c>
      <c r="H132" t="b">
        <f t="shared" si="12"/>
        <v>0</v>
      </c>
      <c r="I132" t="b">
        <f t="shared" si="13"/>
        <v>0</v>
      </c>
      <c r="J132" t="b">
        <f t="shared" si="14"/>
        <v>0</v>
      </c>
      <c r="K132" t="b">
        <f t="shared" si="15"/>
        <v>1</v>
      </c>
      <c r="L132" t="b">
        <f t="shared" si="16"/>
        <v>0</v>
      </c>
      <c r="M132" t="b">
        <f t="shared" si="17"/>
        <v>0</v>
      </c>
      <c r="N132" s="535"/>
      <c r="O132" s="558"/>
      <c r="R132" s="535"/>
      <c r="S132" s="558"/>
      <c r="V132" s="535"/>
      <c r="W132" s="558"/>
      <c r="Z132" s="535"/>
      <c r="AA132" s="558"/>
      <c r="AD132" s="535"/>
      <c r="AE132" s="558"/>
      <c r="AH132" s="535"/>
      <c r="AI132" s="558"/>
      <c r="AL132" s="535"/>
      <c r="AP132" s="535"/>
    </row>
    <row r="133">
      <c r="A133" s="552"/>
      <c r="B133" s="552"/>
      <c r="C133" t="str">
        <f>Filtered!I123</f>
        <v>Neural Information Processing Systems (NIPS)</v>
      </c>
      <c r="D133" t="str">
        <f>Filtered!J123</f>
        <v>Engineering &amp; Computer Science</v>
      </c>
      <c r="E133" t="str">
        <f>Filtered!AH123</f>
        <v>Unclear</v>
      </c>
      <c r="F133" t="b">
        <f t="shared" si="10"/>
        <v>0</v>
      </c>
      <c r="G133" t="b">
        <f t="shared" si="11"/>
        <v>0</v>
      </c>
      <c r="H133" t="b">
        <f t="shared" si="12"/>
        <v>1</v>
      </c>
      <c r="I133" t="b">
        <f t="shared" si="13"/>
        <v>0</v>
      </c>
      <c r="J133" t="b">
        <f t="shared" si="14"/>
        <v>0</v>
      </c>
      <c r="K133" t="b">
        <f t="shared" si="15"/>
        <v>0</v>
      </c>
      <c r="L133" t="b">
        <f t="shared" si="16"/>
        <v>0</v>
      </c>
      <c r="M133" t="b">
        <f t="shared" si="17"/>
        <v>0</v>
      </c>
      <c r="N133" s="535"/>
      <c r="O133" s="558"/>
      <c r="R133" s="535"/>
      <c r="S133" s="558"/>
      <c r="V133" s="535"/>
      <c r="W133" s="558"/>
      <c r="Z133" s="535"/>
      <c r="AA133" s="558"/>
      <c r="AD133" s="535"/>
      <c r="AE133" s="558"/>
      <c r="AH133" s="535"/>
      <c r="AI133" s="558"/>
      <c r="AL133" s="535"/>
      <c r="AP133" s="535"/>
    </row>
    <row r="134">
      <c r="A134" s="552"/>
      <c r="B134" s="552"/>
      <c r="C134" t="str">
        <f>Filtered!I124</f>
        <v>NeuroImage</v>
      </c>
      <c r="D134" t="str">
        <f>Filtered!J124</f>
        <v/>
      </c>
      <c r="E134" t="str">
        <f>Filtered!AH124</f>
        <v>Unsure</v>
      </c>
      <c r="F134" t="b">
        <f t="shared" si="10"/>
        <v>0</v>
      </c>
      <c r="G134" t="b">
        <f t="shared" si="11"/>
        <v>0</v>
      </c>
      <c r="H134" t="b">
        <f t="shared" si="12"/>
        <v>0</v>
      </c>
      <c r="I134" t="b">
        <f t="shared" si="13"/>
        <v>0</v>
      </c>
      <c r="J134" t="b">
        <f t="shared" si="14"/>
        <v>0</v>
      </c>
      <c r="K134" t="b">
        <f t="shared" si="15"/>
        <v>0</v>
      </c>
      <c r="L134" t="b">
        <f t="shared" si="16"/>
        <v>0</v>
      </c>
      <c r="M134" t="b">
        <f t="shared" si="17"/>
        <v>0</v>
      </c>
      <c r="N134" s="535"/>
      <c r="O134" s="558"/>
      <c r="R134" s="535"/>
      <c r="S134" s="558"/>
      <c r="V134" s="535"/>
      <c r="W134" s="558"/>
      <c r="Z134" s="535"/>
      <c r="AA134" s="558"/>
      <c r="AD134" s="535"/>
      <c r="AE134" s="558"/>
      <c r="AH134" s="535"/>
      <c r="AI134" s="558"/>
      <c r="AL134" s="535"/>
      <c r="AP134" s="535"/>
    </row>
    <row r="135">
      <c r="A135" s="552"/>
      <c r="B135" s="552"/>
      <c r="C135" t="str">
        <f>Filtered!I125</f>
        <v>Neuron</v>
      </c>
      <c r="D135" t="str">
        <f>Filtered!J125</f>
        <v>Health &amp; Medical Sciences,
Life Sciences &amp; Earth Sciences</v>
      </c>
      <c r="E135" t="str">
        <f>Filtered!AH125</f>
        <v>First submission only (before peer review)</v>
      </c>
      <c r="F135" t="b">
        <f t="shared" si="10"/>
        <v>0</v>
      </c>
      <c r="G135" t="b">
        <f t="shared" si="11"/>
        <v>0</v>
      </c>
      <c r="H135" t="b">
        <f t="shared" si="12"/>
        <v>0</v>
      </c>
      <c r="I135" t="b">
        <f t="shared" si="13"/>
        <v>1</v>
      </c>
      <c r="J135" t="b">
        <f t="shared" si="14"/>
        <v>0</v>
      </c>
      <c r="K135" t="b">
        <f t="shared" si="15"/>
        <v>1</v>
      </c>
      <c r="L135" t="b">
        <f t="shared" si="16"/>
        <v>0</v>
      </c>
      <c r="M135" t="b">
        <f t="shared" si="17"/>
        <v>0</v>
      </c>
      <c r="N135" s="535"/>
      <c r="O135" s="558"/>
      <c r="R135" s="535"/>
      <c r="S135" s="558"/>
      <c r="V135" s="535"/>
      <c r="W135" s="558"/>
      <c r="Z135" s="535"/>
      <c r="AA135" s="558"/>
      <c r="AD135" s="535"/>
      <c r="AE135" s="558"/>
      <c r="AH135" s="535"/>
      <c r="AI135" s="558"/>
      <c r="AL135" s="535"/>
      <c r="AP135" s="535"/>
    </row>
    <row r="136">
      <c r="A136" s="552"/>
      <c r="B136" s="552"/>
      <c r="C136" t="str">
        <f>Filtered!I126</f>
        <v>New Media and Society</v>
      </c>
      <c r="D136" t="str">
        <f>Filtered!J126</f>
        <v>Social Sciences</v>
      </c>
      <c r="E136" t="str">
        <f>Filtered!AH126</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F136" t="b">
        <f t="shared" si="10"/>
        <v>0</v>
      </c>
      <c r="G136" t="b">
        <f t="shared" si="11"/>
        <v>0</v>
      </c>
      <c r="H136" t="b">
        <f t="shared" si="12"/>
        <v>0</v>
      </c>
      <c r="I136" t="b">
        <f t="shared" si="13"/>
        <v>0</v>
      </c>
      <c r="J136" t="b">
        <f t="shared" si="14"/>
        <v>0</v>
      </c>
      <c r="K136" t="b">
        <f t="shared" si="15"/>
        <v>0</v>
      </c>
      <c r="L136" t="b">
        <f t="shared" si="16"/>
        <v>0</v>
      </c>
      <c r="M136" t="b">
        <f t="shared" si="17"/>
        <v>1</v>
      </c>
      <c r="N136" s="535"/>
      <c r="O136" s="558"/>
      <c r="R136" s="535"/>
      <c r="S136" s="558"/>
      <c r="V136" s="535"/>
      <c r="W136" s="558"/>
      <c r="Z136" s="535"/>
      <c r="AA136" s="558"/>
      <c r="AD136" s="535"/>
      <c r="AE136" s="558"/>
      <c r="AH136" s="535"/>
      <c r="AI136" s="558"/>
      <c r="AL136" s="535"/>
      <c r="AP136" s="535"/>
    </row>
    <row r="137">
      <c r="A137" s="552"/>
      <c r="B137" s="552"/>
      <c r="C137" t="str">
        <f>Filtered!I127</f>
        <v>Noûs</v>
      </c>
      <c r="D137" t="str">
        <f>Filtered!J127</f>
        <v>Social Sciences, Humanities, Literature &amp; Arts</v>
      </c>
      <c r="E137" t="str">
        <f>Filtered!AH127</f>
        <v>First submission only (before peer review)</v>
      </c>
      <c r="F137" t="b">
        <f t="shared" si="10"/>
        <v>0</v>
      </c>
      <c r="G137" t="b">
        <f t="shared" si="11"/>
        <v>0</v>
      </c>
      <c r="H137" t="b">
        <f t="shared" si="12"/>
        <v>0</v>
      </c>
      <c r="I137" t="b">
        <f t="shared" si="13"/>
        <v>0</v>
      </c>
      <c r="J137" t="b">
        <f t="shared" si="14"/>
        <v>1</v>
      </c>
      <c r="K137" t="b">
        <f t="shared" si="15"/>
        <v>0</v>
      </c>
      <c r="L137" t="b">
        <f t="shared" si="16"/>
        <v>0</v>
      </c>
      <c r="M137" t="b">
        <f t="shared" si="17"/>
        <v>1</v>
      </c>
      <c r="N137" s="535"/>
      <c r="O137" s="558"/>
      <c r="R137" s="535"/>
      <c r="S137" s="558"/>
      <c r="V137" s="535"/>
      <c r="W137" s="558"/>
      <c r="Z137" s="535"/>
      <c r="AA137" s="558"/>
      <c r="AD137" s="535"/>
      <c r="AE137" s="558"/>
      <c r="AH137" s="535"/>
      <c r="AI137" s="558"/>
      <c r="AL137" s="535"/>
      <c r="AP137" s="535"/>
    </row>
    <row r="138">
      <c r="A138" s="552"/>
      <c r="B138" s="552"/>
      <c r="C138" t="str">
        <f>Filtered!I128</f>
        <v>Nucleic Acids Research</v>
      </c>
      <c r="D138" t="str">
        <f>Filtered!J128</f>
        <v>Life Sciences &amp; Earth Sciences</v>
      </c>
      <c r="E138" t="str">
        <f>Filtered!AH128</f>
        <v>First submission only (before peer review)</v>
      </c>
      <c r="F138" t="b">
        <f t="shared" si="10"/>
        <v>0</v>
      </c>
      <c r="G138" t="b">
        <f t="shared" si="11"/>
        <v>0</v>
      </c>
      <c r="H138" t="b">
        <f t="shared" si="12"/>
        <v>0</v>
      </c>
      <c r="I138" t="b">
        <f t="shared" si="13"/>
        <v>0</v>
      </c>
      <c r="J138" t="b">
        <f t="shared" si="14"/>
        <v>0</v>
      </c>
      <c r="K138" t="b">
        <f t="shared" si="15"/>
        <v>1</v>
      </c>
      <c r="L138" t="b">
        <f t="shared" si="16"/>
        <v>0</v>
      </c>
      <c r="M138" t="b">
        <f t="shared" si="17"/>
        <v>0</v>
      </c>
      <c r="N138" s="535"/>
      <c r="O138" s="558"/>
      <c r="R138" s="535"/>
      <c r="S138" s="558"/>
      <c r="V138" s="535"/>
      <c r="W138" s="558"/>
      <c r="Z138" s="535"/>
      <c r="AA138" s="558"/>
      <c r="AD138" s="535"/>
      <c r="AE138" s="558"/>
      <c r="AH138" s="535"/>
      <c r="AI138" s="558"/>
      <c r="AL138" s="535"/>
      <c r="AP138" s="535"/>
    </row>
    <row r="139">
      <c r="A139" s="552"/>
      <c r="B139" s="552"/>
      <c r="C139" t="str">
        <f>Filtered!I129</f>
        <v>Obstetrical &amp; Gynecological Survey</v>
      </c>
      <c r="D139" t="str">
        <f>Filtered!J129</f>
        <v/>
      </c>
      <c r="E139" t="str">
        <f>Filtered!AH129</f>
        <v>No preprint policy</v>
      </c>
      <c r="F139" t="b">
        <f t="shared" si="10"/>
        <v>0</v>
      </c>
      <c r="G139" t="b">
        <f t="shared" si="11"/>
        <v>0</v>
      </c>
      <c r="H139" t="b">
        <f t="shared" si="12"/>
        <v>0</v>
      </c>
      <c r="I139" t="b">
        <f t="shared" si="13"/>
        <v>0</v>
      </c>
      <c r="J139" t="b">
        <f t="shared" si="14"/>
        <v>0</v>
      </c>
      <c r="K139" t="b">
        <f t="shared" si="15"/>
        <v>0</v>
      </c>
      <c r="L139" t="b">
        <f t="shared" si="16"/>
        <v>0</v>
      </c>
      <c r="M139" t="b">
        <f t="shared" si="17"/>
        <v>0</v>
      </c>
      <c r="N139" s="535"/>
      <c r="O139" s="558"/>
      <c r="R139" s="535"/>
      <c r="S139" s="558"/>
      <c r="V139" s="535"/>
      <c r="W139" s="558"/>
      <c r="Z139" s="535"/>
      <c r="AA139" s="558"/>
      <c r="AD139" s="535"/>
      <c r="AE139" s="558"/>
      <c r="AH139" s="535"/>
      <c r="AI139" s="558"/>
      <c r="AL139" s="535"/>
      <c r="AP139" s="535"/>
    </row>
    <row r="140">
      <c r="A140" s="552"/>
      <c r="B140" s="552"/>
      <c r="C140" t="str">
        <f>Filtered!I130</f>
        <v>Optics Express</v>
      </c>
      <c r="D140" t="str">
        <f>Filtered!J130</f>
        <v>Physics &amp; Mathematics</v>
      </c>
      <c r="E140" t="str">
        <f>Filtered!AH130</f>
        <v>No preprint policy</v>
      </c>
      <c r="F140" t="b">
        <f t="shared" si="10"/>
        <v>0</v>
      </c>
      <c r="G140" t="b">
        <f t="shared" si="11"/>
        <v>0</v>
      </c>
      <c r="H140" t="b">
        <f t="shared" si="12"/>
        <v>0</v>
      </c>
      <c r="I140" t="b">
        <f t="shared" si="13"/>
        <v>0</v>
      </c>
      <c r="J140" t="b">
        <f t="shared" si="14"/>
        <v>0</v>
      </c>
      <c r="K140" t="b">
        <f t="shared" si="15"/>
        <v>0</v>
      </c>
      <c r="L140" t="b">
        <f t="shared" si="16"/>
        <v>1</v>
      </c>
      <c r="M140" t="b">
        <f t="shared" si="17"/>
        <v>0</v>
      </c>
      <c r="N140" s="535"/>
      <c r="O140" s="558"/>
      <c r="R140" s="535"/>
      <c r="S140" s="558"/>
      <c r="V140" s="535"/>
      <c r="W140" s="558"/>
      <c r="Z140" s="535"/>
      <c r="AA140" s="558"/>
      <c r="AD140" s="535"/>
      <c r="AE140" s="558"/>
      <c r="AH140" s="535"/>
      <c r="AI140" s="558"/>
      <c r="AL140" s="535"/>
      <c r="AP140" s="535"/>
    </row>
    <row r="141">
      <c r="A141" s="552"/>
      <c r="B141" s="552"/>
      <c r="C141" t="str">
        <f>Filtered!I131</f>
        <v>Pediatrics</v>
      </c>
      <c r="D141" t="str">
        <f>Filtered!J131</f>
        <v/>
      </c>
      <c r="E141" t="str">
        <f>Filtered!AH131</f>
        <v>No preprint policy</v>
      </c>
      <c r="F141" t="b">
        <f t="shared" si="10"/>
        <v>0</v>
      </c>
      <c r="G141" t="b">
        <f t="shared" si="11"/>
        <v>0</v>
      </c>
      <c r="H141" t="b">
        <f t="shared" si="12"/>
        <v>0</v>
      </c>
      <c r="I141" t="b">
        <f t="shared" si="13"/>
        <v>0</v>
      </c>
      <c r="J141" t="b">
        <f t="shared" si="14"/>
        <v>0</v>
      </c>
      <c r="K141" t="b">
        <f t="shared" si="15"/>
        <v>0</v>
      </c>
      <c r="L141" t="b">
        <f t="shared" si="16"/>
        <v>0</v>
      </c>
      <c r="M141" t="b">
        <f t="shared" si="17"/>
        <v>0</v>
      </c>
      <c r="N141" s="535"/>
      <c r="O141" s="558"/>
      <c r="R141" s="535"/>
      <c r="S141" s="558"/>
      <c r="V141" s="535"/>
      <c r="W141" s="558"/>
      <c r="Z141" s="535"/>
      <c r="AA141" s="558"/>
      <c r="AD141" s="535"/>
      <c r="AE141" s="558"/>
      <c r="AH141" s="535"/>
      <c r="AI141" s="558"/>
      <c r="AL141" s="535"/>
      <c r="AP141" s="535"/>
    </row>
    <row r="142">
      <c r="A142" s="552"/>
      <c r="B142" s="552"/>
      <c r="C142" t="str">
        <f>Filtered!I132</f>
        <v>Philosophical Studies</v>
      </c>
      <c r="D142" t="str">
        <f>Filtered!J132</f>
        <v>Humanities, Literature &amp; Arts</v>
      </c>
      <c r="E142" t="str">
        <f>Filtered!AH132</f>
        <v>No preprint policy</v>
      </c>
      <c r="F142" t="b">
        <f t="shared" si="10"/>
        <v>0</v>
      </c>
      <c r="G142" t="b">
        <f t="shared" si="11"/>
        <v>0</v>
      </c>
      <c r="H142" t="b">
        <f t="shared" si="12"/>
        <v>0</v>
      </c>
      <c r="I142" t="b">
        <f t="shared" si="13"/>
        <v>0</v>
      </c>
      <c r="J142" t="b">
        <f t="shared" si="14"/>
        <v>1</v>
      </c>
      <c r="K142" t="b">
        <f t="shared" si="15"/>
        <v>0</v>
      </c>
      <c r="L142" t="b">
        <f t="shared" si="16"/>
        <v>0</v>
      </c>
      <c r="M142" t="b">
        <f t="shared" si="17"/>
        <v>0</v>
      </c>
      <c r="N142" s="535"/>
      <c r="O142" s="558"/>
      <c r="R142" s="535"/>
      <c r="S142" s="558"/>
      <c r="V142" s="535"/>
      <c r="W142" s="558"/>
      <c r="Z142" s="535"/>
      <c r="AA142" s="558"/>
      <c r="AD142" s="535"/>
      <c r="AE142" s="558"/>
      <c r="AH142" s="535"/>
      <c r="AI142" s="558"/>
      <c r="AL142" s="535"/>
      <c r="AP142" s="535"/>
    </row>
    <row r="143">
      <c r="A143" s="552"/>
      <c r="B143" s="552"/>
      <c r="C143" t="str">
        <f>Filtered!I133</f>
        <v>Physical Review B</v>
      </c>
      <c r="D143" t="str">
        <f>Filtered!J133</f>
        <v>Physics &amp; Mathematics</v>
      </c>
      <c r="E143" t="str">
        <f>Filtered!AH133</f>
        <v>No preprint policy</v>
      </c>
      <c r="F143" t="b">
        <f t="shared" si="10"/>
        <v>0</v>
      </c>
      <c r="G143" t="b">
        <f t="shared" si="11"/>
        <v>0</v>
      </c>
      <c r="H143" t="b">
        <f t="shared" si="12"/>
        <v>0</v>
      </c>
      <c r="I143" t="b">
        <f t="shared" si="13"/>
        <v>0</v>
      </c>
      <c r="J143" t="b">
        <f t="shared" si="14"/>
        <v>0</v>
      </c>
      <c r="K143" t="b">
        <f t="shared" si="15"/>
        <v>0</v>
      </c>
      <c r="L143" t="b">
        <f t="shared" si="16"/>
        <v>1</v>
      </c>
      <c r="M143" t="b">
        <f t="shared" si="17"/>
        <v>0</v>
      </c>
      <c r="N143" s="535"/>
      <c r="O143" s="558"/>
      <c r="R143" s="535"/>
      <c r="S143" s="558"/>
      <c r="V143" s="535"/>
      <c r="W143" s="558"/>
      <c r="Z143" s="535"/>
      <c r="AA143" s="558"/>
      <c r="AD143" s="535"/>
      <c r="AE143" s="558"/>
      <c r="AH143" s="535"/>
      <c r="AI143" s="558"/>
      <c r="AL143" s="535"/>
      <c r="AP143" s="535"/>
    </row>
    <row r="144">
      <c r="A144" s="552"/>
      <c r="B144" s="552"/>
      <c r="C144" t="str">
        <f>Filtered!I134</f>
        <v>Physical Review D</v>
      </c>
      <c r="D144" t="str">
        <f>Filtered!J134</f>
        <v>Physics &amp; Mathematics</v>
      </c>
      <c r="E144" t="str">
        <f>Filtered!AH134</f>
        <v>No preprint policy</v>
      </c>
      <c r="F144" t="b">
        <f t="shared" si="10"/>
        <v>0</v>
      </c>
      <c r="G144" t="b">
        <f t="shared" si="11"/>
        <v>0</v>
      </c>
      <c r="H144" t="b">
        <f t="shared" si="12"/>
        <v>0</v>
      </c>
      <c r="I144" t="b">
        <f t="shared" si="13"/>
        <v>0</v>
      </c>
      <c r="J144" t="b">
        <f t="shared" si="14"/>
        <v>0</v>
      </c>
      <c r="K144" t="b">
        <f t="shared" si="15"/>
        <v>0</v>
      </c>
      <c r="L144" t="b">
        <f t="shared" si="16"/>
        <v>1</v>
      </c>
      <c r="M144" t="b">
        <f t="shared" si="17"/>
        <v>0</v>
      </c>
      <c r="N144" s="535"/>
      <c r="O144" s="558"/>
      <c r="R144" s="535"/>
      <c r="S144" s="558"/>
      <c r="V144" s="535"/>
      <c r="W144" s="558"/>
      <c r="Z144" s="535"/>
      <c r="AA144" s="558"/>
      <c r="AD144" s="535"/>
      <c r="AE144" s="558"/>
      <c r="AH144" s="535"/>
      <c r="AI144" s="558"/>
      <c r="AL144" s="535"/>
      <c r="AP144" s="535"/>
    </row>
    <row r="145">
      <c r="A145" s="552"/>
      <c r="B145" s="552"/>
      <c r="C145" t="str">
        <f>Filtered!I135</f>
        <v>Physical Review Letters</v>
      </c>
      <c r="D145" t="str">
        <f>Filtered!J135</f>
        <v>Physics &amp; Mathematics</v>
      </c>
      <c r="E145" t="str">
        <f>Filtered!AH135</f>
        <v>No preprint policy</v>
      </c>
      <c r="F145" t="b">
        <f t="shared" si="10"/>
        <v>0</v>
      </c>
      <c r="G145" t="b">
        <f t="shared" si="11"/>
        <v>0</v>
      </c>
      <c r="H145" t="b">
        <f t="shared" si="12"/>
        <v>0</v>
      </c>
      <c r="I145" t="b">
        <f t="shared" si="13"/>
        <v>0</v>
      </c>
      <c r="J145" t="b">
        <f t="shared" si="14"/>
        <v>0</v>
      </c>
      <c r="K145" t="b">
        <f t="shared" si="15"/>
        <v>0</v>
      </c>
      <c r="L145" t="b">
        <f t="shared" si="16"/>
        <v>1</v>
      </c>
      <c r="M145" t="b">
        <f t="shared" si="17"/>
        <v>0</v>
      </c>
      <c r="N145" s="535"/>
      <c r="O145" s="558"/>
      <c r="R145" s="535"/>
      <c r="S145" s="558"/>
      <c r="V145" s="535"/>
      <c r="W145" s="558"/>
      <c r="Z145" s="535"/>
      <c r="AA145" s="558"/>
      <c r="AD145" s="535"/>
      <c r="AE145" s="558"/>
      <c r="AH145" s="535"/>
      <c r="AI145" s="558"/>
      <c r="AL145" s="535"/>
      <c r="AP145" s="535"/>
    </row>
    <row r="146">
      <c r="A146" s="552"/>
      <c r="B146" s="552"/>
      <c r="C146" t="str">
        <f>Filtered!I136</f>
        <v>Physical Review X</v>
      </c>
      <c r="D146" t="str">
        <f>Filtered!J136</f>
        <v>Physics &amp; Mathematics</v>
      </c>
      <c r="E146" t="str">
        <f>Filtered!AH136</f>
        <v>No preprint policy</v>
      </c>
      <c r="F146" t="b">
        <f t="shared" si="10"/>
        <v>0</v>
      </c>
      <c r="G146" t="b">
        <f t="shared" si="11"/>
        <v>0</v>
      </c>
      <c r="H146" t="b">
        <f t="shared" si="12"/>
        <v>0</v>
      </c>
      <c r="I146" t="b">
        <f t="shared" si="13"/>
        <v>0</v>
      </c>
      <c r="J146" t="b">
        <f t="shared" si="14"/>
        <v>0</v>
      </c>
      <c r="K146" t="b">
        <f t="shared" si="15"/>
        <v>0</v>
      </c>
      <c r="L146" t="b">
        <f t="shared" si="16"/>
        <v>1</v>
      </c>
      <c r="M146" t="b">
        <f t="shared" si="17"/>
        <v>0</v>
      </c>
      <c r="N146" s="535"/>
      <c r="O146" s="558"/>
      <c r="R146" s="535"/>
      <c r="S146" s="558"/>
      <c r="V146" s="535"/>
      <c r="W146" s="558"/>
      <c r="Z146" s="535"/>
      <c r="AA146" s="558"/>
      <c r="AD146" s="535"/>
      <c r="AE146" s="558"/>
      <c r="AH146" s="535"/>
      <c r="AI146" s="558"/>
      <c r="AL146" s="535"/>
      <c r="AP146" s="535"/>
    </row>
    <row r="147">
      <c r="A147" s="552"/>
      <c r="B147" s="552"/>
      <c r="C147" t="str">
        <f>Filtered!I137</f>
        <v>Physics Letters B</v>
      </c>
      <c r="D147" t="str">
        <f>Filtered!J137</f>
        <v>Physics &amp; Mathematics</v>
      </c>
      <c r="E147" t="str">
        <f>Filtered!AH137</f>
        <v>First submission only (before peer review)</v>
      </c>
      <c r="F147" t="b">
        <f t="shared" si="10"/>
        <v>0</v>
      </c>
      <c r="G147" t="b">
        <f t="shared" si="11"/>
        <v>0</v>
      </c>
      <c r="H147" t="b">
        <f t="shared" si="12"/>
        <v>0</v>
      </c>
      <c r="I147" t="b">
        <f t="shared" si="13"/>
        <v>0</v>
      </c>
      <c r="J147" t="b">
        <f t="shared" si="14"/>
        <v>0</v>
      </c>
      <c r="K147" t="b">
        <f t="shared" si="15"/>
        <v>0</v>
      </c>
      <c r="L147" t="b">
        <f t="shared" si="16"/>
        <v>1</v>
      </c>
      <c r="M147" t="b">
        <f t="shared" si="17"/>
        <v>0</v>
      </c>
      <c r="N147" s="535"/>
      <c r="O147" s="558"/>
      <c r="R147" s="535"/>
      <c r="S147" s="558"/>
      <c r="V147" s="535"/>
      <c r="W147" s="558"/>
      <c r="Z147" s="535"/>
      <c r="AA147" s="558"/>
      <c r="AD147" s="535"/>
      <c r="AE147" s="558"/>
      <c r="AH147" s="535"/>
      <c r="AI147" s="558"/>
      <c r="AL147" s="535"/>
      <c r="AP147" s="535"/>
    </row>
    <row r="148">
      <c r="A148" s="552"/>
      <c r="B148" s="552"/>
      <c r="C148" t="str">
        <f>Filtered!I138</f>
        <v>PLoS One</v>
      </c>
      <c r="D148" t="str">
        <f>Filtered!J138</f>
        <v>Health &amp; Medical Sciences,
Life Sciences &amp; Earth Sciences</v>
      </c>
      <c r="E148" t="str">
        <f>Filtered!AH138</f>
        <v>First submission only (before peer review)</v>
      </c>
      <c r="F148" t="b">
        <f t="shared" si="10"/>
        <v>0</v>
      </c>
      <c r="G148" t="b">
        <f t="shared" si="11"/>
        <v>0</v>
      </c>
      <c r="H148" t="b">
        <f t="shared" si="12"/>
        <v>0</v>
      </c>
      <c r="I148" t="b">
        <f t="shared" si="13"/>
        <v>1</v>
      </c>
      <c r="J148" t="b">
        <f t="shared" si="14"/>
        <v>0</v>
      </c>
      <c r="K148" t="b">
        <f t="shared" si="15"/>
        <v>1</v>
      </c>
      <c r="L148" t="b">
        <f t="shared" si="16"/>
        <v>0</v>
      </c>
      <c r="M148" t="b">
        <f t="shared" si="17"/>
        <v>0</v>
      </c>
      <c r="N148" s="535"/>
      <c r="O148" s="558"/>
      <c r="R148" s="535"/>
      <c r="S148" s="558"/>
      <c r="V148" s="535"/>
      <c r="W148" s="558"/>
      <c r="Z148" s="535"/>
      <c r="AA148" s="558"/>
      <c r="AD148" s="535"/>
      <c r="AE148" s="558"/>
      <c r="AH148" s="535"/>
      <c r="AI148" s="558"/>
      <c r="AL148" s="535"/>
      <c r="AP148" s="535"/>
    </row>
    <row r="149">
      <c r="A149" s="552"/>
      <c r="B149" s="552"/>
      <c r="C149" t="str">
        <f>Filtered!I139</f>
        <v>Proceedings of the National Academy of Sciences</v>
      </c>
      <c r="D149" t="str">
        <f>Filtered!J139</f>
        <v>Health &amp; Medical Sciences,
Life Sciences &amp; Earth Sciences</v>
      </c>
      <c r="E149" t="str">
        <f>Filtered!AH139</f>
        <v>Unsure (preprints are allowed, but it's not clear what version</v>
      </c>
      <c r="F149" t="b">
        <f t="shared" si="10"/>
        <v>0</v>
      </c>
      <c r="G149" t="b">
        <f t="shared" si="11"/>
        <v>0</v>
      </c>
      <c r="H149" t="b">
        <f t="shared" si="12"/>
        <v>0</v>
      </c>
      <c r="I149" t="b">
        <f t="shared" si="13"/>
        <v>1</v>
      </c>
      <c r="J149" t="b">
        <f t="shared" si="14"/>
        <v>0</v>
      </c>
      <c r="K149" t="b">
        <f t="shared" si="15"/>
        <v>1</v>
      </c>
      <c r="L149" t="b">
        <f t="shared" si="16"/>
        <v>0</v>
      </c>
      <c r="M149" t="b">
        <f t="shared" si="17"/>
        <v>0</v>
      </c>
      <c r="N149" s="535"/>
      <c r="O149" s="558"/>
      <c r="R149" s="535"/>
      <c r="S149" s="558"/>
      <c r="V149" s="535"/>
      <c r="W149" s="558"/>
      <c r="Z149" s="535"/>
      <c r="AA149" s="558"/>
      <c r="AD149" s="535"/>
      <c r="AE149" s="558"/>
      <c r="AH149" s="535"/>
      <c r="AI149" s="558"/>
      <c r="AL149" s="535"/>
      <c r="AP149" s="535"/>
    </row>
    <row r="150">
      <c r="A150" s="552"/>
      <c r="B150" s="552"/>
      <c r="C150" t="str">
        <f>Filtered!I140</f>
        <v>Progress in Human Geography</v>
      </c>
      <c r="D150" t="str">
        <f>Filtered!J140</f>
        <v>Social Sciences</v>
      </c>
      <c r="E150" t="str">
        <f>Filtered!AH140</f>
        <v>Unsure (preprints are allowed, but it's not clear what version)</v>
      </c>
      <c r="F150" t="b">
        <f t="shared" si="10"/>
        <v>0</v>
      </c>
      <c r="G150" t="b">
        <f t="shared" si="11"/>
        <v>0</v>
      </c>
      <c r="H150" t="b">
        <f t="shared" si="12"/>
        <v>0</v>
      </c>
      <c r="I150" t="b">
        <f t="shared" si="13"/>
        <v>0</v>
      </c>
      <c r="J150" t="b">
        <f t="shared" si="14"/>
        <v>0</v>
      </c>
      <c r="K150" t="b">
        <f t="shared" si="15"/>
        <v>0</v>
      </c>
      <c r="L150" t="b">
        <f t="shared" si="16"/>
        <v>0</v>
      </c>
      <c r="M150" t="b">
        <f t="shared" si="17"/>
        <v>1</v>
      </c>
      <c r="N150" s="535"/>
      <c r="O150" s="558"/>
      <c r="R150" s="535"/>
      <c r="S150" s="558"/>
      <c r="V150" s="535"/>
      <c r="W150" s="558"/>
      <c r="Z150" s="535"/>
      <c r="AA150" s="558"/>
      <c r="AD150" s="535"/>
      <c r="AE150" s="558"/>
      <c r="AH150" s="535"/>
      <c r="AI150" s="558"/>
      <c r="AL150" s="535"/>
      <c r="AP150" s="535"/>
    </row>
    <row r="151">
      <c r="A151" s="552"/>
      <c r="B151" s="552"/>
      <c r="C151" t="str">
        <f>Filtered!I141</f>
        <v>Public Opinion Quarterly</v>
      </c>
      <c r="D151" t="str">
        <f>Filtered!J141</f>
        <v>Humanities, Literature &amp; Arts</v>
      </c>
      <c r="E151" t="str">
        <f>Filtered!AH141</f>
        <v>First submission only (before peer review)</v>
      </c>
      <c r="F151" t="b">
        <f t="shared" si="10"/>
        <v>0</v>
      </c>
      <c r="G151" t="b">
        <f t="shared" si="11"/>
        <v>0</v>
      </c>
      <c r="H151" t="b">
        <f t="shared" si="12"/>
        <v>0</v>
      </c>
      <c r="I151" t="b">
        <f t="shared" si="13"/>
        <v>0</v>
      </c>
      <c r="J151" t="b">
        <f t="shared" si="14"/>
        <v>1</v>
      </c>
      <c r="K151" t="b">
        <f t="shared" si="15"/>
        <v>0</v>
      </c>
      <c r="L151" t="b">
        <f t="shared" si="16"/>
        <v>0</v>
      </c>
      <c r="M151" t="b">
        <f t="shared" si="17"/>
        <v>0</v>
      </c>
      <c r="N151" s="535"/>
      <c r="O151" s="558"/>
      <c r="R151" s="535"/>
      <c r="S151" s="558"/>
      <c r="V151" s="535"/>
      <c r="W151" s="558"/>
      <c r="Z151" s="535"/>
      <c r="AA151" s="558"/>
      <c r="AD151" s="535"/>
      <c r="AE151" s="558"/>
      <c r="AH151" s="535"/>
      <c r="AI151" s="558"/>
      <c r="AL151" s="535"/>
      <c r="AP151" s="535"/>
    </row>
    <row r="152">
      <c r="A152" s="552"/>
      <c r="B152" s="552"/>
      <c r="C152" t="str">
        <f>Filtered!I142</f>
        <v>Regional Studies</v>
      </c>
      <c r="D152" t="str">
        <f>Filtered!J142</f>
        <v>Social Sciences</v>
      </c>
      <c r="E152" t="str">
        <f>Filtered!AH142</f>
        <v>No preprint policy</v>
      </c>
      <c r="F152" t="b">
        <f t="shared" si="10"/>
        <v>0</v>
      </c>
      <c r="G152" t="b">
        <f t="shared" si="11"/>
        <v>0</v>
      </c>
      <c r="H152" t="b">
        <f t="shared" si="12"/>
        <v>0</v>
      </c>
      <c r="I152" t="b">
        <f t="shared" si="13"/>
        <v>0</v>
      </c>
      <c r="J152" t="b">
        <f t="shared" si="14"/>
        <v>0</v>
      </c>
      <c r="K152" t="b">
        <f t="shared" si="15"/>
        <v>0</v>
      </c>
      <c r="L152" t="b">
        <f t="shared" si="16"/>
        <v>0</v>
      </c>
      <c r="M152" t="b">
        <f t="shared" si="17"/>
        <v>1</v>
      </c>
      <c r="N152" s="535"/>
      <c r="O152" s="558"/>
      <c r="R152" s="535"/>
      <c r="S152" s="558"/>
      <c r="V152" s="535"/>
      <c r="W152" s="558"/>
      <c r="Z152" s="535"/>
      <c r="AA152" s="558"/>
      <c r="AD152" s="535"/>
      <c r="AE152" s="558"/>
      <c r="AH152" s="535"/>
      <c r="AI152" s="558"/>
      <c r="AL152" s="535"/>
      <c r="AP152" s="535"/>
    </row>
    <row r="153">
      <c r="A153" s="552"/>
      <c r="B153" s="552"/>
      <c r="C153" t="str">
        <f>Filtered!I143</f>
        <v>Renewable and Sustainable Energy Reviews</v>
      </c>
      <c r="D153" t="str">
        <f>Filtered!J143</f>
        <v>Engineering &amp; Computer Science</v>
      </c>
      <c r="E153" t="str">
        <f>Filtered!AH143</f>
        <v>Unsure (preprints are allowed, but it's not clear what version)</v>
      </c>
      <c r="F153" t="b">
        <f t="shared" si="10"/>
        <v>0</v>
      </c>
      <c r="G153" t="b">
        <f t="shared" si="11"/>
        <v>0</v>
      </c>
      <c r="H153" t="b">
        <f t="shared" si="12"/>
        <v>1</v>
      </c>
      <c r="I153" t="b">
        <f t="shared" si="13"/>
        <v>0</v>
      </c>
      <c r="J153" t="b">
        <f t="shared" si="14"/>
        <v>0</v>
      </c>
      <c r="K153" t="b">
        <f t="shared" si="15"/>
        <v>0</v>
      </c>
      <c r="L153" t="b">
        <f t="shared" si="16"/>
        <v>0</v>
      </c>
      <c r="M153" t="b">
        <f t="shared" si="17"/>
        <v>0</v>
      </c>
      <c r="N153" s="535"/>
      <c r="O153" s="558"/>
      <c r="R153" s="535"/>
      <c r="S153" s="558"/>
      <c r="V153" s="535"/>
      <c r="W153" s="558"/>
      <c r="Z153" s="535"/>
      <c r="AA153" s="558"/>
      <c r="AD153" s="535"/>
      <c r="AE153" s="558"/>
      <c r="AH153" s="535"/>
      <c r="AI153" s="558"/>
      <c r="AL153" s="535"/>
      <c r="AP153" s="535"/>
    </row>
    <row r="154">
      <c r="A154" s="552"/>
      <c r="B154" s="552"/>
      <c r="C154" t="str">
        <f>Filtered!I144</f>
        <v>Research Policy</v>
      </c>
      <c r="D154" t="str">
        <f>Filtered!J144</f>
        <v>Social Sciences</v>
      </c>
      <c r="E154" t="str">
        <f>Filtered!AH144</f>
        <v>First submission only (before peer review)</v>
      </c>
      <c r="F154" t="b">
        <f t="shared" si="10"/>
        <v>0</v>
      </c>
      <c r="G154" t="b">
        <f t="shared" si="11"/>
        <v>0</v>
      </c>
      <c r="H154" t="b">
        <f t="shared" si="12"/>
        <v>0</v>
      </c>
      <c r="I154" t="b">
        <f t="shared" si="13"/>
        <v>0</v>
      </c>
      <c r="J154" t="b">
        <f t="shared" si="14"/>
        <v>0</v>
      </c>
      <c r="K154" t="b">
        <f t="shared" si="15"/>
        <v>0</v>
      </c>
      <c r="L154" t="b">
        <f t="shared" si="16"/>
        <v>0</v>
      </c>
      <c r="M154" t="b">
        <f t="shared" si="17"/>
        <v>1</v>
      </c>
      <c r="N154" s="535"/>
      <c r="O154" s="558"/>
      <c r="R154" s="535"/>
      <c r="S154" s="558"/>
      <c r="V154" s="535"/>
      <c r="W154" s="558"/>
      <c r="Z154" s="535"/>
      <c r="AA154" s="558"/>
      <c r="AD154" s="535"/>
      <c r="AE154" s="558"/>
      <c r="AH154" s="535"/>
      <c r="AI154" s="558"/>
      <c r="AL154" s="535"/>
      <c r="AP154" s="535"/>
    </row>
    <row r="155">
      <c r="A155" s="552"/>
      <c r="B155" s="552"/>
      <c r="C155" t="str">
        <f>Filtered!I145</f>
        <v>Review of Economics and Statistics</v>
      </c>
      <c r="D155" t="str">
        <f>Filtered!J145</f>
        <v>Business, Economics &amp; Management</v>
      </c>
      <c r="E155" t="str">
        <f>Filtered!AH145</f>
        <v>After peer review (but not final, copyedited version)</v>
      </c>
      <c r="F155" t="b">
        <f t="shared" si="10"/>
        <v>1</v>
      </c>
      <c r="G155" t="b">
        <f t="shared" si="11"/>
        <v>0</v>
      </c>
      <c r="H155" t="b">
        <f t="shared" si="12"/>
        <v>0</v>
      </c>
      <c r="I155" t="b">
        <f t="shared" si="13"/>
        <v>0</v>
      </c>
      <c r="J155" t="b">
        <f t="shared" si="14"/>
        <v>0</v>
      </c>
      <c r="K155" t="b">
        <f t="shared" si="15"/>
        <v>0</v>
      </c>
      <c r="L155" t="b">
        <f t="shared" si="16"/>
        <v>0</v>
      </c>
      <c r="M155" t="b">
        <f t="shared" si="17"/>
        <v>0</v>
      </c>
      <c r="N155" s="535"/>
      <c r="O155" s="558"/>
      <c r="R155" s="535"/>
      <c r="S155" s="558"/>
      <c r="V155" s="535"/>
      <c r="W155" s="558"/>
      <c r="Z155" s="535"/>
      <c r="AA155" s="558"/>
      <c r="AD155" s="535"/>
      <c r="AE155" s="558"/>
      <c r="AH155" s="535"/>
      <c r="AI155" s="558"/>
      <c r="AL155" s="535"/>
      <c r="AP155" s="535"/>
    </row>
    <row r="156">
      <c r="A156" s="552"/>
      <c r="B156" s="552"/>
      <c r="C156" t="str">
        <f>Filtered!I146</f>
        <v>Reviews of Modern Physics</v>
      </c>
      <c r="D156" t="str">
        <f>Filtered!J146</f>
        <v>Physics &amp; Mathematics</v>
      </c>
      <c r="E156" t="str">
        <f>Filtered!AH146</f>
        <v>Any</v>
      </c>
      <c r="F156" t="b">
        <f t="shared" si="10"/>
        <v>0</v>
      </c>
      <c r="G156" t="b">
        <f t="shared" si="11"/>
        <v>0</v>
      </c>
      <c r="H156" t="b">
        <f t="shared" si="12"/>
        <v>0</v>
      </c>
      <c r="I156" t="b">
        <f t="shared" si="13"/>
        <v>0</v>
      </c>
      <c r="J156" t="b">
        <f t="shared" si="14"/>
        <v>0</v>
      </c>
      <c r="K156" t="b">
        <f t="shared" si="15"/>
        <v>0</v>
      </c>
      <c r="L156" t="b">
        <f t="shared" si="16"/>
        <v>1</v>
      </c>
      <c r="M156" t="b">
        <f t="shared" si="17"/>
        <v>0</v>
      </c>
      <c r="N156" s="535"/>
      <c r="O156" s="558"/>
      <c r="R156" s="535"/>
      <c r="S156" s="558"/>
      <c r="V156" s="535"/>
      <c r="W156" s="558"/>
      <c r="Z156" s="535"/>
      <c r="AA156" s="558"/>
      <c r="AD156" s="535"/>
      <c r="AE156" s="558"/>
      <c r="AH156" s="535"/>
      <c r="AI156" s="558"/>
      <c r="AL156" s="535"/>
      <c r="AP156" s="535"/>
    </row>
    <row r="157">
      <c r="A157" s="552"/>
      <c r="B157" s="552"/>
      <c r="C157" t="str">
        <f>Filtered!I147</f>
        <v>Science</v>
      </c>
      <c r="D157" t="str">
        <f>Filtered!J147</f>
        <v>Life Sciences &amp; Earth Sciences</v>
      </c>
      <c r="E157" t="str">
        <f>Filtered!AH147</f>
        <v>First submission only (before peer review)</v>
      </c>
      <c r="F157" t="b">
        <f t="shared" si="10"/>
        <v>0</v>
      </c>
      <c r="G157" t="b">
        <f t="shared" si="11"/>
        <v>0</v>
      </c>
      <c r="H157" t="b">
        <f t="shared" si="12"/>
        <v>0</v>
      </c>
      <c r="I157" t="b">
        <f t="shared" si="13"/>
        <v>0</v>
      </c>
      <c r="J157" t="b">
        <f t="shared" si="14"/>
        <v>0</v>
      </c>
      <c r="K157" t="b">
        <f t="shared" si="15"/>
        <v>1</v>
      </c>
      <c r="L157" t="b">
        <f t="shared" si="16"/>
        <v>0</v>
      </c>
      <c r="M157" t="b">
        <f t="shared" si="17"/>
        <v>0</v>
      </c>
      <c r="N157" s="535"/>
      <c r="O157" s="558"/>
      <c r="R157" s="535"/>
      <c r="S157" s="558"/>
      <c r="V157" s="535"/>
      <c r="W157" s="558"/>
      <c r="Z157" s="535"/>
      <c r="AA157" s="558"/>
      <c r="AD157" s="535"/>
      <c r="AE157" s="558"/>
      <c r="AH157" s="535"/>
      <c r="AI157" s="558"/>
      <c r="AL157" s="535"/>
      <c r="AP157" s="535"/>
    </row>
    <row r="158">
      <c r="A158" s="552"/>
      <c r="B158" s="552"/>
      <c r="C158" t="str">
        <f>Filtered!I148</f>
        <v>Science Translational Medicine</v>
      </c>
      <c r="D158" t="str">
        <f>Filtered!J148</f>
        <v/>
      </c>
      <c r="E158" t="str">
        <f>Filtered!AH148</f>
        <v>First submission only (before peer review)</v>
      </c>
      <c r="F158" t="b">
        <f t="shared" si="10"/>
        <v>0</v>
      </c>
      <c r="G158" t="b">
        <f t="shared" si="11"/>
        <v>0</v>
      </c>
      <c r="H158" t="b">
        <f t="shared" si="12"/>
        <v>0</v>
      </c>
      <c r="I158" t="b">
        <f t="shared" si="13"/>
        <v>0</v>
      </c>
      <c r="J158" t="b">
        <f t="shared" si="14"/>
        <v>0</v>
      </c>
      <c r="K158" t="b">
        <f t="shared" si="15"/>
        <v>0</v>
      </c>
      <c r="L158" t="b">
        <f t="shared" si="16"/>
        <v>0</v>
      </c>
      <c r="M158" t="b">
        <f t="shared" si="17"/>
        <v>0</v>
      </c>
      <c r="N158" s="535"/>
      <c r="O158" s="558"/>
      <c r="R158" s="535"/>
      <c r="S158" s="558"/>
      <c r="V158" s="535"/>
      <c r="W158" s="558"/>
      <c r="Z158" s="535"/>
      <c r="AA158" s="558"/>
      <c r="AD158" s="535"/>
      <c r="AE158" s="558"/>
      <c r="AH158" s="535"/>
      <c r="AI158" s="558"/>
      <c r="AL158" s="535"/>
      <c r="AP158" s="535"/>
    </row>
    <row r="159">
      <c r="A159" s="552"/>
      <c r="B159" s="552"/>
      <c r="C159" t="str">
        <f>Filtered!I149</f>
        <v>Scientific Reports</v>
      </c>
      <c r="D159" t="str">
        <f>Filtered!J149</f>
        <v>Life Sciences &amp; Earth Sciences</v>
      </c>
      <c r="E159" t="str">
        <f>Filtered!AH149</f>
        <v>Any</v>
      </c>
      <c r="F159" t="b">
        <f t="shared" si="10"/>
        <v>0</v>
      </c>
      <c r="G159" t="b">
        <f t="shared" si="11"/>
        <v>0</v>
      </c>
      <c r="H159" t="b">
        <f t="shared" si="12"/>
        <v>0</v>
      </c>
      <c r="I159" t="b">
        <f t="shared" si="13"/>
        <v>0</v>
      </c>
      <c r="J159" t="b">
        <f t="shared" si="14"/>
        <v>0</v>
      </c>
      <c r="K159" t="b">
        <f t="shared" si="15"/>
        <v>1</v>
      </c>
      <c r="L159" t="b">
        <f t="shared" si="16"/>
        <v>0</v>
      </c>
      <c r="M159" t="b">
        <f t="shared" si="17"/>
        <v>0</v>
      </c>
      <c r="N159" s="535"/>
      <c r="O159" s="558"/>
      <c r="R159" s="535"/>
      <c r="S159" s="558"/>
      <c r="V159" s="535"/>
      <c r="W159" s="558"/>
      <c r="Z159" s="535"/>
      <c r="AA159" s="558"/>
      <c r="AD159" s="535"/>
      <c r="AE159" s="558"/>
      <c r="AH159" s="535"/>
      <c r="AI159" s="558"/>
      <c r="AL159" s="535"/>
      <c r="AP159" s="535"/>
    </row>
    <row r="160">
      <c r="A160" s="552"/>
      <c r="B160" s="552"/>
      <c r="C160" t="str">
        <f>Filtered!I150</f>
        <v>Social Science &amp; Medicine</v>
      </c>
      <c r="D160" t="str">
        <f>Filtered!J150</f>
        <v>Social Sciences</v>
      </c>
      <c r="E160" t="str">
        <f>Filtered!AH150</f>
        <v>First submission only</v>
      </c>
      <c r="F160" t="b">
        <f t="shared" si="10"/>
        <v>0</v>
      </c>
      <c r="G160" t="b">
        <f t="shared" si="11"/>
        <v>0</v>
      </c>
      <c r="H160" t="b">
        <f t="shared" si="12"/>
        <v>0</v>
      </c>
      <c r="I160" t="b">
        <f t="shared" si="13"/>
        <v>0</v>
      </c>
      <c r="J160" t="b">
        <f t="shared" si="14"/>
        <v>0</v>
      </c>
      <c r="K160" t="b">
        <f t="shared" si="15"/>
        <v>0</v>
      </c>
      <c r="L160" t="b">
        <f t="shared" si="16"/>
        <v>0</v>
      </c>
      <c r="M160" t="b">
        <f t="shared" si="17"/>
        <v>1</v>
      </c>
      <c r="N160" s="535"/>
      <c r="O160" s="558"/>
      <c r="R160" s="535"/>
      <c r="S160" s="558"/>
      <c r="V160" s="535"/>
      <c r="W160" s="558"/>
      <c r="Z160" s="535"/>
      <c r="AA160" s="558"/>
      <c r="AD160" s="535"/>
      <c r="AE160" s="558"/>
      <c r="AH160" s="535"/>
      <c r="AI160" s="558"/>
      <c r="AL160" s="535"/>
      <c r="AP160" s="535"/>
    </row>
    <row r="161">
      <c r="A161" s="552"/>
      <c r="B161" s="552"/>
      <c r="C161" t="str">
        <f>Filtered!I151</f>
        <v>Strategic Management Journal</v>
      </c>
      <c r="D161" t="str">
        <f>Filtered!J151</f>
        <v>Business, Economics &amp; Management</v>
      </c>
      <c r="E161" t="str">
        <f>Filtered!AH151</f>
        <v>No preprint policy</v>
      </c>
      <c r="F161" t="b">
        <f t="shared" si="10"/>
        <v>1</v>
      </c>
      <c r="G161" t="b">
        <f t="shared" si="11"/>
        <v>0</v>
      </c>
      <c r="H161" t="b">
        <f t="shared" si="12"/>
        <v>0</v>
      </c>
      <c r="I161" t="b">
        <f t="shared" si="13"/>
        <v>0</v>
      </c>
      <c r="J161" t="b">
        <f t="shared" si="14"/>
        <v>0</v>
      </c>
      <c r="K161" t="b">
        <f t="shared" si="15"/>
        <v>0</v>
      </c>
      <c r="L161" t="b">
        <f t="shared" si="16"/>
        <v>0</v>
      </c>
      <c r="M161" t="b">
        <f t="shared" si="17"/>
        <v>0</v>
      </c>
      <c r="N161" s="535"/>
      <c r="O161" s="558"/>
      <c r="R161" s="535"/>
      <c r="S161" s="558"/>
      <c r="V161" s="535"/>
      <c r="W161" s="558"/>
      <c r="Z161" s="535"/>
      <c r="AA161" s="558"/>
      <c r="AD161" s="535"/>
      <c r="AE161" s="558"/>
      <c r="AH161" s="535"/>
      <c r="AI161" s="558"/>
      <c r="AL161" s="535"/>
      <c r="AP161" s="535"/>
    </row>
    <row r="162">
      <c r="A162" s="552"/>
      <c r="B162" s="552"/>
      <c r="C162" t="str">
        <f>Filtered!I152</f>
        <v>Synthese</v>
      </c>
      <c r="D162" t="str">
        <f>Filtered!J152</f>
        <v>Humanities, Literature &amp; Arts</v>
      </c>
      <c r="E162" t="str">
        <f>Filtered!AH152</f>
        <v>No preprint policy</v>
      </c>
      <c r="F162" t="b">
        <f t="shared" si="10"/>
        <v>0</v>
      </c>
      <c r="G162" t="b">
        <f t="shared" si="11"/>
        <v>0</v>
      </c>
      <c r="H162" t="b">
        <f t="shared" si="12"/>
        <v>0</v>
      </c>
      <c r="I162" t="b">
        <f t="shared" si="13"/>
        <v>0</v>
      </c>
      <c r="J162" t="b">
        <f t="shared" si="14"/>
        <v>1</v>
      </c>
      <c r="K162" t="b">
        <f t="shared" si="15"/>
        <v>0</v>
      </c>
      <c r="L162" t="b">
        <f t="shared" si="16"/>
        <v>0</v>
      </c>
      <c r="M162" t="b">
        <f t="shared" si="17"/>
        <v>0</v>
      </c>
      <c r="N162" s="535"/>
      <c r="O162" s="558"/>
      <c r="R162" s="535"/>
      <c r="S162" s="558"/>
      <c r="V162" s="535"/>
      <c r="W162" s="558"/>
      <c r="Z162" s="535"/>
      <c r="AA162" s="558"/>
      <c r="AD162" s="535"/>
      <c r="AE162" s="558"/>
      <c r="AH162" s="535"/>
      <c r="AI162" s="558"/>
      <c r="AL162" s="535"/>
      <c r="AP162" s="535"/>
    </row>
    <row r="163">
      <c r="A163" s="552"/>
      <c r="B163" s="552"/>
      <c r="C163" t="str">
        <f>Filtered!I153</f>
        <v>System</v>
      </c>
      <c r="D163" t="str">
        <f>Filtered!J153</f>
        <v>Humanities, Literature &amp; Arts</v>
      </c>
      <c r="E163" t="str">
        <f>Filtered!AH153</f>
        <v>No preprint policy</v>
      </c>
      <c r="F163" t="b">
        <f t="shared" si="10"/>
        <v>0</v>
      </c>
      <c r="G163" t="b">
        <f t="shared" si="11"/>
        <v>0</v>
      </c>
      <c r="H163" t="b">
        <f t="shared" si="12"/>
        <v>0</v>
      </c>
      <c r="I163" t="b">
        <f t="shared" si="13"/>
        <v>0</v>
      </c>
      <c r="J163" t="b">
        <f t="shared" si="14"/>
        <v>1</v>
      </c>
      <c r="K163" t="b">
        <f t="shared" si="15"/>
        <v>0</v>
      </c>
      <c r="L163" t="b">
        <f t="shared" si="16"/>
        <v>0</v>
      </c>
      <c r="M163" t="b">
        <f t="shared" si="17"/>
        <v>0</v>
      </c>
      <c r="N163" s="535"/>
      <c r="O163" s="558"/>
      <c r="R163" s="535"/>
      <c r="S163" s="558"/>
      <c r="V163" s="535"/>
      <c r="W163" s="558"/>
      <c r="Z163" s="535"/>
      <c r="AA163" s="558"/>
      <c r="AD163" s="535"/>
      <c r="AE163" s="558"/>
      <c r="AH163" s="535"/>
      <c r="AI163" s="558"/>
      <c r="AL163" s="535"/>
      <c r="AP163" s="535"/>
    </row>
    <row r="164">
      <c r="A164" s="552"/>
      <c r="B164" s="552"/>
      <c r="C164" t="str">
        <f>Filtered!I154</f>
        <v>Teaching and Teacher Education</v>
      </c>
      <c r="D164" t="str">
        <f>Filtered!J154</f>
        <v>Social Sciences</v>
      </c>
      <c r="E164" t="str">
        <f>Filtered!AH154</f>
        <v>First submission only</v>
      </c>
      <c r="F164" t="b">
        <f t="shared" si="10"/>
        <v>0</v>
      </c>
      <c r="G164" t="b">
        <f t="shared" si="11"/>
        <v>0</v>
      </c>
      <c r="H164" t="b">
        <f t="shared" si="12"/>
        <v>0</v>
      </c>
      <c r="I164" t="b">
        <f t="shared" si="13"/>
        <v>0</v>
      </c>
      <c r="J164" t="b">
        <f t="shared" si="14"/>
        <v>0</v>
      </c>
      <c r="K164" t="b">
        <f t="shared" si="15"/>
        <v>0</v>
      </c>
      <c r="L164" t="b">
        <f t="shared" si="16"/>
        <v>0</v>
      </c>
      <c r="M164" t="b">
        <f t="shared" si="17"/>
        <v>1</v>
      </c>
      <c r="N164" s="535"/>
      <c r="O164" s="558"/>
      <c r="R164" s="535"/>
      <c r="S164" s="558"/>
      <c r="V164" s="535"/>
      <c r="W164" s="558"/>
      <c r="Z164" s="535"/>
      <c r="AA164" s="558"/>
      <c r="AD164" s="535"/>
      <c r="AE164" s="558"/>
      <c r="AH164" s="535"/>
      <c r="AI164" s="558"/>
      <c r="AL164" s="535"/>
      <c r="AP164" s="535"/>
    </row>
    <row r="165">
      <c r="A165" s="552"/>
      <c r="B165" s="552"/>
      <c r="C165" t="str">
        <f>Filtered!I155</f>
        <v>TESOL Quarterly</v>
      </c>
      <c r="D165" t="str">
        <f>Filtered!J155</f>
        <v>Humanities, Literature &amp; Arts</v>
      </c>
      <c r="E165" t="str">
        <f>Filtered!AH155</f>
        <v>No preprint policy</v>
      </c>
      <c r="F165" t="b">
        <f t="shared" si="10"/>
        <v>0</v>
      </c>
      <c r="G165" t="b">
        <f t="shared" si="11"/>
        <v>0</v>
      </c>
      <c r="H165" t="b">
        <f t="shared" si="12"/>
        <v>0</v>
      </c>
      <c r="I165" t="b">
        <f t="shared" si="13"/>
        <v>0</v>
      </c>
      <c r="J165" t="b">
        <f t="shared" si="14"/>
        <v>1</v>
      </c>
      <c r="K165" t="b">
        <f t="shared" si="15"/>
        <v>0</v>
      </c>
      <c r="L165" t="b">
        <f t="shared" si="16"/>
        <v>0</v>
      </c>
      <c r="M165" t="b">
        <f t="shared" si="17"/>
        <v>0</v>
      </c>
      <c r="N165" s="535"/>
      <c r="O165" s="558"/>
      <c r="R165" s="535"/>
      <c r="S165" s="558"/>
      <c r="V165" s="535"/>
      <c r="W165" s="558"/>
      <c r="Z165" s="535"/>
      <c r="AA165" s="558"/>
      <c r="AD165" s="535"/>
      <c r="AE165" s="558"/>
      <c r="AH165" s="535"/>
      <c r="AI165" s="558"/>
      <c r="AL165" s="535"/>
      <c r="AP165" s="535"/>
    </row>
    <row r="166">
      <c r="A166" s="552"/>
      <c r="B166" s="552"/>
      <c r="C166" t="str">
        <f>Filtered!I156</f>
        <v>The Astrophysical Journal</v>
      </c>
      <c r="D166" t="str">
        <f>Filtered!J156</f>
        <v>Physics &amp; Mathematics</v>
      </c>
      <c r="E166" t="str">
        <f>Filtered!AH156</f>
        <v>No preprint policy</v>
      </c>
      <c r="F166" t="b">
        <f t="shared" si="10"/>
        <v>0</v>
      </c>
      <c r="G166" t="b">
        <f t="shared" si="11"/>
        <v>0</v>
      </c>
      <c r="H166" t="b">
        <f t="shared" si="12"/>
        <v>0</v>
      </c>
      <c r="I166" t="b">
        <f t="shared" si="13"/>
        <v>0</v>
      </c>
      <c r="J166" t="b">
        <f t="shared" si="14"/>
        <v>0</v>
      </c>
      <c r="K166" t="b">
        <f t="shared" si="15"/>
        <v>0</v>
      </c>
      <c r="L166" t="b">
        <f t="shared" si="16"/>
        <v>1</v>
      </c>
      <c r="M166" t="b">
        <f t="shared" si="17"/>
        <v>0</v>
      </c>
      <c r="N166" s="535"/>
      <c r="O166" s="558"/>
      <c r="R166" s="535"/>
      <c r="S166" s="558"/>
      <c r="V166" s="535"/>
      <c r="W166" s="558"/>
      <c r="Z166" s="535"/>
      <c r="AA166" s="558"/>
      <c r="AD166" s="535"/>
      <c r="AE166" s="558"/>
      <c r="AH166" s="535"/>
      <c r="AI166" s="558"/>
      <c r="AL166" s="535"/>
      <c r="AP166" s="535"/>
    </row>
    <row r="167">
      <c r="A167" s="552"/>
      <c r="B167" s="552"/>
      <c r="C167" t="str">
        <f>Filtered!I157</f>
        <v>The China Quarterly</v>
      </c>
      <c r="D167" t="str">
        <f>Filtered!J157</f>
        <v>Humanities, Literature &amp; Arts</v>
      </c>
      <c r="E167" t="str">
        <f>Filtered!AH157</f>
        <v>No preprint policy</v>
      </c>
      <c r="F167" t="b">
        <f t="shared" si="10"/>
        <v>0</v>
      </c>
      <c r="G167" t="b">
        <f t="shared" si="11"/>
        <v>0</v>
      </c>
      <c r="H167" t="b">
        <f t="shared" si="12"/>
        <v>0</v>
      </c>
      <c r="I167" t="b">
        <f t="shared" si="13"/>
        <v>0</v>
      </c>
      <c r="J167" t="b">
        <f t="shared" si="14"/>
        <v>1</v>
      </c>
      <c r="K167" t="b">
        <f t="shared" si="15"/>
        <v>0</v>
      </c>
      <c r="L167" t="b">
        <f t="shared" si="16"/>
        <v>0</v>
      </c>
      <c r="M167" t="b">
        <f t="shared" si="17"/>
        <v>0</v>
      </c>
      <c r="N167" s="535"/>
      <c r="O167" s="558"/>
      <c r="R167" s="535"/>
      <c r="S167" s="558"/>
      <c r="V167" s="535"/>
      <c r="W167" s="558"/>
      <c r="Z167" s="535"/>
      <c r="AA167" s="558"/>
      <c r="AD167" s="535"/>
      <c r="AE167" s="558"/>
      <c r="AH167" s="535"/>
      <c r="AI167" s="558"/>
      <c r="AL167" s="535"/>
      <c r="AP167" s="535"/>
    </row>
    <row r="168">
      <c r="A168" s="552"/>
      <c r="B168" s="552"/>
      <c r="C168" t="str">
        <f>Filtered!I158</f>
        <v>The Cochrane Database of Systematic Reviews</v>
      </c>
      <c r="D168" t="str">
        <f>Filtered!J158</f>
        <v>Health &amp; Medical Sciences</v>
      </c>
      <c r="E168" t="str">
        <f>Filtered!AH158</f>
        <v>No preprint policy</v>
      </c>
      <c r="F168" t="b">
        <f t="shared" si="10"/>
        <v>0</v>
      </c>
      <c r="G168" t="b">
        <f t="shared" si="11"/>
        <v>0</v>
      </c>
      <c r="H168" t="b">
        <f t="shared" si="12"/>
        <v>0</v>
      </c>
      <c r="I168" t="b">
        <f t="shared" si="13"/>
        <v>1</v>
      </c>
      <c r="J168" t="b">
        <f t="shared" si="14"/>
        <v>0</v>
      </c>
      <c r="K168" t="b">
        <f t="shared" si="15"/>
        <v>0</v>
      </c>
      <c r="L168" t="b">
        <f t="shared" si="16"/>
        <v>0</v>
      </c>
      <c r="M168" t="b">
        <f t="shared" si="17"/>
        <v>0</v>
      </c>
      <c r="N168" s="535"/>
      <c r="O168" s="558"/>
      <c r="R168" s="535"/>
      <c r="S168" s="558"/>
      <c r="V168" s="535"/>
      <c r="W168" s="558"/>
      <c r="Z168" s="535"/>
      <c r="AA168" s="558"/>
      <c r="AD168" s="535"/>
      <c r="AE168" s="558"/>
      <c r="AH168" s="535"/>
      <c r="AI168" s="558"/>
      <c r="AL168" s="535"/>
      <c r="AP168" s="535"/>
    </row>
    <row r="169">
      <c r="A169" s="552"/>
      <c r="B169" s="552"/>
      <c r="C169" t="str">
        <f>Filtered!I159</f>
        <v>The European Physical Journal C</v>
      </c>
      <c r="D169" t="str">
        <f>Filtered!J159</f>
        <v>Physics &amp; Mathematics</v>
      </c>
      <c r="E169" t="str">
        <f>Filtered!AH159</f>
        <v>Any (OA) or After peer review (non-OA)</v>
      </c>
      <c r="F169" t="b">
        <f t="shared" si="10"/>
        <v>0</v>
      </c>
      <c r="G169" t="b">
        <f t="shared" si="11"/>
        <v>0</v>
      </c>
      <c r="H169" t="b">
        <f t="shared" si="12"/>
        <v>0</v>
      </c>
      <c r="I169" t="b">
        <f t="shared" si="13"/>
        <v>0</v>
      </c>
      <c r="J169" t="b">
        <f t="shared" si="14"/>
        <v>0</v>
      </c>
      <c r="K169" t="b">
        <f t="shared" si="15"/>
        <v>0</v>
      </c>
      <c r="L169" t="b">
        <f t="shared" si="16"/>
        <v>1</v>
      </c>
      <c r="M169" t="b">
        <f t="shared" si="17"/>
        <v>0</v>
      </c>
      <c r="N169" s="535"/>
      <c r="O169" s="558"/>
      <c r="R169" s="535"/>
      <c r="S169" s="558"/>
      <c r="V169" s="535"/>
      <c r="W169" s="558"/>
      <c r="Z169" s="535"/>
      <c r="AA169" s="558"/>
      <c r="AD169" s="535"/>
      <c r="AE169" s="558"/>
      <c r="AH169" s="535"/>
      <c r="AI169" s="558"/>
      <c r="AL169" s="535"/>
      <c r="AP169" s="535"/>
    </row>
    <row r="170">
      <c r="A170" s="552"/>
      <c r="B170" s="552"/>
      <c r="C170" t="str">
        <f>Filtered!I160</f>
        <v>The Journal of Clinical Investigation</v>
      </c>
      <c r="D170" t="str">
        <f>Filtered!J160</f>
        <v/>
      </c>
      <c r="E170" t="str">
        <f>Filtered!AH160</f>
        <v>Unsure</v>
      </c>
      <c r="F170" t="b">
        <f t="shared" si="10"/>
        <v>0</v>
      </c>
      <c r="G170" t="b">
        <f t="shared" si="11"/>
        <v>0</v>
      </c>
      <c r="H170" t="b">
        <f t="shared" si="12"/>
        <v>0</v>
      </c>
      <c r="I170" t="b">
        <f t="shared" si="13"/>
        <v>0</v>
      </c>
      <c r="J170" t="b">
        <f t="shared" si="14"/>
        <v>0</v>
      </c>
      <c r="K170" t="b">
        <f t="shared" si="15"/>
        <v>0</v>
      </c>
      <c r="L170" t="b">
        <f t="shared" si="16"/>
        <v>0</v>
      </c>
      <c r="M170" t="b">
        <f t="shared" si="17"/>
        <v>0</v>
      </c>
      <c r="N170" s="535"/>
      <c r="O170" s="558"/>
      <c r="R170" s="535"/>
      <c r="S170" s="558"/>
      <c r="V170" s="535"/>
      <c r="W170" s="558"/>
      <c r="Z170" s="535"/>
      <c r="AA170" s="558"/>
      <c r="AD170" s="535"/>
      <c r="AE170" s="558"/>
      <c r="AH170" s="535"/>
      <c r="AI170" s="558"/>
      <c r="AL170" s="535"/>
      <c r="AP170" s="535"/>
    </row>
    <row r="171">
      <c r="A171" s="552"/>
      <c r="B171" s="552"/>
      <c r="C171" t="str">
        <f>Filtered!I161</f>
        <v>The Journal of Finance</v>
      </c>
      <c r="D171" t="str">
        <f>Filtered!J161</f>
        <v>Business, Economics &amp; Management</v>
      </c>
      <c r="E171" t="str">
        <f>Filtered!AH161</f>
        <v>None "All submitted manuscripts must be; (i) original, (ii) unpublished (including any
 online publication), "</v>
      </c>
      <c r="F171" t="b">
        <f t="shared" si="10"/>
        <v>1</v>
      </c>
      <c r="G171" t="b">
        <f t="shared" si="11"/>
        <v>0</v>
      </c>
      <c r="H171" t="b">
        <f t="shared" si="12"/>
        <v>0</v>
      </c>
      <c r="I171" t="b">
        <f t="shared" si="13"/>
        <v>0</v>
      </c>
      <c r="J171" t="b">
        <f t="shared" si="14"/>
        <v>0</v>
      </c>
      <c r="K171" t="b">
        <f t="shared" si="15"/>
        <v>0</v>
      </c>
      <c r="L171" t="b">
        <f t="shared" si="16"/>
        <v>0</v>
      </c>
      <c r="M171" t="b">
        <f t="shared" si="17"/>
        <v>0</v>
      </c>
      <c r="N171" s="535"/>
      <c r="O171" s="558"/>
      <c r="R171" s="535"/>
      <c r="S171" s="558"/>
      <c r="V171" s="535"/>
      <c r="W171" s="558"/>
      <c r="Z171" s="535"/>
      <c r="AA171" s="558"/>
      <c r="AD171" s="535"/>
      <c r="AE171" s="558"/>
      <c r="AH171" s="535"/>
      <c r="AI171" s="558"/>
      <c r="AL171" s="535"/>
      <c r="AP171" s="535"/>
    </row>
    <row r="172">
      <c r="A172" s="552"/>
      <c r="B172" s="552"/>
      <c r="C172" t="str">
        <f>Filtered!I162</f>
        <v>The Journal of Physical Chemistry Letters</v>
      </c>
      <c r="D172" t="str">
        <f>Filtered!J162</f>
        <v>Physics &amp; Mathematics, Chemical &amp; Materials Sciences</v>
      </c>
      <c r="E172" t="str">
        <f>Filtered!AH162</f>
        <v>First submission only</v>
      </c>
      <c r="F172" t="b">
        <f t="shared" si="10"/>
        <v>0</v>
      </c>
      <c r="G172" t="b">
        <f t="shared" si="11"/>
        <v>1</v>
      </c>
      <c r="H172" t="b">
        <f t="shared" si="12"/>
        <v>0</v>
      </c>
      <c r="I172" t="b">
        <f t="shared" si="13"/>
        <v>0</v>
      </c>
      <c r="J172" t="b">
        <f t="shared" si="14"/>
        <v>0</v>
      </c>
      <c r="K172" t="b">
        <f t="shared" si="15"/>
        <v>0</v>
      </c>
      <c r="L172" t="b">
        <f t="shared" si="16"/>
        <v>1</v>
      </c>
      <c r="M172" t="b">
        <f t="shared" si="17"/>
        <v>0</v>
      </c>
      <c r="N172" s="535"/>
      <c r="O172" s="558"/>
      <c r="R172" s="535"/>
      <c r="S172" s="558"/>
      <c r="V172" s="535"/>
      <c r="W172" s="558"/>
      <c r="Z172" s="535"/>
      <c r="AA172" s="558"/>
      <c r="AD172" s="535"/>
      <c r="AE172" s="558"/>
      <c r="AH172" s="535"/>
      <c r="AI172" s="558"/>
      <c r="AL172" s="535"/>
      <c r="AP172" s="535"/>
    </row>
    <row r="173">
      <c r="A173" s="552"/>
      <c r="B173" s="552"/>
      <c r="C173" t="str">
        <f>Filtered!I163</f>
        <v>The Lancet</v>
      </c>
      <c r="D173" t="str">
        <f>Filtered!J163</f>
        <v>Health &amp; Medical Sciences</v>
      </c>
      <c r="E173" t="str">
        <f>Filtered!AH163</f>
        <v>Unsure</v>
      </c>
      <c r="F173" t="b">
        <f t="shared" si="10"/>
        <v>0</v>
      </c>
      <c r="G173" t="b">
        <f t="shared" si="11"/>
        <v>0</v>
      </c>
      <c r="H173" t="b">
        <f t="shared" si="12"/>
        <v>0</v>
      </c>
      <c r="I173" t="b">
        <f t="shared" si="13"/>
        <v>1</v>
      </c>
      <c r="J173" t="b">
        <f t="shared" si="14"/>
        <v>0</v>
      </c>
      <c r="K173" t="b">
        <f t="shared" si="15"/>
        <v>0</v>
      </c>
      <c r="L173" t="b">
        <f t="shared" si="16"/>
        <v>0</v>
      </c>
      <c r="M173" t="b">
        <f t="shared" si="17"/>
        <v>0</v>
      </c>
      <c r="N173" s="535"/>
      <c r="O173" s="558"/>
      <c r="R173" s="535"/>
      <c r="S173" s="558"/>
      <c r="V173" s="535"/>
      <c r="W173" s="558"/>
      <c r="Z173" s="535"/>
      <c r="AA173" s="558"/>
      <c r="AD173" s="535"/>
      <c r="AE173" s="558"/>
      <c r="AH173" s="535"/>
      <c r="AI173" s="558"/>
      <c r="AL173" s="535"/>
      <c r="AP173" s="535"/>
    </row>
    <row r="174">
      <c r="A174" s="552"/>
      <c r="B174" s="552"/>
      <c r="C174" t="str">
        <f>Filtered!I164</f>
        <v>The Lancet Neurology</v>
      </c>
      <c r="D174" t="str">
        <f>Filtered!J164</f>
        <v/>
      </c>
      <c r="E174" t="str">
        <f>Filtered!AH164</f>
        <v>Unsure</v>
      </c>
      <c r="F174" t="b">
        <f t="shared" si="10"/>
        <v>0</v>
      </c>
      <c r="G174" t="b">
        <f t="shared" si="11"/>
        <v>0</v>
      </c>
      <c r="H174" t="b">
        <f t="shared" si="12"/>
        <v>0</v>
      </c>
      <c r="I174" t="b">
        <f t="shared" si="13"/>
        <v>0</v>
      </c>
      <c r="J174" t="b">
        <f t="shared" si="14"/>
        <v>0</v>
      </c>
      <c r="K174" t="b">
        <f t="shared" si="15"/>
        <v>0</v>
      </c>
      <c r="L174" t="b">
        <f t="shared" si="16"/>
        <v>0</v>
      </c>
      <c r="M174" t="b">
        <f t="shared" si="17"/>
        <v>0</v>
      </c>
      <c r="N174" s="535"/>
      <c r="O174" s="558"/>
      <c r="R174" s="535"/>
      <c r="S174" s="558"/>
      <c r="V174" s="535"/>
      <c r="W174" s="558"/>
      <c r="Z174" s="535"/>
      <c r="AA174" s="558"/>
      <c r="AD174" s="535"/>
      <c r="AE174" s="558"/>
      <c r="AH174" s="535"/>
      <c r="AI174" s="558"/>
      <c r="AL174" s="535"/>
      <c r="AP174" s="535"/>
    </row>
    <row r="175">
      <c r="A175" s="552"/>
      <c r="B175" s="552"/>
      <c r="C175" t="str">
        <f>Filtered!I165</f>
        <v>The Lancet Oncology</v>
      </c>
      <c r="D175" t="str">
        <f>Filtered!J165</f>
        <v>Health &amp; Medical Sciences</v>
      </c>
      <c r="E175" t="str">
        <f>Filtered!AH165</f>
        <v>First submission only</v>
      </c>
      <c r="F175" t="b">
        <f t="shared" si="10"/>
        <v>0</v>
      </c>
      <c r="G175" t="b">
        <f t="shared" si="11"/>
        <v>0</v>
      </c>
      <c r="H175" t="b">
        <f t="shared" si="12"/>
        <v>0</v>
      </c>
      <c r="I175" t="b">
        <f t="shared" si="13"/>
        <v>1</v>
      </c>
      <c r="J175" t="b">
        <f t="shared" si="14"/>
        <v>0</v>
      </c>
      <c r="K175" t="b">
        <f t="shared" si="15"/>
        <v>0</v>
      </c>
      <c r="L175" t="b">
        <f t="shared" si="16"/>
        <v>0</v>
      </c>
      <c r="M175" t="b">
        <f t="shared" si="17"/>
        <v>0</v>
      </c>
      <c r="N175" s="535"/>
      <c r="O175" s="558"/>
      <c r="R175" s="535"/>
      <c r="S175" s="558"/>
      <c r="V175" s="535"/>
      <c r="W175" s="558"/>
      <c r="Z175" s="535"/>
      <c r="AA175" s="558"/>
      <c r="AD175" s="535"/>
      <c r="AE175" s="558"/>
      <c r="AH175" s="535"/>
      <c r="AI175" s="558"/>
      <c r="AL175" s="535"/>
      <c r="AP175" s="535"/>
    </row>
    <row r="176">
      <c r="A176" s="552"/>
      <c r="B176" s="552"/>
      <c r="C176" t="str">
        <f>Filtered!I166</f>
        <v>The Modern Language Journal</v>
      </c>
      <c r="D176" t="str">
        <f>Filtered!J166</f>
        <v>Humanities, Literature &amp; Arts</v>
      </c>
      <c r="E176" t="str">
        <f>Filtered!AH166</f>
        <v>No preprint policy</v>
      </c>
      <c r="F176" t="b">
        <f t="shared" si="10"/>
        <v>0</v>
      </c>
      <c r="G176" t="b">
        <f t="shared" si="11"/>
        <v>0</v>
      </c>
      <c r="H176" t="b">
        <f t="shared" si="12"/>
        <v>0</v>
      </c>
      <c r="I176" t="b">
        <f t="shared" si="13"/>
        <v>0</v>
      </c>
      <c r="J176" t="b">
        <f t="shared" si="14"/>
        <v>1</v>
      </c>
      <c r="K176" t="b">
        <f t="shared" si="15"/>
        <v>0</v>
      </c>
      <c r="L176" t="b">
        <f t="shared" si="16"/>
        <v>0</v>
      </c>
      <c r="M176" t="b">
        <f t="shared" si="17"/>
        <v>0</v>
      </c>
      <c r="N176" s="535"/>
      <c r="O176" s="558"/>
      <c r="R176" s="535"/>
      <c r="S176" s="558"/>
      <c r="V176" s="535"/>
      <c r="W176" s="558"/>
      <c r="Z176" s="535"/>
      <c r="AA176" s="558"/>
      <c r="AD176" s="535"/>
      <c r="AE176" s="558"/>
      <c r="AH176" s="535"/>
      <c r="AI176" s="558"/>
      <c r="AL176" s="535"/>
      <c r="AP176" s="535"/>
    </row>
    <row r="177">
      <c r="A177" s="552"/>
      <c r="B177" s="552"/>
      <c r="C177" t="str">
        <f>Filtered!I167</f>
        <v>The New England Journal of Medicine</v>
      </c>
      <c r="D177" t="str">
        <f>Filtered!J167</f>
        <v>Health &amp; Medical Sciences</v>
      </c>
      <c r="E177" t="str">
        <f>Filtered!AH167</f>
        <v>None (preprints not allowed)</v>
      </c>
      <c r="F177" t="b">
        <f t="shared" si="10"/>
        <v>0</v>
      </c>
      <c r="G177" t="b">
        <f t="shared" si="11"/>
        <v>0</v>
      </c>
      <c r="H177" t="b">
        <f t="shared" si="12"/>
        <v>0</v>
      </c>
      <c r="I177" t="b">
        <f t="shared" si="13"/>
        <v>1</v>
      </c>
      <c r="J177" t="b">
        <f t="shared" si="14"/>
        <v>0</v>
      </c>
      <c r="K177" t="b">
        <f t="shared" si="15"/>
        <v>0</v>
      </c>
      <c r="L177" t="b">
        <f t="shared" si="16"/>
        <v>0</v>
      </c>
      <c r="M177" t="b">
        <f t="shared" si="17"/>
        <v>0</v>
      </c>
      <c r="N177" s="535"/>
      <c r="O177" s="558"/>
      <c r="R177" s="535"/>
      <c r="S177" s="558"/>
      <c r="V177" s="535"/>
      <c r="W177" s="558"/>
      <c r="Z177" s="535"/>
      <c r="AA177" s="558"/>
      <c r="AD177" s="535"/>
      <c r="AE177" s="558"/>
      <c r="AH177" s="535"/>
      <c r="AI177" s="558"/>
      <c r="AL177" s="535"/>
      <c r="AP177" s="535"/>
    </row>
    <row r="178">
      <c r="A178" s="552"/>
      <c r="B178" s="552"/>
      <c r="C178" t="str">
        <f>Filtered!I168</f>
        <v>The Quarterly Journal of Economics</v>
      </c>
      <c r="D178" t="str">
        <f>Filtered!J168</f>
        <v>Business, Economics &amp; Management</v>
      </c>
      <c r="E178" t="str">
        <f>Filtered!AH168</f>
        <v>First submission only (before peer review)</v>
      </c>
      <c r="F178" t="b">
        <f t="shared" si="10"/>
        <v>1</v>
      </c>
      <c r="G178" t="b">
        <f t="shared" si="11"/>
        <v>0</v>
      </c>
      <c r="H178" t="b">
        <f t="shared" si="12"/>
        <v>0</v>
      </c>
      <c r="I178" t="b">
        <f t="shared" si="13"/>
        <v>0</v>
      </c>
      <c r="J178" t="b">
        <f t="shared" si="14"/>
        <v>0</v>
      </c>
      <c r="K178" t="b">
        <f t="shared" si="15"/>
        <v>0</v>
      </c>
      <c r="L178" t="b">
        <f t="shared" si="16"/>
        <v>0</v>
      </c>
      <c r="M178" t="b">
        <f t="shared" si="17"/>
        <v>0</v>
      </c>
      <c r="N178" s="535"/>
      <c r="O178" s="558"/>
      <c r="R178" s="535"/>
      <c r="S178" s="558"/>
      <c r="V178" s="535"/>
      <c r="W178" s="558"/>
      <c r="Z178" s="535"/>
      <c r="AA178" s="558"/>
      <c r="AD178" s="535"/>
      <c r="AE178" s="558"/>
      <c r="AH178" s="535"/>
      <c r="AI178" s="558"/>
      <c r="AL178" s="535"/>
      <c r="AP178" s="535"/>
    </row>
    <row r="179">
      <c r="A179" s="552"/>
      <c r="B179" s="552"/>
      <c r="C179" t="str">
        <f>Filtered!I169</f>
        <v>The Review of Economic Studies</v>
      </c>
      <c r="D179" t="str">
        <f>Filtered!J169</f>
        <v>Business, Economics &amp; Management</v>
      </c>
      <c r="E179" t="str">
        <f>Filtered!AH169</f>
        <v>First submission only (before peer review)</v>
      </c>
      <c r="F179" t="b">
        <f t="shared" si="10"/>
        <v>1</v>
      </c>
      <c r="G179" t="b">
        <f t="shared" si="11"/>
        <v>0</v>
      </c>
      <c r="H179" t="b">
        <f t="shared" si="12"/>
        <v>0</v>
      </c>
      <c r="I179" t="b">
        <f t="shared" si="13"/>
        <v>0</v>
      </c>
      <c r="J179" t="b">
        <f t="shared" si="14"/>
        <v>0</v>
      </c>
      <c r="K179" t="b">
        <f t="shared" si="15"/>
        <v>0</v>
      </c>
      <c r="L179" t="b">
        <f t="shared" si="16"/>
        <v>0</v>
      </c>
      <c r="M179" t="b">
        <f t="shared" si="17"/>
        <v>0</v>
      </c>
      <c r="N179" s="535"/>
      <c r="O179" s="558"/>
      <c r="R179" s="535"/>
      <c r="S179" s="558"/>
      <c r="V179" s="535"/>
      <c r="W179" s="558"/>
      <c r="Z179" s="535"/>
      <c r="AA179" s="558"/>
      <c r="AD179" s="535"/>
      <c r="AE179" s="558"/>
      <c r="AH179" s="535"/>
      <c r="AI179" s="558"/>
      <c r="AL179" s="535"/>
      <c r="AP179" s="535"/>
    </row>
    <row r="180">
      <c r="A180" s="552"/>
      <c r="B180" s="552"/>
      <c r="C180" t="str">
        <f>Filtered!I170</f>
        <v>The Review of Financial Studies</v>
      </c>
      <c r="D180" t="str">
        <f>Filtered!J170</f>
        <v>Business, Economics &amp; Management</v>
      </c>
      <c r="E180" t="str">
        <f>Filtered!AH170</f>
        <v>After peer review (but not final, copyedited version)</v>
      </c>
      <c r="F180" t="b">
        <f t="shared" si="10"/>
        <v>1</v>
      </c>
      <c r="G180" t="b">
        <f t="shared" si="11"/>
        <v>0</v>
      </c>
      <c r="H180" t="b">
        <f t="shared" si="12"/>
        <v>0</v>
      </c>
      <c r="I180" t="b">
        <f t="shared" si="13"/>
        <v>0</v>
      </c>
      <c r="J180" t="b">
        <f t="shared" si="14"/>
        <v>0</v>
      </c>
      <c r="K180" t="b">
        <f t="shared" si="15"/>
        <v>0</v>
      </c>
      <c r="L180" t="b">
        <f t="shared" si="16"/>
        <v>0</v>
      </c>
      <c r="M180" t="b">
        <f t="shared" si="17"/>
        <v>0</v>
      </c>
      <c r="N180" s="535"/>
      <c r="O180" s="558"/>
      <c r="R180" s="535"/>
      <c r="S180" s="558"/>
      <c r="V180" s="535"/>
      <c r="W180" s="558"/>
      <c r="Z180" s="535"/>
      <c r="AA180" s="558"/>
      <c r="AD180" s="535"/>
      <c r="AE180" s="558"/>
      <c r="AH180" s="535"/>
      <c r="AI180" s="558"/>
      <c r="AL180" s="535"/>
      <c r="AP180" s="535"/>
    </row>
    <row r="181">
      <c r="A181" s="552"/>
      <c r="B181" s="552"/>
      <c r="C181" t="str">
        <f>Filtered!I171</f>
        <v>Tourism Management</v>
      </c>
      <c r="D181" t="str">
        <f>Filtered!J171</f>
        <v>Business, Economics &amp; Management</v>
      </c>
      <c r="E181" t="str">
        <f>Filtered!AH171</f>
        <v>First submission only (before peer review)</v>
      </c>
      <c r="F181" t="b">
        <f t="shared" si="10"/>
        <v>1</v>
      </c>
      <c r="G181" t="b">
        <f t="shared" si="11"/>
        <v>0</v>
      </c>
      <c r="H181" t="b">
        <f t="shared" si="12"/>
        <v>0</v>
      </c>
      <c r="I181" t="b">
        <f t="shared" si="13"/>
        <v>0</v>
      </c>
      <c r="J181" t="b">
        <f t="shared" si="14"/>
        <v>0</v>
      </c>
      <c r="K181" t="b">
        <f t="shared" si="15"/>
        <v>0</v>
      </c>
      <c r="L181" t="b">
        <f t="shared" si="16"/>
        <v>0</v>
      </c>
      <c r="M181" t="b">
        <f t="shared" si="17"/>
        <v>0</v>
      </c>
      <c r="N181" s="535"/>
      <c r="O181" s="558"/>
      <c r="R181" s="535"/>
      <c r="S181" s="558"/>
      <c r="V181" s="535"/>
      <c r="W181" s="558"/>
      <c r="Z181" s="535"/>
      <c r="AA181" s="558"/>
      <c r="AD181" s="535"/>
      <c r="AE181" s="558"/>
      <c r="AH181" s="535"/>
      <c r="AI181" s="558"/>
      <c r="AL181" s="535"/>
      <c r="AP181" s="535"/>
    </row>
    <row r="182">
      <c r="A182" s="552"/>
      <c r="B182" s="552"/>
      <c r="C182" t="str">
        <f>Filtered!I172</f>
        <v>World Development</v>
      </c>
      <c r="D182" t="str">
        <f>Filtered!J172</f>
        <v>Business, Economics &amp; Management</v>
      </c>
      <c r="E182" t="str">
        <f>Filtered!AH172</f>
        <v>Unsure (preprints are allowed, but it's not clear what version)</v>
      </c>
      <c r="F182" t="b">
        <f t="shared" si="10"/>
        <v>1</v>
      </c>
      <c r="G182" t="b">
        <f t="shared" si="11"/>
        <v>0</v>
      </c>
      <c r="H182" t="b">
        <f t="shared" si="12"/>
        <v>0</v>
      </c>
      <c r="I182" t="b">
        <f t="shared" si="13"/>
        <v>0</v>
      </c>
      <c r="J182" t="b">
        <f t="shared" si="14"/>
        <v>0</v>
      </c>
      <c r="K182" t="b">
        <f t="shared" si="15"/>
        <v>0</v>
      </c>
      <c r="L182" t="b">
        <f t="shared" si="16"/>
        <v>0</v>
      </c>
      <c r="M182" t="b">
        <f t="shared" si="17"/>
        <v>0</v>
      </c>
      <c r="N182" s="535"/>
      <c r="O182" s="558"/>
      <c r="R182" s="535"/>
      <c r="S182" s="558"/>
      <c r="V182" s="535"/>
      <c r="W182" s="558"/>
      <c r="Z182" s="535"/>
      <c r="AA182" s="558"/>
      <c r="AD182" s="535"/>
      <c r="AE182" s="558"/>
      <c r="AH182" s="535"/>
      <c r="AI182" s="558"/>
      <c r="AL182" s="535"/>
      <c r="AP182" s="535"/>
    </row>
    <row r="183">
      <c r="A183" s="552"/>
      <c r="B183" s="552"/>
      <c r="C183" t="str">
        <f>Filtered!I173</f>
        <v/>
      </c>
      <c r="D183" t="str">
        <f>Filtered!J173</f>
        <v/>
      </c>
      <c r="E183" t="str">
        <f>Filtered!AH173</f>
        <v/>
      </c>
      <c r="N183" s="535"/>
      <c r="O183" s="558"/>
      <c r="R183" s="535"/>
      <c r="S183" s="558"/>
      <c r="V183" s="535"/>
      <c r="W183" s="558"/>
      <c r="Z183" s="535"/>
      <c r="AA183" s="558"/>
      <c r="AD183" s="535"/>
      <c r="AE183" s="558"/>
      <c r="AH183" s="535"/>
      <c r="AI183" s="558"/>
      <c r="AL183" s="535"/>
      <c r="AP183" s="535"/>
    </row>
    <row r="184">
      <c r="A184" s="552"/>
      <c r="B184" s="552"/>
      <c r="C184" t="str">
        <f>Filtered!I174</f>
        <v/>
      </c>
      <c r="D184" t="str">
        <f>Filtered!J174</f>
        <v/>
      </c>
      <c r="E184" t="str">
        <f>Filtered!AH174</f>
        <v/>
      </c>
      <c r="N184" s="535"/>
      <c r="O184" s="558"/>
      <c r="R184" s="535"/>
      <c r="S184" s="558"/>
      <c r="V184" s="535"/>
      <c r="W184" s="558"/>
      <c r="Z184" s="535"/>
      <c r="AA184" s="558"/>
      <c r="AD184" s="535"/>
      <c r="AE184" s="558"/>
      <c r="AH184" s="535"/>
      <c r="AI184" s="558"/>
      <c r="AL184" s="535"/>
      <c r="AP184" s="535"/>
    </row>
    <row r="185">
      <c r="A185" s="552"/>
      <c r="B185" s="552"/>
      <c r="C185" t="str">
        <f>Filtered!I175</f>
        <v/>
      </c>
      <c r="D185" t="str">
        <f>Filtered!J175</f>
        <v/>
      </c>
      <c r="E185" t="str">
        <f>Filtered!AH175</f>
        <v/>
      </c>
      <c r="N185" s="535"/>
      <c r="O185" s="558"/>
      <c r="R185" s="535"/>
      <c r="S185" s="558"/>
      <c r="V185" s="535"/>
      <c r="W185" s="558"/>
      <c r="Z185" s="535"/>
      <c r="AA185" s="558"/>
      <c r="AD185" s="535"/>
      <c r="AE185" s="558"/>
      <c r="AH185" s="535"/>
      <c r="AI185" s="558"/>
      <c r="AL185" s="535"/>
      <c r="AP185" s="535"/>
    </row>
    <row r="186">
      <c r="A186" s="552"/>
      <c r="B186" s="552"/>
      <c r="C186" t="str">
        <f>Filtered!I176</f>
        <v/>
      </c>
      <c r="D186" t="str">
        <f>Filtered!J176</f>
        <v/>
      </c>
      <c r="E186" t="str">
        <f>Filtered!AH176</f>
        <v/>
      </c>
      <c r="N186" s="535"/>
      <c r="O186" s="558"/>
      <c r="R186" s="535"/>
      <c r="S186" s="558"/>
      <c r="V186" s="535"/>
      <c r="W186" s="558"/>
      <c r="Z186" s="535"/>
      <c r="AA186" s="558"/>
      <c r="AD186" s="535"/>
      <c r="AE186" s="558"/>
      <c r="AH186" s="535"/>
      <c r="AI186" s="558"/>
      <c r="AL186" s="535"/>
      <c r="AP186" s="535"/>
    </row>
    <row r="187">
      <c r="A187" s="552"/>
      <c r="B187" s="552"/>
      <c r="C187" t="str">
        <f>Filtered!I177</f>
        <v/>
      </c>
      <c r="D187" t="str">
        <f>Filtered!J177</f>
        <v/>
      </c>
      <c r="E187" t="str">
        <f>Filtered!AH177</f>
        <v/>
      </c>
      <c r="N187" s="535"/>
      <c r="O187" s="558"/>
      <c r="R187" s="535"/>
      <c r="S187" s="558"/>
      <c r="V187" s="535"/>
      <c r="W187" s="558"/>
      <c r="Z187" s="535"/>
      <c r="AA187" s="558"/>
      <c r="AD187" s="535"/>
      <c r="AE187" s="558"/>
      <c r="AH187" s="535"/>
      <c r="AI187" s="558"/>
      <c r="AL187" s="535"/>
      <c r="AP187" s="535"/>
    </row>
    <row r="188">
      <c r="A188" s="552"/>
      <c r="B188" s="552"/>
      <c r="C188" t="str">
        <f>Filtered!I178</f>
        <v/>
      </c>
      <c r="D188" t="str">
        <f>Filtered!J178</f>
        <v/>
      </c>
      <c r="E188" t="str">
        <f>Filtered!AH178</f>
        <v/>
      </c>
      <c r="N188" s="535"/>
      <c r="O188" s="558"/>
      <c r="R188" s="535"/>
      <c r="S188" s="558"/>
      <c r="V188" s="535"/>
      <c r="W188" s="558"/>
      <c r="Z188" s="535"/>
      <c r="AA188" s="558"/>
      <c r="AD188" s="535"/>
      <c r="AE188" s="558"/>
      <c r="AH188" s="535"/>
      <c r="AI188" s="558"/>
      <c r="AL188" s="535"/>
      <c r="AP188" s="535"/>
    </row>
    <row r="189">
      <c r="A189" s="552"/>
      <c r="B189" s="552"/>
      <c r="C189" t="str">
        <f>Filtered!I179</f>
        <v/>
      </c>
      <c r="D189" t="str">
        <f>Filtered!J179</f>
        <v/>
      </c>
      <c r="E189" t="str">
        <f>Filtered!AH179</f>
        <v/>
      </c>
      <c r="N189" s="535"/>
      <c r="O189" s="558"/>
      <c r="R189" s="535"/>
      <c r="S189" s="558"/>
      <c r="V189" s="535"/>
      <c r="W189" s="558"/>
      <c r="Z189" s="535"/>
      <c r="AA189" s="558"/>
      <c r="AD189" s="535"/>
      <c r="AE189" s="558"/>
      <c r="AH189" s="535"/>
      <c r="AI189" s="558"/>
      <c r="AL189" s="535"/>
      <c r="AP189" s="535"/>
    </row>
    <row r="190">
      <c r="A190" s="552"/>
      <c r="B190" s="552"/>
      <c r="C190" t="str">
        <f>Filtered!I180</f>
        <v/>
      </c>
      <c r="D190" t="str">
        <f>Filtered!J180</f>
        <v/>
      </c>
      <c r="E190" t="str">
        <f>Filtered!AH180</f>
        <v/>
      </c>
      <c r="N190" s="535"/>
      <c r="O190" s="558"/>
      <c r="R190" s="535"/>
      <c r="S190" s="558"/>
      <c r="V190" s="535"/>
      <c r="W190" s="558"/>
      <c r="Z190" s="535"/>
      <c r="AA190" s="558"/>
      <c r="AD190" s="535"/>
      <c r="AE190" s="558"/>
      <c r="AH190" s="535"/>
      <c r="AI190" s="558"/>
      <c r="AL190" s="535"/>
      <c r="AP190" s="535"/>
    </row>
    <row r="191">
      <c r="A191" s="552"/>
      <c r="B191" s="552"/>
      <c r="C191" t="str">
        <f>Filtered!I181</f>
        <v/>
      </c>
      <c r="D191" t="str">
        <f>Filtered!J181</f>
        <v/>
      </c>
      <c r="E191" t="str">
        <f>Filtered!AH181</f>
        <v/>
      </c>
      <c r="N191" s="535"/>
      <c r="O191" s="558"/>
      <c r="R191" s="535"/>
      <c r="S191" s="558"/>
      <c r="V191" s="535"/>
      <c r="W191" s="558"/>
      <c r="Z191" s="535"/>
      <c r="AA191" s="558"/>
      <c r="AD191" s="535"/>
      <c r="AE191" s="558"/>
      <c r="AH191" s="535"/>
      <c r="AI191" s="558"/>
      <c r="AL191" s="535"/>
      <c r="AP191" s="535"/>
    </row>
    <row r="192">
      <c r="A192" s="552"/>
      <c r="B192" s="552"/>
      <c r="C192" t="str">
        <f>Filtered!I182</f>
        <v/>
      </c>
      <c r="D192" t="str">
        <f>Filtered!J182</f>
        <v/>
      </c>
      <c r="E192" t="str">
        <f>Filtered!AH182</f>
        <v/>
      </c>
      <c r="N192" s="535"/>
      <c r="O192" s="558"/>
      <c r="R192" s="535"/>
      <c r="S192" s="558"/>
      <c r="V192" s="535"/>
      <c r="W192" s="558"/>
      <c r="Z192" s="535"/>
      <c r="AA192" s="558"/>
      <c r="AD192" s="535"/>
      <c r="AE192" s="558"/>
      <c r="AH192" s="535"/>
      <c r="AI192" s="558"/>
      <c r="AL192" s="535"/>
      <c r="AP192" s="535"/>
    </row>
    <row r="193">
      <c r="A193" s="552"/>
      <c r="B193" s="552"/>
      <c r="C193" t="str">
        <f>Filtered!I183</f>
        <v/>
      </c>
      <c r="D193" t="str">
        <f>Filtered!J183</f>
        <v/>
      </c>
      <c r="E193" t="str">
        <f>Filtered!AH183</f>
        <v/>
      </c>
      <c r="N193" s="535"/>
      <c r="O193" s="558"/>
      <c r="R193" s="535"/>
      <c r="S193" s="558"/>
      <c r="V193" s="535"/>
      <c r="W193" s="558"/>
      <c r="Z193" s="535"/>
      <c r="AA193" s="558"/>
      <c r="AD193" s="535"/>
      <c r="AE193" s="558"/>
      <c r="AH193" s="535"/>
      <c r="AI193" s="558"/>
      <c r="AL193" s="535"/>
      <c r="AP193" s="535"/>
    </row>
    <row r="194">
      <c r="A194" s="552"/>
      <c r="B194" s="552"/>
      <c r="C194" t="str">
        <f>Filtered!I184</f>
        <v/>
      </c>
      <c r="D194" t="str">
        <f>Filtered!J184</f>
        <v/>
      </c>
      <c r="E194" t="str">
        <f>Filtered!AH184</f>
        <v/>
      </c>
      <c r="N194" s="535"/>
      <c r="O194" s="558"/>
      <c r="R194" s="535"/>
      <c r="S194" s="558"/>
      <c r="V194" s="535"/>
      <c r="W194" s="558"/>
      <c r="Z194" s="535"/>
      <c r="AA194" s="558"/>
      <c r="AD194" s="535"/>
      <c r="AE194" s="558"/>
      <c r="AH194" s="535"/>
      <c r="AI194" s="558"/>
      <c r="AL194" s="535"/>
      <c r="AP194" s="535"/>
    </row>
    <row r="195">
      <c r="A195" s="552"/>
      <c r="B195" s="552"/>
      <c r="C195" t="str">
        <f>Filtered!I185</f>
        <v/>
      </c>
      <c r="D195" t="str">
        <f>Filtered!J185</f>
        <v/>
      </c>
      <c r="E195" t="str">
        <f>Filtered!AI185</f>
        <v/>
      </c>
      <c r="N195" s="535"/>
      <c r="O195" s="558"/>
      <c r="R195" s="535"/>
      <c r="S195" s="558"/>
      <c r="V195" s="535"/>
      <c r="W195" s="558"/>
      <c r="Z195" s="535"/>
      <c r="AA195" s="558"/>
      <c r="AD195" s="535"/>
      <c r="AE195" s="558"/>
      <c r="AH195" s="535"/>
      <c r="AI195" s="558"/>
      <c r="AL195" s="535"/>
      <c r="AP195" s="535"/>
    </row>
    <row r="196">
      <c r="A196" s="552"/>
      <c r="B196" s="552"/>
      <c r="C196" t="str">
        <f>Filtered!I186</f>
        <v/>
      </c>
      <c r="D196" t="str">
        <f>Filtered!J186</f>
        <v/>
      </c>
      <c r="E196" t="str">
        <f>Filtered!L186</f>
        <v/>
      </c>
      <c r="N196" s="535"/>
      <c r="O196" s="558"/>
      <c r="R196" s="535"/>
      <c r="S196" s="558"/>
      <c r="V196" s="535"/>
      <c r="W196" s="558"/>
      <c r="Z196" s="535"/>
      <c r="AA196" s="558"/>
      <c r="AD196" s="535"/>
      <c r="AE196" s="558"/>
      <c r="AH196" s="535"/>
      <c r="AI196" s="558"/>
      <c r="AL196" s="535"/>
      <c r="AP196" s="535"/>
    </row>
    <row r="197">
      <c r="A197" s="552"/>
      <c r="B197" s="552"/>
      <c r="N197" s="535"/>
      <c r="O197" s="558"/>
      <c r="R197" s="535"/>
      <c r="S197" s="558"/>
      <c r="V197" s="535"/>
      <c r="W197" s="558"/>
      <c r="Z197" s="535"/>
      <c r="AA197" s="558"/>
      <c r="AD197" s="535"/>
      <c r="AE197" s="558"/>
      <c r="AH197" s="535"/>
      <c r="AI197" s="558"/>
      <c r="AL197" s="535"/>
      <c r="AP197" s="535"/>
    </row>
    <row r="198">
      <c r="A198" s="552"/>
      <c r="B198" s="552"/>
      <c r="N198" s="535"/>
      <c r="O198" s="558"/>
      <c r="R198" s="535"/>
      <c r="S198" s="558"/>
      <c r="V198" s="535"/>
      <c r="W198" s="558"/>
      <c r="Z198" s="535"/>
      <c r="AA198" s="558"/>
      <c r="AD198" s="535"/>
      <c r="AE198" s="558"/>
      <c r="AH198" s="535"/>
      <c r="AI198" s="558"/>
      <c r="AL198" s="535"/>
      <c r="AP198" s="535"/>
    </row>
    <row r="199">
      <c r="A199" s="552"/>
      <c r="B199" s="552"/>
      <c r="N199" s="535"/>
      <c r="O199" s="558"/>
      <c r="R199" s="535"/>
      <c r="S199" s="558"/>
      <c r="V199" s="535"/>
      <c r="W199" s="558"/>
      <c r="Z199" s="535"/>
      <c r="AA199" s="558"/>
      <c r="AD199" s="535"/>
      <c r="AE199" s="558"/>
      <c r="AH199" s="535"/>
      <c r="AI199" s="558"/>
      <c r="AL199" s="535"/>
      <c r="AP199" s="535"/>
    </row>
    <row r="200">
      <c r="A200" s="552"/>
      <c r="B200" s="552"/>
      <c r="N200" s="535"/>
      <c r="O200" s="558"/>
      <c r="R200" s="535"/>
      <c r="S200" s="558"/>
      <c r="V200" s="535"/>
      <c r="W200" s="558"/>
      <c r="Z200" s="535"/>
      <c r="AA200" s="558"/>
      <c r="AD200" s="535"/>
      <c r="AE200" s="558"/>
      <c r="AH200" s="535"/>
      <c r="AI200" s="558"/>
      <c r="AL200" s="535"/>
      <c r="AP200" s="535"/>
    </row>
    <row r="201">
      <c r="A201" s="552"/>
      <c r="B201" s="552"/>
      <c r="N201" s="535"/>
      <c r="O201" s="558"/>
      <c r="R201" s="535"/>
      <c r="S201" s="558"/>
      <c r="V201" s="535"/>
      <c r="W201" s="558"/>
      <c r="Z201" s="535"/>
      <c r="AA201" s="558"/>
      <c r="AD201" s="535"/>
      <c r="AE201" s="558"/>
      <c r="AH201" s="535"/>
      <c r="AI201" s="558"/>
      <c r="AL201" s="535"/>
      <c r="AP201" s="535"/>
    </row>
    <row r="202">
      <c r="A202" s="552"/>
      <c r="B202" s="552"/>
      <c r="N202" s="535"/>
      <c r="O202" s="558"/>
      <c r="R202" s="535"/>
      <c r="S202" s="558"/>
      <c r="V202" s="535"/>
      <c r="W202" s="558"/>
      <c r="Z202" s="535"/>
      <c r="AA202" s="558"/>
      <c r="AD202" s="535"/>
      <c r="AE202" s="558"/>
      <c r="AH202" s="535"/>
      <c r="AI202" s="558"/>
      <c r="AL202" s="535"/>
      <c r="AP202" s="535"/>
    </row>
    <row r="203">
      <c r="A203" s="552"/>
      <c r="B203" s="552"/>
      <c r="N203" s="535"/>
      <c r="O203" s="558"/>
      <c r="R203" s="535"/>
      <c r="S203" s="558"/>
      <c r="V203" s="535"/>
      <c r="W203" s="558"/>
      <c r="Z203" s="535"/>
      <c r="AA203" s="558"/>
      <c r="AD203" s="535"/>
      <c r="AE203" s="558"/>
      <c r="AH203" s="535"/>
      <c r="AI203" s="558"/>
      <c r="AL203" s="535"/>
      <c r="AP203" s="535"/>
    </row>
    <row r="204">
      <c r="A204" s="552"/>
      <c r="B204" s="552"/>
      <c r="N204" s="535"/>
      <c r="O204" s="558"/>
      <c r="R204" s="535"/>
      <c r="S204" s="558"/>
      <c r="V204" s="535"/>
      <c r="W204" s="558"/>
      <c r="Z204" s="535"/>
      <c r="AA204" s="558"/>
      <c r="AD204" s="535"/>
      <c r="AE204" s="558"/>
      <c r="AH204" s="535"/>
      <c r="AI204" s="558"/>
      <c r="AL204" s="535"/>
      <c r="AP204" s="535"/>
    </row>
    <row r="205">
      <c r="A205" s="552"/>
      <c r="B205" s="552"/>
      <c r="N205" s="535"/>
      <c r="O205" s="558"/>
      <c r="R205" s="535"/>
      <c r="S205" s="558"/>
      <c r="V205" s="535"/>
      <c r="W205" s="558"/>
      <c r="Z205" s="535"/>
      <c r="AA205" s="558"/>
      <c r="AD205" s="535"/>
      <c r="AE205" s="558"/>
      <c r="AH205" s="535"/>
      <c r="AI205" s="558"/>
      <c r="AL205" s="535"/>
      <c r="AP205" s="535"/>
    </row>
    <row r="206">
      <c r="A206" s="552"/>
      <c r="B206" s="552"/>
      <c r="N206" s="535"/>
      <c r="O206" s="558"/>
      <c r="R206" s="535"/>
      <c r="S206" s="558"/>
      <c r="V206" s="535"/>
      <c r="W206" s="558"/>
      <c r="Z206" s="535"/>
      <c r="AA206" s="558"/>
      <c r="AD206" s="535"/>
      <c r="AE206" s="558"/>
      <c r="AH206" s="535"/>
      <c r="AI206" s="558"/>
      <c r="AL206" s="535"/>
      <c r="AP206" s="535"/>
    </row>
    <row r="207">
      <c r="A207" s="552"/>
      <c r="B207" s="552"/>
      <c r="N207" s="535"/>
      <c r="O207" s="558"/>
      <c r="R207" s="535"/>
      <c r="S207" s="558"/>
      <c r="V207" s="535"/>
      <c r="W207" s="558"/>
      <c r="Z207" s="535"/>
      <c r="AA207" s="558"/>
      <c r="AD207" s="535"/>
      <c r="AE207" s="558"/>
      <c r="AH207" s="535"/>
      <c r="AI207" s="558"/>
      <c r="AL207" s="535"/>
      <c r="AP207" s="535"/>
    </row>
    <row r="208">
      <c r="A208" s="552"/>
      <c r="B208" s="552"/>
      <c r="N208" s="535"/>
      <c r="O208" s="558"/>
      <c r="R208" s="535"/>
      <c r="S208" s="558"/>
      <c r="V208" s="535"/>
      <c r="W208" s="558"/>
      <c r="Z208" s="535"/>
      <c r="AA208" s="558"/>
      <c r="AD208" s="535"/>
      <c r="AE208" s="558"/>
      <c r="AH208" s="535"/>
      <c r="AI208" s="558"/>
      <c r="AL208" s="535"/>
      <c r="AP208" s="535"/>
    </row>
    <row r="209">
      <c r="A209" s="552"/>
      <c r="B209" s="552"/>
      <c r="N209" s="535"/>
      <c r="O209" s="558"/>
      <c r="R209" s="535"/>
      <c r="S209" s="558"/>
      <c r="V209" s="535"/>
      <c r="W209" s="558"/>
      <c r="Z209" s="535"/>
      <c r="AA209" s="558"/>
      <c r="AD209" s="535"/>
      <c r="AE209" s="558"/>
      <c r="AH209" s="535"/>
      <c r="AI209" s="558"/>
      <c r="AL209" s="535"/>
      <c r="AP209" s="535"/>
    </row>
    <row r="210">
      <c r="A210" s="552"/>
      <c r="B210" s="552"/>
      <c r="N210" s="535"/>
      <c r="O210" s="558"/>
      <c r="R210" s="535"/>
      <c r="S210" s="558"/>
      <c r="V210" s="535"/>
      <c r="W210" s="558"/>
      <c r="Z210" s="535"/>
      <c r="AA210" s="558"/>
      <c r="AD210" s="535"/>
      <c r="AE210" s="558"/>
      <c r="AH210" s="535"/>
      <c r="AI210" s="558"/>
      <c r="AL210" s="535"/>
      <c r="AP210" s="535"/>
    </row>
    <row r="211">
      <c r="A211" s="552"/>
      <c r="B211" s="552"/>
      <c r="N211" s="535"/>
      <c r="O211" s="558"/>
      <c r="R211" s="535"/>
      <c r="S211" s="558"/>
      <c r="V211" s="535"/>
      <c r="W211" s="558"/>
      <c r="Z211" s="535"/>
      <c r="AA211" s="558"/>
      <c r="AD211" s="535"/>
      <c r="AE211" s="558"/>
      <c r="AH211" s="535"/>
      <c r="AI211" s="558"/>
      <c r="AL211" s="535"/>
      <c r="AP211" s="535"/>
    </row>
    <row r="212">
      <c r="A212" s="552"/>
      <c r="B212" s="552"/>
      <c r="N212" s="535"/>
      <c r="O212" s="558"/>
      <c r="R212" s="535"/>
      <c r="S212" s="558"/>
      <c r="V212" s="535"/>
      <c r="W212" s="558"/>
      <c r="Z212" s="535"/>
      <c r="AA212" s="558"/>
      <c r="AD212" s="535"/>
      <c r="AE212" s="558"/>
      <c r="AH212" s="535"/>
      <c r="AI212" s="558"/>
      <c r="AL212" s="535"/>
      <c r="AP212" s="535"/>
    </row>
    <row r="213">
      <c r="A213" s="552"/>
      <c r="B213" s="552"/>
      <c r="N213" s="535"/>
      <c r="O213" s="558"/>
      <c r="R213" s="535"/>
      <c r="S213" s="558"/>
      <c r="V213" s="535"/>
      <c r="W213" s="558"/>
      <c r="Z213" s="535"/>
      <c r="AA213" s="558"/>
      <c r="AD213" s="535"/>
      <c r="AE213" s="558"/>
      <c r="AH213" s="535"/>
      <c r="AI213" s="558"/>
      <c r="AL213" s="535"/>
      <c r="AP213" s="535"/>
    </row>
    <row r="214">
      <c r="A214" s="552"/>
      <c r="B214" s="552"/>
      <c r="N214" s="535"/>
      <c r="O214" s="558"/>
      <c r="R214" s="535"/>
      <c r="S214" s="558"/>
      <c r="V214" s="535"/>
      <c r="W214" s="558"/>
      <c r="Z214" s="535"/>
      <c r="AA214" s="558"/>
      <c r="AD214" s="535"/>
      <c r="AE214" s="558"/>
      <c r="AH214" s="535"/>
      <c r="AI214" s="558"/>
      <c r="AL214" s="535"/>
      <c r="AP214" s="535"/>
    </row>
    <row r="215">
      <c r="A215" s="552"/>
      <c r="B215" s="552"/>
      <c r="N215" s="535"/>
      <c r="O215" s="558"/>
      <c r="R215" s="535"/>
      <c r="S215" s="558"/>
      <c r="V215" s="535"/>
      <c r="W215" s="558"/>
      <c r="Z215" s="535"/>
      <c r="AA215" s="558"/>
      <c r="AD215" s="535"/>
      <c r="AE215" s="558"/>
      <c r="AH215" s="535"/>
      <c r="AI215" s="558"/>
      <c r="AL215" s="535"/>
      <c r="AP215" s="535"/>
    </row>
    <row r="216">
      <c r="A216" s="552"/>
      <c r="B216" s="552"/>
      <c r="N216" s="535"/>
      <c r="O216" s="558"/>
      <c r="R216" s="535"/>
      <c r="S216" s="558"/>
      <c r="V216" s="535"/>
      <c r="W216" s="558"/>
      <c r="Z216" s="535"/>
      <c r="AA216" s="558"/>
      <c r="AD216" s="535"/>
      <c r="AE216" s="558"/>
      <c r="AH216" s="535"/>
      <c r="AI216" s="558"/>
      <c r="AL216" s="535"/>
      <c r="AP216" s="535"/>
    </row>
    <row r="217">
      <c r="A217" s="552"/>
      <c r="B217" s="552"/>
      <c r="N217" s="535"/>
      <c r="O217" s="558"/>
      <c r="R217" s="535"/>
      <c r="S217" s="558"/>
      <c r="V217" s="535"/>
      <c r="W217" s="558"/>
      <c r="Z217" s="535"/>
      <c r="AA217" s="558"/>
      <c r="AD217" s="535"/>
      <c r="AE217" s="558"/>
      <c r="AH217" s="535"/>
      <c r="AI217" s="558"/>
      <c r="AL217" s="535"/>
      <c r="AP217" s="535"/>
    </row>
    <row r="218">
      <c r="A218" s="552"/>
      <c r="B218" s="552"/>
      <c r="N218" s="535"/>
      <c r="O218" s="558"/>
      <c r="R218" s="535"/>
      <c r="S218" s="558"/>
      <c r="V218" s="535"/>
      <c r="W218" s="558"/>
      <c r="Z218" s="535"/>
      <c r="AA218" s="558"/>
      <c r="AD218" s="535"/>
      <c r="AE218" s="558"/>
      <c r="AH218" s="535"/>
      <c r="AI218" s="558"/>
      <c r="AL218" s="535"/>
      <c r="AP218" s="535"/>
    </row>
    <row r="219">
      <c r="A219" s="552"/>
      <c r="B219" s="552"/>
      <c r="N219" s="535"/>
      <c r="O219" s="558"/>
      <c r="R219" s="535"/>
      <c r="S219" s="558"/>
      <c r="V219" s="535"/>
      <c r="W219" s="558"/>
      <c r="Z219" s="535"/>
      <c r="AA219" s="558"/>
      <c r="AD219" s="535"/>
      <c r="AE219" s="558"/>
      <c r="AH219" s="535"/>
      <c r="AI219" s="558"/>
      <c r="AL219" s="535"/>
      <c r="AP219" s="535"/>
    </row>
    <row r="220">
      <c r="A220" s="552"/>
      <c r="B220" s="552"/>
      <c r="N220" s="535"/>
      <c r="O220" s="558"/>
      <c r="R220" s="535"/>
      <c r="S220" s="558"/>
      <c r="V220" s="535"/>
      <c r="W220" s="558"/>
      <c r="Z220" s="535"/>
      <c r="AA220" s="558"/>
      <c r="AD220" s="535"/>
      <c r="AE220" s="558"/>
      <c r="AH220" s="535"/>
      <c r="AI220" s="558"/>
      <c r="AL220" s="535"/>
      <c r="AP220" s="535"/>
    </row>
    <row r="221">
      <c r="A221" s="552"/>
      <c r="B221" s="552"/>
      <c r="N221" s="535"/>
      <c r="O221" s="558"/>
      <c r="R221" s="535"/>
      <c r="S221" s="558"/>
      <c r="V221" s="535"/>
      <c r="W221" s="558"/>
      <c r="Z221" s="535"/>
      <c r="AA221" s="558"/>
      <c r="AD221" s="535"/>
      <c r="AE221" s="558"/>
      <c r="AH221" s="535"/>
      <c r="AI221" s="558"/>
      <c r="AL221" s="535"/>
      <c r="AP221" s="535"/>
    </row>
    <row r="222">
      <c r="A222" s="552"/>
      <c r="B222" s="552"/>
      <c r="N222" s="535"/>
      <c r="O222" s="558"/>
      <c r="R222" s="535"/>
      <c r="S222" s="558"/>
      <c r="V222" s="535"/>
      <c r="W222" s="558"/>
      <c r="Z222" s="535"/>
      <c r="AA222" s="558"/>
      <c r="AD222" s="535"/>
      <c r="AE222" s="558"/>
      <c r="AH222" s="535"/>
      <c r="AI222" s="558"/>
      <c r="AL222" s="535"/>
      <c r="AP222" s="535"/>
    </row>
    <row r="223">
      <c r="A223" s="552"/>
      <c r="B223" s="552"/>
      <c r="N223" s="535"/>
      <c r="O223" s="558"/>
      <c r="R223" s="535"/>
      <c r="S223" s="558"/>
      <c r="V223" s="535"/>
      <c r="W223" s="558"/>
      <c r="Z223" s="535"/>
      <c r="AA223" s="558"/>
      <c r="AD223" s="535"/>
      <c r="AE223" s="558"/>
      <c r="AH223" s="535"/>
      <c r="AI223" s="558"/>
      <c r="AL223" s="535"/>
      <c r="AP223" s="535"/>
    </row>
    <row r="224">
      <c r="A224" s="552"/>
      <c r="B224" s="552"/>
      <c r="N224" s="535"/>
      <c r="O224" s="558"/>
      <c r="R224" s="535"/>
      <c r="S224" s="558"/>
      <c r="V224" s="535"/>
      <c r="W224" s="558"/>
      <c r="Z224" s="535"/>
      <c r="AA224" s="558"/>
      <c r="AD224" s="535"/>
      <c r="AE224" s="558"/>
      <c r="AH224" s="535"/>
      <c r="AI224" s="558"/>
      <c r="AL224" s="535"/>
      <c r="AP224" s="535"/>
    </row>
    <row r="225">
      <c r="A225" s="552"/>
      <c r="B225" s="552"/>
      <c r="N225" s="535"/>
      <c r="O225" s="558"/>
      <c r="R225" s="535"/>
      <c r="S225" s="558"/>
      <c r="V225" s="535"/>
      <c r="W225" s="558"/>
      <c r="Z225" s="535"/>
      <c r="AA225" s="558"/>
      <c r="AD225" s="535"/>
      <c r="AE225" s="558"/>
      <c r="AH225" s="535"/>
      <c r="AI225" s="558"/>
      <c r="AL225" s="535"/>
      <c r="AP225" s="535"/>
    </row>
    <row r="226">
      <c r="A226" s="552"/>
      <c r="B226" s="552"/>
      <c r="N226" s="535"/>
      <c r="O226" s="558"/>
      <c r="R226" s="535"/>
      <c r="S226" s="558"/>
      <c r="V226" s="535"/>
      <c r="W226" s="558"/>
      <c r="Z226" s="535"/>
      <c r="AA226" s="558"/>
      <c r="AD226" s="535"/>
      <c r="AE226" s="558"/>
      <c r="AH226" s="535"/>
      <c r="AI226" s="558"/>
      <c r="AL226" s="535"/>
      <c r="AP226" s="535"/>
    </row>
    <row r="227">
      <c r="A227" s="552"/>
      <c r="B227" s="552"/>
      <c r="N227" s="535"/>
      <c r="O227" s="558"/>
      <c r="R227" s="535"/>
      <c r="S227" s="558"/>
      <c r="V227" s="535"/>
      <c r="W227" s="558"/>
      <c r="Z227" s="535"/>
      <c r="AA227" s="558"/>
      <c r="AD227" s="535"/>
      <c r="AE227" s="558"/>
      <c r="AH227" s="535"/>
      <c r="AI227" s="558"/>
      <c r="AL227" s="535"/>
      <c r="AP227" s="535"/>
    </row>
    <row r="228">
      <c r="A228" s="552"/>
      <c r="B228" s="552"/>
      <c r="N228" s="535"/>
      <c r="O228" s="558"/>
      <c r="R228" s="535"/>
      <c r="S228" s="558"/>
      <c r="V228" s="535"/>
      <c r="W228" s="558"/>
      <c r="Z228" s="535"/>
      <c r="AA228" s="558"/>
      <c r="AD228" s="535"/>
      <c r="AE228" s="558"/>
      <c r="AH228" s="535"/>
      <c r="AI228" s="558"/>
      <c r="AL228" s="535"/>
      <c r="AP228" s="535"/>
    </row>
    <row r="229">
      <c r="A229" s="552"/>
      <c r="B229" s="552"/>
      <c r="N229" s="535"/>
      <c r="O229" s="558"/>
      <c r="R229" s="535"/>
      <c r="S229" s="558"/>
      <c r="V229" s="535"/>
      <c r="W229" s="558"/>
      <c r="Z229" s="535"/>
      <c r="AA229" s="558"/>
      <c r="AD229" s="535"/>
      <c r="AE229" s="558"/>
      <c r="AH229" s="535"/>
      <c r="AI229" s="558"/>
      <c r="AL229" s="535"/>
      <c r="AP229" s="535"/>
    </row>
    <row r="230">
      <c r="A230" s="552"/>
      <c r="B230" s="552"/>
      <c r="N230" s="535"/>
      <c r="O230" s="558"/>
      <c r="R230" s="535"/>
      <c r="S230" s="558"/>
      <c r="V230" s="535"/>
      <c r="W230" s="558"/>
      <c r="Z230" s="535"/>
      <c r="AA230" s="558"/>
      <c r="AD230" s="535"/>
      <c r="AE230" s="558"/>
      <c r="AH230" s="535"/>
      <c r="AI230" s="558"/>
      <c r="AL230" s="535"/>
      <c r="AP230" s="535"/>
    </row>
    <row r="231">
      <c r="A231" s="552"/>
      <c r="B231" s="552"/>
      <c r="N231" s="535"/>
      <c r="O231" s="558"/>
      <c r="R231" s="535"/>
      <c r="S231" s="558"/>
      <c r="V231" s="535"/>
      <c r="W231" s="558"/>
      <c r="Z231" s="535"/>
      <c r="AA231" s="558"/>
      <c r="AD231" s="535"/>
      <c r="AE231" s="558"/>
      <c r="AH231" s="535"/>
      <c r="AI231" s="558"/>
      <c r="AL231" s="535"/>
      <c r="AP231" s="535"/>
    </row>
    <row r="232">
      <c r="A232" s="552"/>
      <c r="B232" s="552"/>
      <c r="N232" s="535"/>
      <c r="O232" s="558"/>
      <c r="R232" s="535"/>
      <c r="S232" s="558"/>
      <c r="V232" s="535"/>
      <c r="W232" s="558"/>
      <c r="Z232" s="535"/>
      <c r="AA232" s="558"/>
      <c r="AD232" s="535"/>
      <c r="AE232" s="558"/>
      <c r="AH232" s="535"/>
      <c r="AI232" s="558"/>
      <c r="AL232" s="535"/>
      <c r="AP232" s="535"/>
    </row>
    <row r="233">
      <c r="A233" s="552"/>
      <c r="B233" s="552"/>
      <c r="N233" s="535"/>
      <c r="O233" s="558"/>
      <c r="R233" s="535"/>
      <c r="S233" s="558"/>
      <c r="V233" s="535"/>
      <c r="W233" s="558"/>
      <c r="Z233" s="535"/>
      <c r="AA233" s="558"/>
      <c r="AD233" s="535"/>
      <c r="AE233" s="558"/>
      <c r="AH233" s="535"/>
      <c r="AI233" s="558"/>
      <c r="AL233" s="535"/>
      <c r="AP233" s="535"/>
    </row>
    <row r="234">
      <c r="A234" s="552"/>
      <c r="B234" s="552"/>
      <c r="N234" s="535"/>
      <c r="O234" s="558"/>
      <c r="R234" s="535"/>
      <c r="S234" s="558"/>
      <c r="V234" s="535"/>
      <c r="W234" s="558"/>
      <c r="Z234" s="535"/>
      <c r="AA234" s="558"/>
      <c r="AD234" s="535"/>
      <c r="AE234" s="558"/>
      <c r="AH234" s="535"/>
      <c r="AI234" s="558"/>
      <c r="AL234" s="535"/>
      <c r="AP234" s="535"/>
    </row>
    <row r="235">
      <c r="A235" s="552"/>
      <c r="B235" s="552"/>
      <c r="N235" s="535"/>
      <c r="O235" s="558"/>
      <c r="R235" s="535"/>
      <c r="S235" s="558"/>
      <c r="V235" s="535"/>
      <c r="W235" s="558"/>
      <c r="Z235" s="535"/>
      <c r="AA235" s="558"/>
      <c r="AD235" s="535"/>
      <c r="AE235" s="558"/>
      <c r="AH235" s="535"/>
      <c r="AI235" s="558"/>
      <c r="AL235" s="535"/>
      <c r="AP235" s="535"/>
    </row>
    <row r="236">
      <c r="A236" s="552"/>
      <c r="B236" s="552"/>
      <c r="N236" s="535"/>
      <c r="O236" s="558"/>
      <c r="R236" s="535"/>
      <c r="S236" s="558"/>
      <c r="V236" s="535"/>
      <c r="W236" s="558"/>
      <c r="Z236" s="535"/>
      <c r="AA236" s="558"/>
      <c r="AD236" s="535"/>
      <c r="AE236" s="558"/>
      <c r="AH236" s="535"/>
      <c r="AI236" s="558"/>
      <c r="AL236" s="535"/>
      <c r="AP236" s="535"/>
    </row>
    <row r="237">
      <c r="A237" s="552"/>
      <c r="B237" s="552"/>
      <c r="N237" s="535"/>
      <c r="O237" s="558"/>
      <c r="R237" s="535"/>
      <c r="S237" s="558"/>
      <c r="V237" s="535"/>
      <c r="W237" s="558"/>
      <c r="Z237" s="535"/>
      <c r="AA237" s="558"/>
      <c r="AD237" s="535"/>
      <c r="AE237" s="558"/>
      <c r="AH237" s="535"/>
      <c r="AI237" s="558"/>
      <c r="AL237" s="535"/>
      <c r="AP237" s="535"/>
    </row>
    <row r="238">
      <c r="A238" s="552"/>
      <c r="B238" s="552"/>
      <c r="N238" s="535"/>
      <c r="O238" s="558"/>
      <c r="R238" s="535"/>
      <c r="S238" s="558"/>
      <c r="V238" s="535"/>
      <c r="W238" s="558"/>
      <c r="Z238" s="535"/>
      <c r="AA238" s="558"/>
      <c r="AD238" s="535"/>
      <c r="AE238" s="558"/>
      <c r="AH238" s="535"/>
      <c r="AI238" s="558"/>
      <c r="AL238" s="535"/>
      <c r="AP238" s="535"/>
    </row>
    <row r="239">
      <c r="A239" s="552"/>
      <c r="B239" s="552"/>
      <c r="N239" s="535"/>
      <c r="O239" s="558"/>
      <c r="R239" s="535"/>
      <c r="S239" s="558"/>
      <c r="V239" s="535"/>
      <c r="W239" s="558"/>
      <c r="Z239" s="535"/>
      <c r="AA239" s="558"/>
      <c r="AD239" s="535"/>
      <c r="AE239" s="558"/>
      <c r="AH239" s="535"/>
      <c r="AI239" s="558"/>
      <c r="AL239" s="535"/>
      <c r="AP239" s="535"/>
    </row>
    <row r="240">
      <c r="A240" s="552"/>
      <c r="B240" s="552"/>
      <c r="N240" s="535"/>
      <c r="O240" s="558"/>
      <c r="R240" s="535"/>
      <c r="S240" s="558"/>
      <c r="V240" s="535"/>
      <c r="W240" s="558"/>
      <c r="Z240" s="535"/>
      <c r="AA240" s="558"/>
      <c r="AD240" s="535"/>
      <c r="AE240" s="558"/>
      <c r="AH240" s="535"/>
      <c r="AI240" s="558"/>
      <c r="AL240" s="535"/>
      <c r="AP240" s="535"/>
    </row>
    <row r="241">
      <c r="A241" s="552"/>
      <c r="B241" s="552"/>
      <c r="N241" s="535"/>
      <c r="O241" s="558"/>
      <c r="R241" s="535"/>
      <c r="S241" s="558"/>
      <c r="V241" s="535"/>
      <c r="W241" s="558"/>
      <c r="Z241" s="535"/>
      <c r="AA241" s="558"/>
      <c r="AD241" s="535"/>
      <c r="AE241" s="558"/>
      <c r="AH241" s="535"/>
      <c r="AI241" s="558"/>
      <c r="AL241" s="535"/>
      <c r="AP241" s="535"/>
    </row>
    <row r="242">
      <c r="A242" s="552"/>
      <c r="B242" s="552"/>
      <c r="N242" s="535"/>
      <c r="O242" s="558"/>
      <c r="R242" s="535"/>
      <c r="S242" s="558"/>
      <c r="V242" s="535"/>
      <c r="W242" s="558"/>
      <c r="Z242" s="535"/>
      <c r="AA242" s="558"/>
      <c r="AD242" s="535"/>
      <c r="AE242" s="558"/>
      <c r="AH242" s="535"/>
      <c r="AI242" s="558"/>
      <c r="AL242" s="535"/>
      <c r="AP242" s="535"/>
    </row>
    <row r="243">
      <c r="A243" s="552"/>
      <c r="B243" s="552"/>
      <c r="N243" s="535"/>
      <c r="O243" s="558"/>
      <c r="R243" s="535"/>
      <c r="S243" s="558"/>
      <c r="V243" s="535"/>
      <c r="W243" s="558"/>
      <c r="Z243" s="535"/>
      <c r="AA243" s="558"/>
      <c r="AD243" s="535"/>
      <c r="AE243" s="558"/>
      <c r="AH243" s="535"/>
      <c r="AI243" s="558"/>
      <c r="AL243" s="535"/>
      <c r="AP243" s="535"/>
    </row>
    <row r="244">
      <c r="A244" s="552"/>
      <c r="B244" s="552"/>
      <c r="N244" s="535"/>
      <c r="O244" s="558"/>
      <c r="R244" s="535"/>
      <c r="S244" s="558"/>
      <c r="V244" s="535"/>
      <c r="W244" s="558"/>
      <c r="Z244" s="535"/>
      <c r="AA244" s="558"/>
      <c r="AD244" s="535"/>
      <c r="AE244" s="558"/>
      <c r="AH244" s="535"/>
      <c r="AI244" s="558"/>
      <c r="AL244" s="535"/>
      <c r="AP244" s="535"/>
    </row>
    <row r="245">
      <c r="A245" s="552"/>
      <c r="B245" s="552"/>
      <c r="N245" s="535"/>
      <c r="O245" s="558"/>
      <c r="R245" s="535"/>
      <c r="S245" s="558"/>
      <c r="V245" s="535"/>
      <c r="W245" s="558"/>
      <c r="Z245" s="535"/>
      <c r="AA245" s="558"/>
      <c r="AD245" s="535"/>
      <c r="AE245" s="558"/>
      <c r="AH245" s="535"/>
      <c r="AI245" s="558"/>
      <c r="AL245" s="535"/>
      <c r="AP245" s="535"/>
    </row>
    <row r="246">
      <c r="A246" s="552"/>
      <c r="B246" s="552"/>
      <c r="N246" s="535"/>
      <c r="O246" s="558"/>
      <c r="R246" s="535"/>
      <c r="S246" s="558"/>
      <c r="V246" s="535"/>
      <c r="W246" s="558"/>
      <c r="Z246" s="535"/>
      <c r="AA246" s="558"/>
      <c r="AD246" s="535"/>
      <c r="AE246" s="558"/>
      <c r="AH246" s="535"/>
      <c r="AI246" s="558"/>
      <c r="AL246" s="535"/>
      <c r="AP246" s="535"/>
    </row>
    <row r="247">
      <c r="A247" s="552"/>
      <c r="B247" s="552"/>
      <c r="N247" s="535"/>
      <c r="O247" s="558"/>
      <c r="R247" s="535"/>
      <c r="S247" s="558"/>
      <c r="V247" s="535"/>
      <c r="W247" s="558"/>
      <c r="Z247" s="535"/>
      <c r="AA247" s="558"/>
      <c r="AD247" s="535"/>
      <c r="AE247" s="558"/>
      <c r="AH247" s="535"/>
      <c r="AI247" s="558"/>
      <c r="AL247" s="535"/>
      <c r="AP247" s="535"/>
    </row>
    <row r="248">
      <c r="A248" s="552"/>
      <c r="B248" s="552"/>
      <c r="N248" s="535"/>
      <c r="O248" s="558"/>
      <c r="R248" s="535"/>
      <c r="S248" s="558"/>
      <c r="V248" s="535"/>
      <c r="W248" s="558"/>
      <c r="Z248" s="535"/>
      <c r="AA248" s="558"/>
      <c r="AD248" s="535"/>
      <c r="AE248" s="558"/>
      <c r="AH248" s="535"/>
      <c r="AI248" s="558"/>
      <c r="AL248" s="535"/>
      <c r="AP248" s="535"/>
    </row>
    <row r="249">
      <c r="A249" s="552"/>
      <c r="B249" s="552"/>
      <c r="N249" s="535"/>
      <c r="O249" s="558"/>
      <c r="R249" s="535"/>
      <c r="S249" s="558"/>
      <c r="V249" s="535"/>
      <c r="W249" s="558"/>
      <c r="Z249" s="535"/>
      <c r="AA249" s="558"/>
      <c r="AD249" s="535"/>
      <c r="AE249" s="558"/>
      <c r="AH249" s="535"/>
      <c r="AI249" s="558"/>
      <c r="AL249" s="535"/>
      <c r="AP249" s="535"/>
    </row>
    <row r="250">
      <c r="A250" s="552"/>
      <c r="B250" s="552"/>
      <c r="N250" s="535"/>
      <c r="O250" s="558"/>
      <c r="R250" s="535"/>
      <c r="S250" s="558"/>
      <c r="V250" s="535"/>
      <c r="W250" s="558"/>
      <c r="Z250" s="535"/>
      <c r="AA250" s="558"/>
      <c r="AD250" s="535"/>
      <c r="AE250" s="558"/>
      <c r="AH250" s="535"/>
      <c r="AI250" s="558"/>
      <c r="AL250" s="535"/>
      <c r="AP250" s="535"/>
    </row>
    <row r="251">
      <c r="A251" s="552"/>
      <c r="B251" s="552"/>
      <c r="N251" s="535"/>
      <c r="O251" s="558"/>
      <c r="R251" s="535"/>
      <c r="S251" s="558"/>
      <c r="V251" s="535"/>
      <c r="W251" s="558"/>
      <c r="Z251" s="535"/>
      <c r="AA251" s="558"/>
      <c r="AD251" s="535"/>
      <c r="AE251" s="558"/>
      <c r="AH251" s="535"/>
      <c r="AI251" s="558"/>
      <c r="AL251" s="535"/>
      <c r="AP251" s="535"/>
    </row>
    <row r="252">
      <c r="A252" s="552"/>
      <c r="B252" s="552"/>
      <c r="N252" s="535"/>
      <c r="O252" s="558"/>
      <c r="R252" s="535"/>
      <c r="S252" s="558"/>
      <c r="V252" s="535"/>
      <c r="W252" s="558"/>
      <c r="Z252" s="535"/>
      <c r="AA252" s="558"/>
      <c r="AD252" s="535"/>
      <c r="AE252" s="558"/>
      <c r="AH252" s="535"/>
      <c r="AI252" s="558"/>
      <c r="AL252" s="535"/>
      <c r="AP252" s="535"/>
    </row>
    <row r="253">
      <c r="A253" s="552"/>
      <c r="B253" s="552"/>
      <c r="N253" s="535"/>
      <c r="O253" s="558"/>
      <c r="R253" s="535"/>
      <c r="S253" s="558"/>
      <c r="V253" s="535"/>
      <c r="W253" s="558"/>
      <c r="Z253" s="535"/>
      <c r="AA253" s="558"/>
      <c r="AD253" s="535"/>
      <c r="AE253" s="558"/>
      <c r="AH253" s="535"/>
      <c r="AI253" s="558"/>
      <c r="AL253" s="535"/>
      <c r="AP253" s="535"/>
    </row>
    <row r="254">
      <c r="A254" s="552"/>
      <c r="B254" s="552"/>
      <c r="N254" s="535"/>
      <c r="O254" s="558"/>
      <c r="R254" s="535"/>
      <c r="S254" s="558"/>
      <c r="V254" s="535"/>
      <c r="W254" s="558"/>
      <c r="Z254" s="535"/>
      <c r="AA254" s="558"/>
      <c r="AD254" s="535"/>
      <c r="AE254" s="558"/>
      <c r="AH254" s="535"/>
      <c r="AI254" s="558"/>
      <c r="AL254" s="535"/>
      <c r="AP254" s="535"/>
    </row>
    <row r="255">
      <c r="A255" s="552"/>
      <c r="B255" s="552"/>
      <c r="N255" s="535"/>
      <c r="O255" s="558"/>
      <c r="R255" s="535"/>
      <c r="S255" s="558"/>
      <c r="V255" s="535"/>
      <c r="W255" s="558"/>
      <c r="Z255" s="535"/>
      <c r="AA255" s="558"/>
      <c r="AD255" s="535"/>
      <c r="AE255" s="558"/>
      <c r="AH255" s="535"/>
      <c r="AI255" s="558"/>
      <c r="AL255" s="535"/>
      <c r="AP255" s="535"/>
    </row>
    <row r="256">
      <c r="A256" s="552"/>
      <c r="B256" s="552"/>
      <c r="N256" s="535"/>
      <c r="O256" s="558"/>
      <c r="R256" s="535"/>
      <c r="S256" s="558"/>
      <c r="V256" s="535"/>
      <c r="W256" s="558"/>
      <c r="Z256" s="535"/>
      <c r="AA256" s="558"/>
      <c r="AD256" s="535"/>
      <c r="AE256" s="558"/>
      <c r="AH256" s="535"/>
      <c r="AI256" s="558"/>
      <c r="AL256" s="535"/>
      <c r="AP256" s="535"/>
    </row>
    <row r="257">
      <c r="A257" s="552"/>
      <c r="B257" s="552"/>
      <c r="N257" s="535"/>
      <c r="O257" s="558"/>
      <c r="R257" s="535"/>
      <c r="S257" s="558"/>
      <c r="V257" s="535"/>
      <c r="W257" s="558"/>
      <c r="Z257" s="535"/>
      <c r="AA257" s="558"/>
      <c r="AD257" s="535"/>
      <c r="AE257" s="558"/>
      <c r="AH257" s="535"/>
      <c r="AI257" s="558"/>
      <c r="AL257" s="535"/>
      <c r="AP257" s="535"/>
    </row>
    <row r="258">
      <c r="A258" s="552"/>
      <c r="B258" s="552"/>
      <c r="N258" s="535"/>
      <c r="O258" s="558"/>
      <c r="R258" s="535"/>
      <c r="S258" s="558"/>
      <c r="V258" s="535"/>
      <c r="W258" s="558"/>
      <c r="Z258" s="535"/>
      <c r="AA258" s="558"/>
      <c r="AD258" s="535"/>
      <c r="AE258" s="558"/>
      <c r="AH258" s="535"/>
      <c r="AI258" s="558"/>
      <c r="AL258" s="535"/>
      <c r="AP258" s="535"/>
    </row>
    <row r="259">
      <c r="A259" s="552"/>
      <c r="B259" s="552"/>
      <c r="N259" s="535"/>
      <c r="O259" s="558"/>
      <c r="R259" s="535"/>
      <c r="S259" s="558"/>
      <c r="V259" s="535"/>
      <c r="W259" s="558"/>
      <c r="Z259" s="535"/>
      <c r="AA259" s="558"/>
      <c r="AD259" s="535"/>
      <c r="AE259" s="558"/>
      <c r="AH259" s="535"/>
      <c r="AI259" s="558"/>
      <c r="AL259" s="535"/>
      <c r="AP259" s="535"/>
    </row>
    <row r="260">
      <c r="A260" s="552"/>
      <c r="B260" s="552"/>
      <c r="N260" s="535"/>
      <c r="O260" s="558"/>
      <c r="R260" s="535"/>
      <c r="S260" s="558"/>
      <c r="V260" s="535"/>
      <c r="W260" s="558"/>
      <c r="Z260" s="535"/>
      <c r="AA260" s="558"/>
      <c r="AD260" s="535"/>
      <c r="AE260" s="558"/>
      <c r="AH260" s="535"/>
      <c r="AI260" s="558"/>
      <c r="AL260" s="535"/>
      <c r="AP260" s="535"/>
    </row>
    <row r="261">
      <c r="A261" s="552"/>
      <c r="B261" s="552"/>
      <c r="N261" s="535"/>
      <c r="O261" s="558"/>
      <c r="R261" s="535"/>
      <c r="S261" s="558"/>
      <c r="V261" s="535"/>
      <c r="W261" s="558"/>
      <c r="Z261" s="535"/>
      <c r="AA261" s="558"/>
      <c r="AD261" s="535"/>
      <c r="AE261" s="558"/>
      <c r="AH261" s="535"/>
      <c r="AI261" s="558"/>
      <c r="AL261" s="535"/>
      <c r="AP261" s="535"/>
    </row>
    <row r="262">
      <c r="A262" s="552"/>
      <c r="B262" s="552"/>
      <c r="N262" s="535"/>
      <c r="O262" s="558"/>
      <c r="R262" s="535"/>
      <c r="S262" s="558"/>
      <c r="V262" s="535"/>
      <c r="W262" s="558"/>
      <c r="Z262" s="535"/>
      <c r="AA262" s="558"/>
      <c r="AD262" s="535"/>
      <c r="AE262" s="558"/>
      <c r="AH262" s="535"/>
      <c r="AI262" s="558"/>
      <c r="AL262" s="535"/>
      <c r="AP262" s="535"/>
    </row>
    <row r="263">
      <c r="A263" s="552"/>
      <c r="B263" s="552"/>
      <c r="N263" s="535"/>
      <c r="O263" s="558"/>
      <c r="R263" s="535"/>
      <c r="S263" s="558"/>
      <c r="V263" s="535"/>
      <c r="W263" s="558"/>
      <c r="Z263" s="535"/>
      <c r="AA263" s="558"/>
      <c r="AD263" s="535"/>
      <c r="AE263" s="558"/>
      <c r="AH263" s="535"/>
      <c r="AI263" s="558"/>
      <c r="AL263" s="535"/>
      <c r="AP263" s="535"/>
    </row>
    <row r="264">
      <c r="A264" s="552"/>
      <c r="B264" s="552"/>
      <c r="N264" s="535"/>
      <c r="O264" s="558"/>
      <c r="R264" s="535"/>
      <c r="S264" s="558"/>
      <c r="V264" s="535"/>
      <c r="W264" s="558"/>
      <c r="Z264" s="535"/>
      <c r="AA264" s="558"/>
      <c r="AD264" s="535"/>
      <c r="AE264" s="558"/>
      <c r="AH264" s="535"/>
      <c r="AI264" s="558"/>
      <c r="AL264" s="535"/>
      <c r="AP264" s="535"/>
    </row>
    <row r="265">
      <c r="A265" s="552"/>
      <c r="B265" s="552"/>
      <c r="N265" s="535"/>
      <c r="O265" s="558"/>
      <c r="R265" s="535"/>
      <c r="S265" s="558"/>
      <c r="V265" s="535"/>
      <c r="W265" s="558"/>
      <c r="Z265" s="535"/>
      <c r="AA265" s="558"/>
      <c r="AD265" s="535"/>
      <c r="AE265" s="558"/>
      <c r="AH265" s="535"/>
      <c r="AI265" s="558"/>
      <c r="AL265" s="535"/>
      <c r="AP265" s="535"/>
    </row>
    <row r="266">
      <c r="A266" s="552"/>
      <c r="B266" s="552"/>
      <c r="N266" s="535"/>
      <c r="O266" s="558"/>
      <c r="R266" s="535"/>
      <c r="S266" s="558"/>
      <c r="V266" s="535"/>
      <c r="W266" s="558"/>
      <c r="Z266" s="535"/>
      <c r="AA266" s="558"/>
      <c r="AD266" s="535"/>
      <c r="AE266" s="558"/>
      <c r="AH266" s="535"/>
      <c r="AI266" s="558"/>
      <c r="AL266" s="535"/>
      <c r="AP266" s="535"/>
    </row>
    <row r="267">
      <c r="A267" s="552"/>
      <c r="B267" s="552"/>
      <c r="N267" s="535"/>
      <c r="O267" s="558"/>
      <c r="R267" s="535"/>
      <c r="S267" s="558"/>
      <c r="V267" s="535"/>
      <c r="W267" s="558"/>
      <c r="Z267" s="535"/>
      <c r="AA267" s="558"/>
      <c r="AD267" s="535"/>
      <c r="AE267" s="558"/>
      <c r="AH267" s="535"/>
      <c r="AI267" s="558"/>
      <c r="AL267" s="535"/>
      <c r="AP267" s="535"/>
    </row>
    <row r="268">
      <c r="A268" s="552"/>
      <c r="B268" s="552"/>
      <c r="N268" s="535"/>
      <c r="O268" s="558"/>
      <c r="R268" s="535"/>
      <c r="S268" s="558"/>
      <c r="V268" s="535"/>
      <c r="W268" s="558"/>
      <c r="Z268" s="535"/>
      <c r="AA268" s="558"/>
      <c r="AD268" s="535"/>
      <c r="AE268" s="558"/>
      <c r="AH268" s="535"/>
      <c r="AI268" s="558"/>
      <c r="AL268" s="535"/>
      <c r="AP268" s="535"/>
    </row>
    <row r="269">
      <c r="A269" s="552"/>
      <c r="B269" s="552"/>
      <c r="N269" s="535"/>
      <c r="O269" s="558"/>
      <c r="R269" s="535"/>
      <c r="S269" s="558"/>
      <c r="V269" s="535"/>
      <c r="W269" s="558"/>
      <c r="Z269" s="535"/>
      <c r="AA269" s="558"/>
      <c r="AD269" s="535"/>
      <c r="AE269" s="558"/>
      <c r="AH269" s="535"/>
      <c r="AI269" s="558"/>
      <c r="AL269" s="535"/>
      <c r="AP269" s="535"/>
    </row>
    <row r="270">
      <c r="A270" s="552"/>
      <c r="B270" s="552"/>
      <c r="N270" s="535"/>
      <c r="O270" s="558"/>
      <c r="R270" s="535"/>
      <c r="S270" s="558"/>
      <c r="V270" s="535"/>
      <c r="W270" s="558"/>
      <c r="Z270" s="535"/>
      <c r="AA270" s="558"/>
      <c r="AD270" s="535"/>
      <c r="AE270" s="558"/>
      <c r="AH270" s="535"/>
      <c r="AI270" s="558"/>
      <c r="AL270" s="535"/>
      <c r="AP270" s="535"/>
    </row>
    <row r="271">
      <c r="A271" s="552"/>
      <c r="B271" s="552"/>
      <c r="N271" s="535"/>
      <c r="O271" s="558"/>
      <c r="R271" s="535"/>
      <c r="S271" s="558"/>
      <c r="V271" s="535"/>
      <c r="W271" s="558"/>
      <c r="Z271" s="535"/>
      <c r="AA271" s="558"/>
      <c r="AD271" s="535"/>
      <c r="AE271" s="558"/>
      <c r="AH271" s="535"/>
      <c r="AI271" s="558"/>
      <c r="AL271" s="535"/>
      <c r="AP271" s="535"/>
    </row>
    <row r="272">
      <c r="A272" s="552"/>
      <c r="B272" s="552"/>
      <c r="N272" s="535"/>
      <c r="O272" s="558"/>
      <c r="R272" s="535"/>
      <c r="S272" s="558"/>
      <c r="V272" s="535"/>
      <c r="W272" s="558"/>
      <c r="Z272" s="535"/>
      <c r="AA272" s="558"/>
      <c r="AD272" s="535"/>
      <c r="AE272" s="558"/>
      <c r="AH272" s="535"/>
      <c r="AI272" s="558"/>
      <c r="AL272" s="535"/>
      <c r="AP272" s="535"/>
    </row>
    <row r="273">
      <c r="A273" s="552"/>
      <c r="B273" s="552"/>
      <c r="N273" s="535"/>
      <c r="O273" s="558"/>
      <c r="R273" s="535"/>
      <c r="S273" s="558"/>
      <c r="V273" s="535"/>
      <c r="W273" s="558"/>
      <c r="Z273" s="535"/>
      <c r="AA273" s="558"/>
      <c r="AD273" s="535"/>
      <c r="AE273" s="558"/>
      <c r="AH273" s="535"/>
      <c r="AI273" s="558"/>
      <c r="AL273" s="535"/>
      <c r="AP273" s="535"/>
    </row>
    <row r="274">
      <c r="A274" s="552"/>
      <c r="B274" s="552"/>
      <c r="N274" s="535"/>
      <c r="O274" s="558"/>
      <c r="R274" s="535"/>
      <c r="S274" s="558"/>
      <c r="V274" s="535"/>
      <c r="W274" s="558"/>
      <c r="Z274" s="535"/>
      <c r="AA274" s="558"/>
      <c r="AD274" s="535"/>
      <c r="AE274" s="558"/>
      <c r="AH274" s="535"/>
      <c r="AI274" s="558"/>
      <c r="AL274" s="535"/>
      <c r="AP274" s="535"/>
    </row>
    <row r="275">
      <c r="A275" s="552"/>
      <c r="B275" s="552"/>
      <c r="N275" s="535"/>
      <c r="O275" s="558"/>
      <c r="R275" s="535"/>
      <c r="S275" s="558"/>
      <c r="V275" s="535"/>
      <c r="W275" s="558"/>
      <c r="Z275" s="535"/>
      <c r="AA275" s="558"/>
      <c r="AD275" s="535"/>
      <c r="AE275" s="558"/>
      <c r="AH275" s="535"/>
      <c r="AI275" s="558"/>
      <c r="AL275" s="535"/>
      <c r="AP275" s="535"/>
    </row>
    <row r="276">
      <c r="A276" s="552"/>
      <c r="B276" s="552"/>
      <c r="N276" s="535"/>
      <c r="O276" s="558"/>
      <c r="R276" s="535"/>
      <c r="S276" s="558"/>
      <c r="V276" s="535"/>
      <c r="W276" s="558"/>
      <c r="Z276" s="535"/>
      <c r="AA276" s="558"/>
      <c r="AD276" s="535"/>
      <c r="AE276" s="558"/>
      <c r="AH276" s="535"/>
      <c r="AI276" s="558"/>
      <c r="AL276" s="535"/>
      <c r="AP276" s="535"/>
    </row>
    <row r="277">
      <c r="A277" s="552"/>
      <c r="B277" s="552"/>
      <c r="N277" s="535"/>
      <c r="O277" s="558"/>
      <c r="R277" s="535"/>
      <c r="S277" s="558"/>
      <c r="V277" s="535"/>
      <c r="W277" s="558"/>
      <c r="Z277" s="535"/>
      <c r="AA277" s="558"/>
      <c r="AD277" s="535"/>
      <c r="AE277" s="558"/>
      <c r="AH277" s="535"/>
      <c r="AI277" s="558"/>
      <c r="AL277" s="535"/>
      <c r="AP277" s="535"/>
    </row>
    <row r="278">
      <c r="A278" s="552"/>
      <c r="B278" s="552"/>
      <c r="N278" s="535"/>
      <c r="O278" s="558"/>
      <c r="R278" s="535"/>
      <c r="S278" s="558"/>
      <c r="V278" s="535"/>
      <c r="W278" s="558"/>
      <c r="Z278" s="535"/>
      <c r="AA278" s="558"/>
      <c r="AD278" s="535"/>
      <c r="AE278" s="558"/>
      <c r="AH278" s="535"/>
      <c r="AI278" s="558"/>
      <c r="AL278" s="535"/>
      <c r="AP278" s="535"/>
    </row>
    <row r="279">
      <c r="A279" s="552"/>
      <c r="B279" s="552"/>
      <c r="N279" s="535"/>
      <c r="O279" s="558"/>
      <c r="R279" s="535"/>
      <c r="S279" s="558"/>
      <c r="V279" s="535"/>
      <c r="W279" s="558"/>
      <c r="Z279" s="535"/>
      <c r="AA279" s="558"/>
      <c r="AD279" s="535"/>
      <c r="AE279" s="558"/>
      <c r="AH279" s="535"/>
      <c r="AI279" s="558"/>
      <c r="AL279" s="535"/>
      <c r="AP279" s="535"/>
    </row>
    <row r="280">
      <c r="A280" s="552"/>
      <c r="B280" s="552"/>
      <c r="N280" s="535"/>
      <c r="O280" s="558"/>
      <c r="R280" s="535"/>
      <c r="S280" s="558"/>
      <c r="V280" s="535"/>
      <c r="W280" s="558"/>
      <c r="Z280" s="535"/>
      <c r="AA280" s="558"/>
      <c r="AD280" s="535"/>
      <c r="AE280" s="558"/>
      <c r="AH280" s="535"/>
      <c r="AI280" s="558"/>
      <c r="AL280" s="535"/>
      <c r="AP280" s="535"/>
    </row>
    <row r="281">
      <c r="A281" s="552"/>
      <c r="B281" s="552"/>
      <c r="N281" s="535"/>
      <c r="O281" s="558"/>
      <c r="R281" s="535"/>
      <c r="S281" s="558"/>
      <c r="V281" s="535"/>
      <c r="W281" s="558"/>
      <c r="Z281" s="535"/>
      <c r="AA281" s="558"/>
      <c r="AD281" s="535"/>
      <c r="AE281" s="558"/>
      <c r="AH281" s="535"/>
      <c r="AI281" s="558"/>
      <c r="AL281" s="535"/>
      <c r="AP281" s="535"/>
    </row>
    <row r="282">
      <c r="A282" s="552"/>
      <c r="B282" s="552"/>
      <c r="N282" s="535"/>
      <c r="O282" s="558"/>
      <c r="R282" s="535"/>
      <c r="S282" s="558"/>
      <c r="V282" s="535"/>
      <c r="W282" s="558"/>
      <c r="Z282" s="535"/>
      <c r="AA282" s="558"/>
      <c r="AD282" s="535"/>
      <c r="AE282" s="558"/>
      <c r="AH282" s="535"/>
      <c r="AI282" s="558"/>
      <c r="AL282" s="535"/>
      <c r="AP282" s="535"/>
    </row>
    <row r="283">
      <c r="A283" s="552"/>
      <c r="B283" s="552"/>
      <c r="N283" s="535"/>
      <c r="O283" s="558"/>
      <c r="R283" s="535"/>
      <c r="S283" s="558"/>
      <c r="V283" s="535"/>
      <c r="W283" s="558"/>
      <c r="Z283" s="535"/>
      <c r="AA283" s="558"/>
      <c r="AD283" s="535"/>
      <c r="AE283" s="558"/>
      <c r="AH283" s="535"/>
      <c r="AI283" s="558"/>
      <c r="AL283" s="535"/>
      <c r="AP283" s="535"/>
    </row>
    <row r="284">
      <c r="A284" s="552"/>
      <c r="B284" s="552"/>
      <c r="N284" s="535"/>
      <c r="O284" s="558"/>
      <c r="R284" s="535"/>
      <c r="S284" s="558"/>
      <c r="V284" s="535"/>
      <c r="W284" s="558"/>
      <c r="Z284" s="535"/>
      <c r="AA284" s="558"/>
      <c r="AD284" s="535"/>
      <c r="AE284" s="558"/>
      <c r="AH284" s="535"/>
      <c r="AI284" s="558"/>
      <c r="AL284" s="535"/>
      <c r="AP284" s="535"/>
    </row>
    <row r="285">
      <c r="A285" s="552"/>
      <c r="B285" s="552"/>
      <c r="N285" s="535"/>
      <c r="O285" s="558"/>
      <c r="R285" s="535"/>
      <c r="S285" s="558"/>
      <c r="V285" s="535"/>
      <c r="W285" s="558"/>
      <c r="Z285" s="535"/>
      <c r="AA285" s="558"/>
      <c r="AD285" s="535"/>
      <c r="AE285" s="558"/>
      <c r="AH285" s="535"/>
      <c r="AI285" s="558"/>
      <c r="AL285" s="535"/>
      <c r="AP285" s="535"/>
    </row>
    <row r="286">
      <c r="A286" s="552"/>
      <c r="B286" s="552"/>
      <c r="N286" s="535"/>
      <c r="O286" s="558"/>
      <c r="R286" s="535"/>
      <c r="S286" s="558"/>
      <c r="V286" s="535"/>
      <c r="W286" s="558"/>
      <c r="Z286" s="535"/>
      <c r="AA286" s="558"/>
      <c r="AD286" s="535"/>
      <c r="AE286" s="558"/>
      <c r="AH286" s="535"/>
      <c r="AI286" s="558"/>
      <c r="AL286" s="535"/>
      <c r="AP286" s="535"/>
    </row>
    <row r="287">
      <c r="A287" s="552"/>
      <c r="B287" s="552"/>
      <c r="N287" s="535"/>
      <c r="O287" s="558"/>
      <c r="R287" s="535"/>
      <c r="S287" s="558"/>
      <c r="V287" s="535"/>
      <c r="W287" s="558"/>
      <c r="Z287" s="535"/>
      <c r="AA287" s="558"/>
      <c r="AD287" s="535"/>
      <c r="AE287" s="558"/>
      <c r="AH287" s="535"/>
      <c r="AI287" s="558"/>
      <c r="AL287" s="535"/>
      <c r="AP287" s="535"/>
    </row>
    <row r="288">
      <c r="A288" s="552"/>
      <c r="B288" s="552"/>
      <c r="N288" s="535"/>
      <c r="O288" s="558"/>
      <c r="R288" s="535"/>
      <c r="S288" s="558"/>
      <c r="V288" s="535"/>
      <c r="W288" s="558"/>
      <c r="Z288" s="535"/>
      <c r="AA288" s="558"/>
      <c r="AD288" s="535"/>
      <c r="AE288" s="558"/>
      <c r="AH288" s="535"/>
      <c r="AI288" s="558"/>
      <c r="AL288" s="535"/>
      <c r="AP288" s="535"/>
    </row>
    <row r="289">
      <c r="A289" s="552"/>
      <c r="B289" s="552"/>
      <c r="N289" s="535"/>
      <c r="O289" s="558"/>
      <c r="R289" s="535"/>
      <c r="S289" s="558"/>
      <c r="V289" s="535"/>
      <c r="W289" s="558"/>
      <c r="Z289" s="535"/>
      <c r="AA289" s="558"/>
      <c r="AD289" s="535"/>
      <c r="AE289" s="558"/>
      <c r="AH289" s="535"/>
      <c r="AI289" s="558"/>
      <c r="AL289" s="535"/>
      <c r="AP289" s="535"/>
    </row>
    <row r="290">
      <c r="A290" s="552"/>
      <c r="B290" s="552"/>
      <c r="N290" s="535"/>
      <c r="O290" s="558"/>
      <c r="R290" s="535"/>
      <c r="S290" s="558"/>
      <c r="V290" s="535"/>
      <c r="W290" s="558"/>
      <c r="Z290" s="535"/>
      <c r="AA290" s="558"/>
      <c r="AD290" s="535"/>
      <c r="AE290" s="558"/>
      <c r="AH290" s="535"/>
      <c r="AI290" s="558"/>
      <c r="AL290" s="535"/>
      <c r="AP290" s="535"/>
    </row>
    <row r="291">
      <c r="A291" s="552"/>
      <c r="B291" s="552"/>
      <c r="N291" s="535"/>
      <c r="O291" s="558"/>
      <c r="R291" s="535"/>
      <c r="S291" s="558"/>
      <c r="V291" s="535"/>
      <c r="W291" s="558"/>
      <c r="Z291" s="535"/>
      <c r="AA291" s="558"/>
      <c r="AD291" s="535"/>
      <c r="AE291" s="558"/>
      <c r="AH291" s="535"/>
      <c r="AI291" s="558"/>
      <c r="AL291" s="535"/>
      <c r="AP291" s="535"/>
    </row>
    <row r="292">
      <c r="A292" s="552"/>
      <c r="B292" s="552"/>
      <c r="N292" s="535"/>
      <c r="O292" s="558"/>
      <c r="R292" s="535"/>
      <c r="S292" s="558"/>
      <c r="V292" s="535"/>
      <c r="W292" s="558"/>
      <c r="Z292" s="535"/>
      <c r="AA292" s="558"/>
      <c r="AD292" s="535"/>
      <c r="AE292" s="558"/>
      <c r="AH292" s="535"/>
      <c r="AI292" s="558"/>
      <c r="AL292" s="535"/>
      <c r="AP292" s="535"/>
    </row>
    <row r="293">
      <c r="A293" s="552"/>
      <c r="B293" s="552"/>
      <c r="N293" s="535"/>
      <c r="O293" s="558"/>
      <c r="R293" s="535"/>
      <c r="S293" s="558"/>
      <c r="V293" s="535"/>
      <c r="W293" s="558"/>
      <c r="Z293" s="535"/>
      <c r="AA293" s="558"/>
      <c r="AD293" s="535"/>
      <c r="AE293" s="558"/>
      <c r="AH293" s="535"/>
      <c r="AI293" s="558"/>
      <c r="AL293" s="535"/>
      <c r="AP293" s="535"/>
    </row>
    <row r="294">
      <c r="A294" s="552"/>
      <c r="B294" s="552"/>
      <c r="N294" s="535"/>
      <c r="O294" s="558"/>
      <c r="R294" s="535"/>
      <c r="S294" s="558"/>
      <c r="V294" s="535"/>
      <c r="W294" s="558"/>
      <c r="Z294" s="535"/>
      <c r="AA294" s="558"/>
      <c r="AD294" s="535"/>
      <c r="AE294" s="558"/>
      <c r="AH294" s="535"/>
      <c r="AI294" s="558"/>
      <c r="AL294" s="535"/>
      <c r="AP294" s="535"/>
    </row>
    <row r="295">
      <c r="A295" s="552"/>
      <c r="B295" s="552"/>
      <c r="N295" s="535"/>
      <c r="O295" s="558"/>
      <c r="R295" s="535"/>
      <c r="S295" s="558"/>
      <c r="V295" s="535"/>
      <c r="W295" s="558"/>
      <c r="Z295" s="535"/>
      <c r="AA295" s="558"/>
      <c r="AD295" s="535"/>
      <c r="AE295" s="558"/>
      <c r="AH295" s="535"/>
      <c r="AI295" s="558"/>
      <c r="AL295" s="535"/>
      <c r="AP295" s="535"/>
    </row>
    <row r="296">
      <c r="A296" s="552"/>
      <c r="B296" s="552"/>
      <c r="N296" s="535"/>
      <c r="O296" s="558"/>
      <c r="R296" s="535"/>
      <c r="S296" s="558"/>
      <c r="V296" s="535"/>
      <c r="W296" s="558"/>
      <c r="Z296" s="535"/>
      <c r="AA296" s="558"/>
      <c r="AD296" s="535"/>
      <c r="AE296" s="558"/>
      <c r="AH296" s="535"/>
      <c r="AI296" s="558"/>
      <c r="AL296" s="535"/>
      <c r="AP296" s="535"/>
    </row>
    <row r="297">
      <c r="A297" s="552"/>
      <c r="B297" s="552"/>
      <c r="N297" s="535"/>
      <c r="O297" s="558"/>
      <c r="R297" s="535"/>
      <c r="S297" s="558"/>
      <c r="V297" s="535"/>
      <c r="W297" s="558"/>
      <c r="Z297" s="535"/>
      <c r="AA297" s="558"/>
      <c r="AD297" s="535"/>
      <c r="AE297" s="558"/>
      <c r="AH297" s="535"/>
      <c r="AI297" s="558"/>
      <c r="AL297" s="535"/>
      <c r="AP297" s="535"/>
    </row>
    <row r="298">
      <c r="A298" s="552"/>
      <c r="B298" s="552"/>
      <c r="N298" s="535"/>
      <c r="O298" s="558"/>
      <c r="R298" s="535"/>
      <c r="S298" s="558"/>
      <c r="V298" s="535"/>
      <c r="W298" s="558"/>
      <c r="Z298" s="535"/>
      <c r="AA298" s="558"/>
      <c r="AD298" s="535"/>
      <c r="AE298" s="558"/>
      <c r="AH298" s="535"/>
      <c r="AI298" s="558"/>
      <c r="AL298" s="535"/>
      <c r="AP298" s="535"/>
    </row>
    <row r="299">
      <c r="A299" s="552"/>
      <c r="B299" s="552"/>
      <c r="N299" s="535"/>
      <c r="O299" s="558"/>
      <c r="R299" s="535"/>
      <c r="S299" s="558"/>
      <c r="V299" s="535"/>
      <c r="W299" s="558"/>
      <c r="Z299" s="535"/>
      <c r="AA299" s="558"/>
      <c r="AD299" s="535"/>
      <c r="AE299" s="558"/>
      <c r="AH299" s="535"/>
      <c r="AI299" s="558"/>
      <c r="AL299" s="535"/>
      <c r="AP299" s="535"/>
    </row>
    <row r="300">
      <c r="A300" s="552"/>
      <c r="B300" s="552"/>
      <c r="N300" s="535"/>
      <c r="O300" s="558"/>
      <c r="R300" s="535"/>
      <c r="S300" s="558"/>
      <c r="V300" s="535"/>
      <c r="W300" s="558"/>
      <c r="Z300" s="535"/>
      <c r="AA300" s="558"/>
      <c r="AD300" s="535"/>
      <c r="AE300" s="558"/>
      <c r="AH300" s="535"/>
      <c r="AI300" s="558"/>
      <c r="AL300" s="535"/>
      <c r="AP300" s="535"/>
    </row>
    <row r="301">
      <c r="A301" s="552"/>
      <c r="B301" s="552"/>
      <c r="N301" s="535"/>
      <c r="O301" s="558"/>
      <c r="R301" s="535"/>
      <c r="S301" s="558"/>
      <c r="V301" s="535"/>
      <c r="W301" s="558"/>
      <c r="Z301" s="535"/>
      <c r="AA301" s="558"/>
      <c r="AD301" s="535"/>
      <c r="AE301" s="558"/>
      <c r="AH301" s="535"/>
      <c r="AI301" s="558"/>
      <c r="AL301" s="535"/>
      <c r="AP301" s="535"/>
    </row>
    <row r="302">
      <c r="A302" s="552"/>
      <c r="B302" s="552"/>
      <c r="N302" s="535"/>
      <c r="O302" s="558"/>
      <c r="R302" s="535"/>
      <c r="S302" s="558"/>
      <c r="V302" s="535"/>
      <c r="W302" s="558"/>
      <c r="Z302" s="535"/>
      <c r="AA302" s="558"/>
      <c r="AD302" s="535"/>
      <c r="AE302" s="558"/>
      <c r="AH302" s="535"/>
      <c r="AI302" s="558"/>
      <c r="AL302" s="535"/>
      <c r="AP302" s="535"/>
    </row>
    <row r="303">
      <c r="A303" s="552"/>
      <c r="B303" s="552"/>
      <c r="N303" s="535"/>
      <c r="O303" s="558"/>
      <c r="R303" s="535"/>
      <c r="S303" s="558"/>
      <c r="V303" s="535"/>
      <c r="W303" s="558"/>
      <c r="Z303" s="535"/>
      <c r="AA303" s="558"/>
      <c r="AD303" s="535"/>
      <c r="AE303" s="558"/>
      <c r="AH303" s="535"/>
      <c r="AI303" s="558"/>
      <c r="AL303" s="535"/>
      <c r="AP303" s="535"/>
    </row>
    <row r="304">
      <c r="A304" s="552"/>
      <c r="B304" s="552"/>
      <c r="N304" s="535"/>
      <c r="O304" s="558"/>
      <c r="R304" s="535"/>
      <c r="S304" s="558"/>
      <c r="V304" s="535"/>
      <c r="W304" s="558"/>
      <c r="Z304" s="535"/>
      <c r="AA304" s="558"/>
      <c r="AD304" s="535"/>
      <c r="AE304" s="558"/>
      <c r="AH304" s="535"/>
      <c r="AI304" s="558"/>
      <c r="AL304" s="535"/>
      <c r="AP304" s="535"/>
    </row>
    <row r="305">
      <c r="A305" s="552"/>
      <c r="B305" s="552"/>
      <c r="N305" s="535"/>
      <c r="O305" s="558"/>
      <c r="R305" s="535"/>
      <c r="S305" s="558"/>
      <c r="V305" s="535"/>
      <c r="W305" s="558"/>
      <c r="Z305" s="535"/>
      <c r="AA305" s="558"/>
      <c r="AD305" s="535"/>
      <c r="AE305" s="558"/>
      <c r="AH305" s="535"/>
      <c r="AI305" s="558"/>
      <c r="AL305" s="535"/>
      <c r="AP305" s="535"/>
    </row>
    <row r="306">
      <c r="A306" s="552"/>
      <c r="B306" s="552"/>
      <c r="N306" s="535"/>
      <c r="O306" s="558"/>
      <c r="R306" s="535"/>
      <c r="S306" s="558"/>
      <c r="V306" s="535"/>
      <c r="W306" s="558"/>
      <c r="Z306" s="535"/>
      <c r="AA306" s="558"/>
      <c r="AD306" s="535"/>
      <c r="AE306" s="558"/>
      <c r="AH306" s="535"/>
      <c r="AI306" s="558"/>
      <c r="AL306" s="535"/>
      <c r="AP306" s="535"/>
    </row>
    <row r="307">
      <c r="A307" s="552"/>
      <c r="B307" s="552"/>
      <c r="N307" s="535"/>
      <c r="O307" s="558"/>
      <c r="R307" s="535"/>
      <c r="S307" s="558"/>
      <c r="V307" s="535"/>
      <c r="W307" s="558"/>
      <c r="Z307" s="535"/>
      <c r="AA307" s="558"/>
      <c r="AD307" s="535"/>
      <c r="AE307" s="558"/>
      <c r="AH307" s="535"/>
      <c r="AI307" s="558"/>
      <c r="AL307" s="535"/>
      <c r="AP307" s="535"/>
    </row>
    <row r="308">
      <c r="A308" s="552"/>
      <c r="B308" s="552"/>
      <c r="N308" s="535"/>
      <c r="O308" s="558"/>
      <c r="R308" s="535"/>
      <c r="S308" s="558"/>
      <c r="V308" s="535"/>
      <c r="W308" s="558"/>
      <c r="Z308" s="535"/>
      <c r="AA308" s="558"/>
      <c r="AD308" s="535"/>
      <c r="AE308" s="558"/>
      <c r="AH308" s="535"/>
      <c r="AI308" s="558"/>
      <c r="AL308" s="535"/>
      <c r="AP308" s="535"/>
    </row>
    <row r="309">
      <c r="A309" s="552"/>
      <c r="B309" s="552"/>
      <c r="N309" s="535"/>
      <c r="O309" s="558"/>
      <c r="R309" s="535"/>
      <c r="S309" s="558"/>
      <c r="V309" s="535"/>
      <c r="W309" s="558"/>
      <c r="Z309" s="535"/>
      <c r="AA309" s="558"/>
      <c r="AD309" s="535"/>
      <c r="AE309" s="558"/>
      <c r="AH309" s="535"/>
      <c r="AI309" s="558"/>
      <c r="AL309" s="535"/>
      <c r="AP309" s="535"/>
    </row>
    <row r="310">
      <c r="A310" s="552"/>
      <c r="B310" s="552"/>
      <c r="N310" s="535"/>
      <c r="O310" s="558"/>
      <c r="R310" s="535"/>
      <c r="S310" s="558"/>
      <c r="V310" s="535"/>
      <c r="W310" s="558"/>
      <c r="Z310" s="535"/>
      <c r="AA310" s="558"/>
      <c r="AD310" s="535"/>
      <c r="AE310" s="558"/>
      <c r="AH310" s="535"/>
      <c r="AI310" s="558"/>
      <c r="AL310" s="535"/>
      <c r="AP310" s="535"/>
    </row>
    <row r="311">
      <c r="A311" s="552"/>
      <c r="B311" s="552"/>
      <c r="N311" s="535"/>
      <c r="O311" s="558"/>
      <c r="R311" s="535"/>
      <c r="S311" s="558"/>
      <c r="V311" s="535"/>
      <c r="W311" s="558"/>
      <c r="Z311" s="535"/>
      <c r="AA311" s="558"/>
      <c r="AD311" s="535"/>
      <c r="AE311" s="558"/>
      <c r="AH311" s="535"/>
      <c r="AI311" s="558"/>
      <c r="AL311" s="535"/>
      <c r="AP311" s="535"/>
    </row>
    <row r="312">
      <c r="A312" s="552"/>
      <c r="B312" s="552"/>
      <c r="N312" s="535"/>
      <c r="O312" s="558"/>
      <c r="R312" s="535"/>
      <c r="S312" s="558"/>
      <c r="V312" s="535"/>
      <c r="W312" s="558"/>
      <c r="Z312" s="535"/>
      <c r="AA312" s="558"/>
      <c r="AD312" s="535"/>
      <c r="AE312" s="558"/>
      <c r="AH312" s="535"/>
      <c r="AI312" s="558"/>
      <c r="AL312" s="535"/>
      <c r="AP312" s="535"/>
    </row>
    <row r="313">
      <c r="A313" s="552"/>
      <c r="B313" s="552"/>
      <c r="N313" s="535"/>
      <c r="O313" s="558"/>
      <c r="R313" s="535"/>
      <c r="S313" s="558"/>
      <c r="V313" s="535"/>
      <c r="W313" s="558"/>
      <c r="Z313" s="535"/>
      <c r="AA313" s="558"/>
      <c r="AD313" s="535"/>
      <c r="AE313" s="558"/>
      <c r="AH313" s="535"/>
      <c r="AI313" s="558"/>
      <c r="AL313" s="535"/>
      <c r="AP313" s="535"/>
    </row>
    <row r="314">
      <c r="A314" s="552"/>
      <c r="B314" s="552"/>
      <c r="N314" s="535"/>
      <c r="O314" s="558"/>
      <c r="R314" s="535"/>
      <c r="S314" s="558"/>
      <c r="V314" s="535"/>
      <c r="W314" s="558"/>
      <c r="Z314" s="535"/>
      <c r="AA314" s="558"/>
      <c r="AD314" s="535"/>
      <c r="AE314" s="558"/>
      <c r="AH314" s="535"/>
      <c r="AI314" s="558"/>
      <c r="AL314" s="535"/>
      <c r="AP314" s="535"/>
    </row>
    <row r="315">
      <c r="A315" s="552"/>
      <c r="B315" s="552"/>
      <c r="N315" s="535"/>
      <c r="O315" s="558"/>
      <c r="R315" s="535"/>
      <c r="S315" s="558"/>
      <c r="V315" s="535"/>
      <c r="W315" s="558"/>
      <c r="Z315" s="535"/>
      <c r="AA315" s="558"/>
      <c r="AD315" s="535"/>
      <c r="AE315" s="558"/>
      <c r="AH315" s="535"/>
      <c r="AI315" s="558"/>
      <c r="AL315" s="535"/>
      <c r="AP315" s="535"/>
    </row>
    <row r="316">
      <c r="A316" s="552"/>
      <c r="B316" s="552"/>
      <c r="N316" s="535"/>
      <c r="O316" s="558"/>
      <c r="R316" s="535"/>
      <c r="S316" s="558"/>
      <c r="V316" s="535"/>
      <c r="W316" s="558"/>
      <c r="Z316" s="535"/>
      <c r="AA316" s="558"/>
      <c r="AD316" s="535"/>
      <c r="AE316" s="558"/>
      <c r="AH316" s="535"/>
      <c r="AI316" s="558"/>
      <c r="AL316" s="535"/>
      <c r="AP316" s="535"/>
    </row>
    <row r="317">
      <c r="A317" s="552"/>
      <c r="B317" s="552"/>
      <c r="N317" s="535"/>
      <c r="O317" s="558"/>
      <c r="R317" s="535"/>
      <c r="S317" s="558"/>
      <c r="V317" s="535"/>
      <c r="W317" s="558"/>
      <c r="Z317" s="535"/>
      <c r="AA317" s="558"/>
      <c r="AD317" s="535"/>
      <c r="AE317" s="558"/>
      <c r="AH317" s="535"/>
      <c r="AI317" s="558"/>
      <c r="AL317" s="535"/>
      <c r="AP317" s="535"/>
    </row>
    <row r="318">
      <c r="A318" s="552"/>
      <c r="B318" s="552"/>
      <c r="N318" s="535"/>
      <c r="O318" s="558"/>
      <c r="R318" s="535"/>
      <c r="S318" s="558"/>
      <c r="V318" s="535"/>
      <c r="W318" s="558"/>
      <c r="Z318" s="535"/>
      <c r="AA318" s="558"/>
      <c r="AD318" s="535"/>
      <c r="AE318" s="558"/>
      <c r="AH318" s="535"/>
      <c r="AI318" s="558"/>
      <c r="AL318" s="535"/>
      <c r="AP318" s="535"/>
    </row>
    <row r="319">
      <c r="A319" s="552"/>
      <c r="B319" s="552"/>
      <c r="N319" s="535"/>
      <c r="O319" s="558"/>
      <c r="R319" s="535"/>
      <c r="S319" s="558"/>
      <c r="V319" s="535"/>
      <c r="W319" s="558"/>
      <c r="Z319" s="535"/>
      <c r="AA319" s="558"/>
      <c r="AD319" s="535"/>
      <c r="AE319" s="558"/>
      <c r="AH319" s="535"/>
      <c r="AI319" s="558"/>
      <c r="AL319" s="535"/>
      <c r="AP319" s="535"/>
    </row>
    <row r="320">
      <c r="A320" s="552"/>
      <c r="B320" s="552"/>
      <c r="N320" s="535"/>
      <c r="O320" s="558"/>
      <c r="R320" s="535"/>
      <c r="S320" s="558"/>
      <c r="V320" s="535"/>
      <c r="W320" s="558"/>
      <c r="Z320" s="535"/>
      <c r="AA320" s="558"/>
      <c r="AD320" s="535"/>
      <c r="AE320" s="558"/>
      <c r="AH320" s="535"/>
      <c r="AI320" s="558"/>
      <c r="AL320" s="535"/>
      <c r="AP320" s="535"/>
    </row>
    <row r="321">
      <c r="A321" s="552"/>
      <c r="B321" s="552"/>
      <c r="N321" s="535"/>
      <c r="O321" s="558"/>
      <c r="R321" s="535"/>
      <c r="S321" s="558"/>
      <c r="V321" s="535"/>
      <c r="W321" s="558"/>
      <c r="Z321" s="535"/>
      <c r="AA321" s="558"/>
      <c r="AD321" s="535"/>
      <c r="AE321" s="558"/>
      <c r="AH321" s="535"/>
      <c r="AI321" s="558"/>
      <c r="AL321" s="535"/>
      <c r="AP321" s="535"/>
    </row>
    <row r="322">
      <c r="A322" s="552"/>
      <c r="B322" s="552"/>
      <c r="N322" s="535"/>
      <c r="O322" s="558"/>
      <c r="R322" s="535"/>
      <c r="S322" s="558"/>
      <c r="V322" s="535"/>
      <c r="W322" s="558"/>
      <c r="Z322" s="535"/>
      <c r="AA322" s="558"/>
      <c r="AD322" s="535"/>
      <c r="AE322" s="558"/>
      <c r="AH322" s="535"/>
      <c r="AI322" s="558"/>
      <c r="AL322" s="535"/>
      <c r="AP322" s="535"/>
    </row>
    <row r="323">
      <c r="A323" s="552"/>
      <c r="B323" s="552"/>
      <c r="N323" s="535"/>
      <c r="O323" s="558"/>
      <c r="R323" s="535"/>
      <c r="S323" s="558"/>
      <c r="V323" s="535"/>
      <c r="W323" s="558"/>
      <c r="Z323" s="535"/>
      <c r="AA323" s="558"/>
      <c r="AD323" s="535"/>
      <c r="AE323" s="558"/>
      <c r="AH323" s="535"/>
      <c r="AI323" s="558"/>
      <c r="AL323" s="535"/>
      <c r="AP323" s="535"/>
    </row>
    <row r="324">
      <c r="A324" s="552"/>
      <c r="B324" s="552"/>
      <c r="N324" s="535"/>
      <c r="O324" s="558"/>
      <c r="R324" s="535"/>
      <c r="S324" s="558"/>
      <c r="V324" s="535"/>
      <c r="W324" s="558"/>
      <c r="Z324" s="535"/>
      <c r="AA324" s="558"/>
      <c r="AD324" s="535"/>
      <c r="AE324" s="558"/>
      <c r="AH324" s="535"/>
      <c r="AI324" s="558"/>
      <c r="AL324" s="535"/>
      <c r="AP324" s="535"/>
    </row>
    <row r="325">
      <c r="A325" s="552"/>
      <c r="B325" s="552"/>
      <c r="N325" s="535"/>
      <c r="O325" s="558"/>
      <c r="R325" s="535"/>
      <c r="S325" s="558"/>
      <c r="V325" s="535"/>
      <c r="W325" s="558"/>
      <c r="Z325" s="535"/>
      <c r="AA325" s="558"/>
      <c r="AD325" s="535"/>
      <c r="AE325" s="558"/>
      <c r="AH325" s="535"/>
      <c r="AI325" s="558"/>
      <c r="AL325" s="535"/>
      <c r="AP325" s="535"/>
    </row>
    <row r="326">
      <c r="A326" s="552"/>
      <c r="B326" s="552"/>
      <c r="N326" s="535"/>
      <c r="O326" s="558"/>
      <c r="R326" s="535"/>
      <c r="S326" s="558"/>
      <c r="V326" s="535"/>
      <c r="W326" s="558"/>
      <c r="Z326" s="535"/>
      <c r="AA326" s="558"/>
      <c r="AD326" s="535"/>
      <c r="AE326" s="558"/>
      <c r="AH326" s="535"/>
      <c r="AI326" s="558"/>
      <c r="AL326" s="535"/>
      <c r="AP326" s="535"/>
    </row>
    <row r="327">
      <c r="A327" s="552"/>
      <c r="B327" s="552"/>
      <c r="N327" s="535"/>
      <c r="O327" s="558"/>
      <c r="R327" s="535"/>
      <c r="S327" s="558"/>
      <c r="V327" s="535"/>
      <c r="W327" s="558"/>
      <c r="Z327" s="535"/>
      <c r="AA327" s="558"/>
      <c r="AD327" s="535"/>
      <c r="AE327" s="558"/>
      <c r="AH327" s="535"/>
      <c r="AI327" s="558"/>
      <c r="AL327" s="535"/>
      <c r="AP327" s="535"/>
    </row>
    <row r="328">
      <c r="A328" s="552"/>
      <c r="B328" s="552"/>
      <c r="N328" s="535"/>
      <c r="O328" s="558"/>
      <c r="R328" s="535"/>
      <c r="S328" s="558"/>
      <c r="V328" s="535"/>
      <c r="W328" s="558"/>
      <c r="Z328" s="535"/>
      <c r="AA328" s="558"/>
      <c r="AD328" s="535"/>
      <c r="AE328" s="558"/>
      <c r="AH328" s="535"/>
      <c r="AI328" s="558"/>
      <c r="AL328" s="535"/>
      <c r="AP328" s="535"/>
    </row>
    <row r="329">
      <c r="A329" s="552"/>
      <c r="B329" s="552"/>
      <c r="N329" s="535"/>
      <c r="O329" s="558"/>
      <c r="R329" s="535"/>
      <c r="S329" s="558"/>
      <c r="V329" s="535"/>
      <c r="W329" s="558"/>
      <c r="Z329" s="535"/>
      <c r="AA329" s="558"/>
      <c r="AD329" s="535"/>
      <c r="AE329" s="558"/>
      <c r="AH329" s="535"/>
      <c r="AI329" s="558"/>
      <c r="AL329" s="535"/>
      <c r="AP329" s="535"/>
    </row>
    <row r="330">
      <c r="A330" s="552"/>
      <c r="B330" s="552"/>
      <c r="N330" s="535"/>
      <c r="O330" s="558"/>
      <c r="R330" s="535"/>
      <c r="S330" s="558"/>
      <c r="V330" s="535"/>
      <c r="W330" s="558"/>
      <c r="Z330" s="535"/>
      <c r="AA330" s="558"/>
      <c r="AD330" s="535"/>
      <c r="AE330" s="558"/>
      <c r="AH330" s="535"/>
      <c r="AI330" s="558"/>
      <c r="AL330" s="535"/>
      <c r="AP330" s="535"/>
    </row>
    <row r="331">
      <c r="A331" s="552"/>
      <c r="B331" s="552"/>
      <c r="N331" s="535"/>
      <c r="O331" s="558"/>
      <c r="R331" s="535"/>
      <c r="S331" s="558"/>
      <c r="V331" s="535"/>
      <c r="W331" s="558"/>
      <c r="Z331" s="535"/>
      <c r="AA331" s="558"/>
      <c r="AD331" s="535"/>
      <c r="AE331" s="558"/>
      <c r="AH331" s="535"/>
      <c r="AI331" s="558"/>
      <c r="AL331" s="535"/>
      <c r="AP331" s="535"/>
    </row>
    <row r="332">
      <c r="A332" s="552"/>
      <c r="B332" s="552"/>
      <c r="N332" s="535"/>
      <c r="O332" s="558"/>
      <c r="R332" s="535"/>
      <c r="S332" s="558"/>
      <c r="V332" s="535"/>
      <c r="W332" s="558"/>
      <c r="Z332" s="535"/>
      <c r="AA332" s="558"/>
      <c r="AD332" s="535"/>
      <c r="AE332" s="558"/>
      <c r="AH332" s="535"/>
      <c r="AI332" s="558"/>
      <c r="AL332" s="535"/>
      <c r="AP332" s="535"/>
    </row>
    <row r="333">
      <c r="A333" s="552"/>
      <c r="B333" s="552"/>
      <c r="N333" s="535"/>
      <c r="O333" s="558"/>
      <c r="R333" s="535"/>
      <c r="S333" s="558"/>
      <c r="V333" s="535"/>
      <c r="W333" s="558"/>
      <c r="Z333" s="535"/>
      <c r="AA333" s="558"/>
      <c r="AD333" s="535"/>
      <c r="AE333" s="558"/>
      <c r="AH333" s="535"/>
      <c r="AI333" s="558"/>
      <c r="AL333" s="535"/>
      <c r="AP333" s="535"/>
    </row>
    <row r="334">
      <c r="A334" s="552"/>
      <c r="B334" s="552"/>
      <c r="N334" s="535"/>
      <c r="O334" s="558"/>
      <c r="R334" s="535"/>
      <c r="S334" s="558"/>
      <c r="V334" s="535"/>
      <c r="W334" s="558"/>
      <c r="Z334" s="535"/>
      <c r="AA334" s="558"/>
      <c r="AD334" s="535"/>
      <c r="AE334" s="558"/>
      <c r="AH334" s="535"/>
      <c r="AI334" s="558"/>
      <c r="AL334" s="535"/>
      <c r="AP334" s="535"/>
    </row>
    <row r="335">
      <c r="A335" s="552"/>
      <c r="B335" s="552"/>
      <c r="N335" s="535"/>
      <c r="O335" s="558"/>
      <c r="R335" s="535"/>
      <c r="S335" s="558"/>
      <c r="V335" s="535"/>
      <c r="W335" s="558"/>
      <c r="Z335" s="535"/>
      <c r="AA335" s="558"/>
      <c r="AD335" s="535"/>
      <c r="AE335" s="558"/>
      <c r="AH335" s="535"/>
      <c r="AI335" s="558"/>
      <c r="AL335" s="535"/>
      <c r="AP335" s="535"/>
    </row>
    <row r="336">
      <c r="A336" s="552"/>
      <c r="B336" s="552"/>
      <c r="N336" s="535"/>
      <c r="O336" s="558"/>
      <c r="R336" s="535"/>
      <c r="S336" s="558"/>
      <c r="V336" s="535"/>
      <c r="W336" s="558"/>
      <c r="Z336" s="535"/>
      <c r="AA336" s="558"/>
      <c r="AD336" s="535"/>
      <c r="AE336" s="558"/>
      <c r="AH336" s="535"/>
      <c r="AI336" s="558"/>
      <c r="AL336" s="535"/>
      <c r="AP336" s="535"/>
    </row>
    <row r="337">
      <c r="A337" s="552"/>
      <c r="B337" s="552"/>
      <c r="N337" s="535"/>
      <c r="O337" s="558"/>
      <c r="R337" s="535"/>
      <c r="S337" s="558"/>
      <c r="V337" s="535"/>
      <c r="W337" s="558"/>
      <c r="Z337" s="535"/>
      <c r="AA337" s="558"/>
      <c r="AD337" s="535"/>
      <c r="AE337" s="558"/>
      <c r="AH337" s="535"/>
      <c r="AI337" s="558"/>
      <c r="AL337" s="535"/>
      <c r="AP337" s="535"/>
    </row>
    <row r="338">
      <c r="A338" s="552"/>
      <c r="B338" s="552"/>
      <c r="N338" s="535"/>
      <c r="O338" s="558"/>
      <c r="R338" s="535"/>
      <c r="S338" s="558"/>
      <c r="V338" s="535"/>
      <c r="W338" s="558"/>
      <c r="Z338" s="535"/>
      <c r="AA338" s="558"/>
      <c r="AD338" s="535"/>
      <c r="AE338" s="558"/>
      <c r="AH338" s="535"/>
      <c r="AI338" s="558"/>
      <c r="AL338" s="535"/>
      <c r="AP338" s="535"/>
    </row>
    <row r="339">
      <c r="A339" s="552"/>
      <c r="B339" s="552"/>
      <c r="N339" s="535"/>
      <c r="O339" s="558"/>
      <c r="R339" s="535"/>
      <c r="S339" s="558"/>
      <c r="V339" s="535"/>
      <c r="W339" s="558"/>
      <c r="Z339" s="535"/>
      <c r="AA339" s="558"/>
      <c r="AD339" s="535"/>
      <c r="AE339" s="558"/>
      <c r="AH339" s="535"/>
      <c r="AI339" s="558"/>
      <c r="AL339" s="535"/>
      <c r="AP339" s="535"/>
    </row>
    <row r="340">
      <c r="A340" s="552"/>
      <c r="B340" s="552"/>
      <c r="N340" s="535"/>
      <c r="O340" s="558"/>
      <c r="R340" s="535"/>
      <c r="S340" s="558"/>
      <c r="V340" s="535"/>
      <c r="W340" s="558"/>
      <c r="Z340" s="535"/>
      <c r="AA340" s="558"/>
      <c r="AD340" s="535"/>
      <c r="AE340" s="558"/>
      <c r="AH340" s="535"/>
      <c r="AI340" s="558"/>
      <c r="AL340" s="535"/>
      <c r="AP340" s="535"/>
    </row>
    <row r="341">
      <c r="A341" s="552"/>
      <c r="B341" s="552"/>
      <c r="N341" s="535"/>
      <c r="O341" s="558"/>
      <c r="R341" s="535"/>
      <c r="S341" s="558"/>
      <c r="V341" s="535"/>
      <c r="W341" s="558"/>
      <c r="Z341" s="535"/>
      <c r="AA341" s="558"/>
      <c r="AD341" s="535"/>
      <c r="AE341" s="558"/>
      <c r="AH341" s="535"/>
      <c r="AI341" s="558"/>
      <c r="AL341" s="535"/>
      <c r="AP341" s="535"/>
    </row>
    <row r="342">
      <c r="A342" s="552"/>
      <c r="B342" s="552"/>
      <c r="N342" s="535"/>
      <c r="O342" s="558"/>
      <c r="R342" s="535"/>
      <c r="S342" s="558"/>
      <c r="V342" s="535"/>
      <c r="W342" s="558"/>
      <c r="Z342" s="535"/>
      <c r="AA342" s="558"/>
      <c r="AD342" s="535"/>
      <c r="AE342" s="558"/>
      <c r="AH342" s="535"/>
      <c r="AI342" s="558"/>
      <c r="AL342" s="535"/>
      <c r="AP342" s="535"/>
    </row>
    <row r="343">
      <c r="A343" s="552"/>
      <c r="B343" s="552"/>
      <c r="N343" s="535"/>
      <c r="O343" s="558"/>
      <c r="R343" s="535"/>
      <c r="S343" s="558"/>
      <c r="V343" s="535"/>
      <c r="W343" s="558"/>
      <c r="Z343" s="535"/>
      <c r="AA343" s="558"/>
      <c r="AD343" s="535"/>
      <c r="AE343" s="558"/>
      <c r="AH343" s="535"/>
      <c r="AI343" s="558"/>
      <c r="AL343" s="535"/>
      <c r="AP343" s="535"/>
    </row>
    <row r="344">
      <c r="A344" s="552"/>
      <c r="B344" s="552"/>
      <c r="N344" s="535"/>
      <c r="O344" s="558"/>
      <c r="R344" s="535"/>
      <c r="S344" s="558"/>
      <c r="V344" s="535"/>
      <c r="W344" s="558"/>
      <c r="Z344" s="535"/>
      <c r="AA344" s="558"/>
      <c r="AD344" s="535"/>
      <c r="AE344" s="558"/>
      <c r="AH344" s="535"/>
      <c r="AI344" s="558"/>
      <c r="AL344" s="535"/>
      <c r="AP344" s="535"/>
    </row>
    <row r="345">
      <c r="A345" s="552"/>
      <c r="B345" s="552"/>
      <c r="N345" s="535"/>
      <c r="O345" s="558"/>
      <c r="R345" s="535"/>
      <c r="S345" s="558"/>
      <c r="V345" s="535"/>
      <c r="W345" s="558"/>
      <c r="Z345" s="535"/>
      <c r="AA345" s="558"/>
      <c r="AD345" s="535"/>
      <c r="AE345" s="558"/>
      <c r="AH345" s="535"/>
      <c r="AI345" s="558"/>
      <c r="AL345" s="535"/>
      <c r="AP345" s="535"/>
    </row>
    <row r="346">
      <c r="A346" s="552"/>
      <c r="B346" s="552"/>
      <c r="N346" s="535"/>
      <c r="O346" s="558"/>
      <c r="R346" s="535"/>
      <c r="S346" s="558"/>
      <c r="V346" s="535"/>
      <c r="W346" s="558"/>
      <c r="Z346" s="535"/>
      <c r="AA346" s="558"/>
      <c r="AD346" s="535"/>
      <c r="AE346" s="558"/>
      <c r="AH346" s="535"/>
      <c r="AI346" s="558"/>
      <c r="AL346" s="535"/>
      <c r="AP346" s="535"/>
    </row>
    <row r="347">
      <c r="A347" s="552"/>
      <c r="B347" s="552"/>
      <c r="N347" s="535"/>
      <c r="O347" s="558"/>
      <c r="R347" s="535"/>
      <c r="S347" s="558"/>
      <c r="V347" s="535"/>
      <c r="W347" s="558"/>
      <c r="Z347" s="535"/>
      <c r="AA347" s="558"/>
      <c r="AD347" s="535"/>
      <c r="AE347" s="558"/>
      <c r="AH347" s="535"/>
      <c r="AI347" s="558"/>
      <c r="AL347" s="535"/>
      <c r="AP347" s="535"/>
    </row>
    <row r="348">
      <c r="A348" s="552"/>
      <c r="B348" s="552"/>
      <c r="N348" s="535"/>
      <c r="O348" s="558"/>
      <c r="R348" s="535"/>
      <c r="S348" s="558"/>
      <c r="V348" s="535"/>
      <c r="W348" s="558"/>
      <c r="Z348" s="535"/>
      <c r="AA348" s="558"/>
      <c r="AD348" s="535"/>
      <c r="AE348" s="558"/>
      <c r="AH348" s="535"/>
      <c r="AI348" s="558"/>
      <c r="AL348" s="535"/>
      <c r="AP348" s="535"/>
    </row>
    <row r="349">
      <c r="A349" s="552"/>
      <c r="B349" s="552"/>
      <c r="N349" s="535"/>
      <c r="O349" s="558"/>
      <c r="R349" s="535"/>
      <c r="S349" s="558"/>
      <c r="V349" s="535"/>
      <c r="W349" s="558"/>
      <c r="Z349" s="535"/>
      <c r="AA349" s="558"/>
      <c r="AD349" s="535"/>
      <c r="AE349" s="558"/>
      <c r="AH349" s="535"/>
      <c r="AI349" s="558"/>
      <c r="AL349" s="535"/>
      <c r="AP349" s="535"/>
    </row>
    <row r="350">
      <c r="A350" s="552"/>
      <c r="B350" s="552"/>
      <c r="N350" s="535"/>
      <c r="O350" s="558"/>
      <c r="R350" s="535"/>
      <c r="S350" s="558"/>
      <c r="V350" s="535"/>
      <c r="W350" s="558"/>
      <c r="Z350" s="535"/>
      <c r="AA350" s="558"/>
      <c r="AD350" s="535"/>
      <c r="AE350" s="558"/>
      <c r="AH350" s="535"/>
      <c r="AI350" s="558"/>
      <c r="AL350" s="535"/>
      <c r="AP350" s="535"/>
    </row>
    <row r="351">
      <c r="A351" s="552"/>
      <c r="B351" s="552"/>
      <c r="N351" s="535"/>
      <c r="O351" s="558"/>
      <c r="R351" s="535"/>
      <c r="S351" s="558"/>
      <c r="V351" s="535"/>
      <c r="W351" s="558"/>
      <c r="Z351" s="535"/>
      <c r="AA351" s="558"/>
      <c r="AD351" s="535"/>
      <c r="AE351" s="558"/>
      <c r="AH351" s="535"/>
      <c r="AI351" s="558"/>
      <c r="AL351" s="535"/>
      <c r="AP351" s="535"/>
    </row>
    <row r="352">
      <c r="A352" s="552"/>
      <c r="B352" s="552"/>
      <c r="N352" s="535"/>
      <c r="O352" s="558"/>
      <c r="R352" s="535"/>
      <c r="S352" s="558"/>
      <c r="V352" s="535"/>
      <c r="W352" s="558"/>
      <c r="Z352" s="535"/>
      <c r="AA352" s="558"/>
      <c r="AD352" s="535"/>
      <c r="AE352" s="558"/>
      <c r="AH352" s="535"/>
      <c r="AI352" s="558"/>
      <c r="AL352" s="535"/>
      <c r="AP352" s="535"/>
    </row>
    <row r="353">
      <c r="A353" s="552"/>
      <c r="B353" s="552"/>
      <c r="N353" s="535"/>
      <c r="O353" s="558"/>
      <c r="R353" s="535"/>
      <c r="S353" s="558"/>
      <c r="V353" s="535"/>
      <c r="W353" s="558"/>
      <c r="Z353" s="535"/>
      <c r="AA353" s="558"/>
      <c r="AD353" s="535"/>
      <c r="AE353" s="558"/>
      <c r="AH353" s="535"/>
      <c r="AI353" s="558"/>
      <c r="AL353" s="535"/>
      <c r="AP353" s="535"/>
    </row>
    <row r="354">
      <c r="A354" s="552"/>
      <c r="B354" s="552"/>
      <c r="N354" s="535"/>
      <c r="O354" s="558"/>
      <c r="R354" s="535"/>
      <c r="S354" s="558"/>
      <c r="V354" s="535"/>
      <c r="W354" s="558"/>
      <c r="Z354" s="535"/>
      <c r="AA354" s="558"/>
      <c r="AD354" s="535"/>
      <c r="AE354" s="558"/>
      <c r="AH354" s="535"/>
      <c r="AI354" s="558"/>
      <c r="AL354" s="535"/>
      <c r="AP354" s="535"/>
    </row>
    <row r="355">
      <c r="A355" s="552"/>
      <c r="B355" s="552"/>
      <c r="N355" s="535"/>
      <c r="O355" s="558"/>
      <c r="R355" s="535"/>
      <c r="S355" s="558"/>
      <c r="V355" s="535"/>
      <c r="W355" s="558"/>
      <c r="Z355" s="535"/>
      <c r="AA355" s="558"/>
      <c r="AD355" s="535"/>
      <c r="AE355" s="558"/>
      <c r="AH355" s="535"/>
      <c r="AI355" s="558"/>
      <c r="AL355" s="535"/>
      <c r="AP355" s="535"/>
    </row>
    <row r="356">
      <c r="A356" s="552"/>
      <c r="B356" s="552"/>
      <c r="N356" s="535"/>
      <c r="O356" s="558"/>
      <c r="R356" s="535"/>
      <c r="S356" s="558"/>
      <c r="V356" s="535"/>
      <c r="W356" s="558"/>
      <c r="Z356" s="535"/>
      <c r="AA356" s="558"/>
      <c r="AD356" s="535"/>
      <c r="AE356" s="558"/>
      <c r="AH356" s="535"/>
      <c r="AI356" s="558"/>
      <c r="AL356" s="535"/>
      <c r="AP356" s="535"/>
    </row>
    <row r="357">
      <c r="A357" s="552"/>
      <c r="B357" s="552"/>
      <c r="N357" s="535"/>
      <c r="O357" s="558"/>
      <c r="R357" s="535"/>
      <c r="S357" s="558"/>
      <c r="V357" s="535"/>
      <c r="W357" s="558"/>
      <c r="Z357" s="535"/>
      <c r="AA357" s="558"/>
      <c r="AD357" s="535"/>
      <c r="AE357" s="558"/>
      <c r="AH357" s="535"/>
      <c r="AI357" s="558"/>
      <c r="AL357" s="535"/>
      <c r="AP357" s="535"/>
    </row>
    <row r="358">
      <c r="A358" s="552"/>
      <c r="B358" s="552"/>
      <c r="N358" s="535"/>
      <c r="O358" s="558"/>
      <c r="R358" s="535"/>
      <c r="S358" s="558"/>
      <c r="V358" s="535"/>
      <c r="W358" s="558"/>
      <c r="Z358" s="535"/>
      <c r="AA358" s="558"/>
      <c r="AD358" s="535"/>
      <c r="AE358" s="558"/>
      <c r="AH358" s="535"/>
      <c r="AI358" s="558"/>
      <c r="AL358" s="535"/>
      <c r="AP358" s="535"/>
    </row>
    <row r="359">
      <c r="A359" s="552"/>
      <c r="B359" s="552"/>
      <c r="N359" s="535"/>
      <c r="O359" s="558"/>
      <c r="R359" s="535"/>
      <c r="S359" s="558"/>
      <c r="V359" s="535"/>
      <c r="W359" s="558"/>
      <c r="Z359" s="535"/>
      <c r="AA359" s="558"/>
      <c r="AD359" s="535"/>
      <c r="AE359" s="558"/>
      <c r="AH359" s="535"/>
      <c r="AI359" s="558"/>
      <c r="AL359" s="535"/>
      <c r="AP359" s="535"/>
    </row>
    <row r="360">
      <c r="A360" s="552"/>
      <c r="B360" s="552"/>
      <c r="N360" s="535"/>
      <c r="O360" s="558"/>
      <c r="R360" s="535"/>
      <c r="S360" s="558"/>
      <c r="V360" s="535"/>
      <c r="W360" s="558"/>
      <c r="Z360" s="535"/>
      <c r="AA360" s="558"/>
      <c r="AD360" s="535"/>
      <c r="AE360" s="558"/>
      <c r="AH360" s="535"/>
      <c r="AI360" s="558"/>
      <c r="AL360" s="535"/>
      <c r="AP360" s="535"/>
    </row>
    <row r="361">
      <c r="A361" s="552"/>
      <c r="B361" s="552"/>
      <c r="N361" s="535"/>
      <c r="O361" s="558"/>
      <c r="R361" s="535"/>
      <c r="S361" s="558"/>
      <c r="V361" s="535"/>
      <c r="W361" s="558"/>
      <c r="Z361" s="535"/>
      <c r="AA361" s="558"/>
      <c r="AD361" s="535"/>
      <c r="AE361" s="558"/>
      <c r="AH361" s="535"/>
      <c r="AI361" s="558"/>
      <c r="AL361" s="535"/>
      <c r="AP361" s="535"/>
    </row>
    <row r="362">
      <c r="A362" s="552"/>
      <c r="B362" s="552"/>
      <c r="N362" s="535"/>
      <c r="O362" s="558"/>
      <c r="R362" s="535"/>
      <c r="S362" s="558"/>
      <c r="V362" s="535"/>
      <c r="W362" s="558"/>
      <c r="Z362" s="535"/>
      <c r="AA362" s="558"/>
      <c r="AD362" s="535"/>
      <c r="AE362" s="558"/>
      <c r="AH362" s="535"/>
      <c r="AI362" s="558"/>
      <c r="AL362" s="535"/>
      <c r="AP362" s="535"/>
    </row>
    <row r="363">
      <c r="A363" s="552"/>
      <c r="B363" s="552"/>
      <c r="N363" s="535"/>
      <c r="O363" s="558"/>
      <c r="R363" s="535"/>
      <c r="S363" s="558"/>
      <c r="V363" s="535"/>
      <c r="W363" s="558"/>
      <c r="Z363" s="535"/>
      <c r="AA363" s="558"/>
      <c r="AD363" s="535"/>
      <c r="AE363" s="558"/>
      <c r="AH363" s="535"/>
      <c r="AI363" s="558"/>
      <c r="AL363" s="535"/>
      <c r="AP363" s="535"/>
    </row>
    <row r="364">
      <c r="A364" s="552"/>
      <c r="B364" s="552"/>
      <c r="N364" s="535"/>
      <c r="O364" s="558"/>
      <c r="R364" s="535"/>
      <c r="S364" s="558"/>
      <c r="V364" s="535"/>
      <c r="W364" s="558"/>
      <c r="Z364" s="535"/>
      <c r="AA364" s="558"/>
      <c r="AD364" s="535"/>
      <c r="AE364" s="558"/>
      <c r="AH364" s="535"/>
      <c r="AI364" s="558"/>
      <c r="AL364" s="535"/>
      <c r="AP364" s="535"/>
    </row>
    <row r="365">
      <c r="A365" s="552"/>
      <c r="B365" s="552"/>
      <c r="N365" s="535"/>
      <c r="O365" s="558"/>
      <c r="R365" s="535"/>
      <c r="S365" s="558"/>
      <c r="V365" s="535"/>
      <c r="W365" s="558"/>
      <c r="Z365" s="535"/>
      <c r="AA365" s="558"/>
      <c r="AD365" s="535"/>
      <c r="AE365" s="558"/>
      <c r="AH365" s="535"/>
      <c r="AI365" s="558"/>
      <c r="AL365" s="535"/>
      <c r="AP365" s="535"/>
    </row>
    <row r="366">
      <c r="A366" s="552"/>
      <c r="B366" s="552"/>
      <c r="N366" s="535"/>
      <c r="O366" s="558"/>
      <c r="R366" s="535"/>
      <c r="S366" s="558"/>
      <c r="V366" s="535"/>
      <c r="W366" s="558"/>
      <c r="Z366" s="535"/>
      <c r="AA366" s="558"/>
      <c r="AD366" s="535"/>
      <c r="AE366" s="558"/>
      <c r="AH366" s="535"/>
      <c r="AI366" s="558"/>
      <c r="AL366" s="535"/>
      <c r="AP366" s="535"/>
    </row>
    <row r="367">
      <c r="A367" s="552"/>
      <c r="B367" s="552"/>
      <c r="N367" s="535"/>
      <c r="O367" s="558"/>
      <c r="R367" s="535"/>
      <c r="S367" s="558"/>
      <c r="V367" s="535"/>
      <c r="W367" s="558"/>
      <c r="Z367" s="535"/>
      <c r="AA367" s="558"/>
      <c r="AD367" s="535"/>
      <c r="AE367" s="558"/>
      <c r="AH367" s="535"/>
      <c r="AI367" s="558"/>
      <c r="AL367" s="535"/>
      <c r="AP367" s="535"/>
    </row>
    <row r="368">
      <c r="A368" s="552"/>
      <c r="B368" s="552"/>
      <c r="N368" s="535"/>
      <c r="O368" s="558"/>
      <c r="R368" s="535"/>
      <c r="S368" s="558"/>
      <c r="V368" s="535"/>
      <c r="W368" s="558"/>
      <c r="Z368" s="535"/>
      <c r="AA368" s="558"/>
      <c r="AD368" s="535"/>
      <c r="AE368" s="558"/>
      <c r="AH368" s="535"/>
      <c r="AI368" s="558"/>
      <c r="AL368" s="535"/>
      <c r="AP368" s="535"/>
    </row>
    <row r="369">
      <c r="A369" s="552"/>
      <c r="B369" s="552"/>
      <c r="N369" s="535"/>
      <c r="O369" s="558"/>
      <c r="R369" s="535"/>
      <c r="S369" s="558"/>
      <c r="V369" s="535"/>
      <c r="W369" s="558"/>
      <c r="Z369" s="535"/>
      <c r="AA369" s="558"/>
      <c r="AD369" s="535"/>
      <c r="AE369" s="558"/>
      <c r="AH369" s="535"/>
      <c r="AI369" s="558"/>
      <c r="AL369" s="535"/>
      <c r="AP369" s="535"/>
    </row>
    <row r="370">
      <c r="A370" s="552"/>
      <c r="B370" s="552"/>
      <c r="N370" s="535"/>
      <c r="O370" s="558"/>
      <c r="R370" s="535"/>
      <c r="S370" s="558"/>
      <c r="V370" s="535"/>
      <c r="W370" s="558"/>
      <c r="Z370" s="535"/>
      <c r="AA370" s="558"/>
      <c r="AD370" s="535"/>
      <c r="AE370" s="558"/>
      <c r="AH370" s="535"/>
      <c r="AI370" s="558"/>
      <c r="AL370" s="535"/>
      <c r="AP370" s="535"/>
    </row>
    <row r="371">
      <c r="A371" s="552"/>
      <c r="B371" s="552"/>
      <c r="N371" s="535"/>
      <c r="O371" s="558"/>
      <c r="R371" s="535"/>
      <c r="S371" s="558"/>
      <c r="V371" s="535"/>
      <c r="W371" s="558"/>
      <c r="Z371" s="535"/>
      <c r="AA371" s="558"/>
      <c r="AD371" s="535"/>
      <c r="AE371" s="558"/>
      <c r="AH371" s="535"/>
      <c r="AI371" s="558"/>
      <c r="AL371" s="535"/>
      <c r="AP371" s="535"/>
    </row>
    <row r="372">
      <c r="A372" s="552"/>
      <c r="B372" s="552"/>
      <c r="N372" s="535"/>
      <c r="O372" s="558"/>
      <c r="R372" s="535"/>
      <c r="S372" s="558"/>
      <c r="V372" s="535"/>
      <c r="W372" s="558"/>
      <c r="Z372" s="535"/>
      <c r="AA372" s="558"/>
      <c r="AD372" s="535"/>
      <c r="AE372" s="558"/>
      <c r="AH372" s="535"/>
      <c r="AI372" s="558"/>
      <c r="AL372" s="535"/>
      <c r="AP372" s="535"/>
    </row>
    <row r="373">
      <c r="A373" s="552"/>
      <c r="B373" s="552"/>
      <c r="N373" s="535"/>
      <c r="O373" s="558"/>
      <c r="R373" s="535"/>
      <c r="S373" s="558"/>
      <c r="V373" s="535"/>
      <c r="W373" s="558"/>
      <c r="Z373" s="535"/>
      <c r="AA373" s="558"/>
      <c r="AD373" s="535"/>
      <c r="AE373" s="558"/>
      <c r="AH373" s="535"/>
      <c r="AI373" s="558"/>
      <c r="AL373" s="535"/>
      <c r="AP373" s="535"/>
    </row>
    <row r="374">
      <c r="A374" s="552"/>
      <c r="B374" s="552"/>
      <c r="N374" s="535"/>
      <c r="O374" s="558"/>
      <c r="R374" s="535"/>
      <c r="S374" s="558"/>
      <c r="V374" s="535"/>
      <c r="W374" s="558"/>
      <c r="Z374" s="535"/>
      <c r="AA374" s="558"/>
      <c r="AD374" s="535"/>
      <c r="AE374" s="558"/>
      <c r="AH374" s="535"/>
      <c r="AI374" s="558"/>
      <c r="AL374" s="535"/>
      <c r="AP374" s="535"/>
    </row>
    <row r="375">
      <c r="A375" s="552"/>
      <c r="B375" s="552"/>
      <c r="N375" s="535"/>
      <c r="O375" s="558"/>
      <c r="R375" s="535"/>
      <c r="S375" s="558"/>
      <c r="V375" s="535"/>
      <c r="W375" s="558"/>
      <c r="Z375" s="535"/>
      <c r="AA375" s="558"/>
      <c r="AD375" s="535"/>
      <c r="AE375" s="558"/>
      <c r="AH375" s="535"/>
      <c r="AI375" s="558"/>
      <c r="AL375" s="535"/>
      <c r="AP375" s="535"/>
    </row>
    <row r="376">
      <c r="A376" s="552"/>
      <c r="B376" s="552"/>
      <c r="N376" s="535"/>
      <c r="O376" s="558"/>
      <c r="R376" s="535"/>
      <c r="S376" s="558"/>
      <c r="V376" s="535"/>
      <c r="W376" s="558"/>
      <c r="Z376" s="535"/>
      <c r="AA376" s="558"/>
      <c r="AD376" s="535"/>
      <c r="AE376" s="558"/>
      <c r="AH376" s="535"/>
      <c r="AI376" s="558"/>
      <c r="AL376" s="535"/>
      <c r="AP376" s="535"/>
    </row>
    <row r="377">
      <c r="A377" s="552"/>
      <c r="B377" s="552"/>
      <c r="N377" s="535"/>
      <c r="O377" s="558"/>
      <c r="R377" s="535"/>
      <c r="S377" s="558"/>
      <c r="V377" s="535"/>
      <c r="W377" s="558"/>
      <c r="Z377" s="535"/>
      <c r="AA377" s="558"/>
      <c r="AD377" s="535"/>
      <c r="AE377" s="558"/>
      <c r="AH377" s="535"/>
      <c r="AI377" s="558"/>
      <c r="AL377" s="535"/>
      <c r="AP377" s="535"/>
    </row>
    <row r="378">
      <c r="A378" s="552"/>
      <c r="B378" s="552"/>
      <c r="N378" s="535"/>
      <c r="O378" s="558"/>
      <c r="R378" s="535"/>
      <c r="S378" s="558"/>
      <c r="V378" s="535"/>
      <c r="W378" s="558"/>
      <c r="Z378" s="535"/>
      <c r="AA378" s="558"/>
      <c r="AD378" s="535"/>
      <c r="AE378" s="558"/>
      <c r="AH378" s="535"/>
      <c r="AI378" s="558"/>
      <c r="AL378" s="535"/>
      <c r="AP378" s="535"/>
    </row>
    <row r="379">
      <c r="A379" s="552"/>
      <c r="B379" s="552"/>
      <c r="N379" s="535"/>
      <c r="O379" s="558"/>
      <c r="R379" s="535"/>
      <c r="S379" s="558"/>
      <c r="V379" s="535"/>
      <c r="W379" s="558"/>
      <c r="Z379" s="535"/>
      <c r="AA379" s="558"/>
      <c r="AD379" s="535"/>
      <c r="AE379" s="558"/>
      <c r="AH379" s="535"/>
      <c r="AI379" s="558"/>
      <c r="AL379" s="535"/>
      <c r="AP379" s="535"/>
    </row>
    <row r="380">
      <c r="A380" s="552"/>
      <c r="B380" s="552"/>
      <c r="N380" s="535"/>
      <c r="O380" s="558"/>
      <c r="R380" s="535"/>
      <c r="S380" s="558"/>
      <c r="V380" s="535"/>
      <c r="W380" s="558"/>
      <c r="Z380" s="535"/>
      <c r="AA380" s="558"/>
      <c r="AD380" s="535"/>
      <c r="AE380" s="558"/>
      <c r="AH380" s="535"/>
      <c r="AI380" s="558"/>
      <c r="AL380" s="535"/>
      <c r="AP380" s="535"/>
    </row>
    <row r="381">
      <c r="A381" s="552"/>
      <c r="B381" s="552"/>
      <c r="N381" s="535"/>
      <c r="O381" s="558"/>
      <c r="R381" s="535"/>
      <c r="S381" s="558"/>
      <c r="V381" s="535"/>
      <c r="W381" s="558"/>
      <c r="Z381" s="535"/>
      <c r="AA381" s="558"/>
      <c r="AD381" s="535"/>
      <c r="AE381" s="558"/>
      <c r="AH381" s="535"/>
      <c r="AI381" s="558"/>
      <c r="AL381" s="535"/>
      <c r="AP381" s="535"/>
    </row>
    <row r="382">
      <c r="A382" s="552"/>
      <c r="B382" s="552"/>
      <c r="N382" s="535"/>
      <c r="O382" s="558"/>
      <c r="R382" s="535"/>
      <c r="S382" s="558"/>
      <c r="V382" s="535"/>
      <c r="W382" s="558"/>
      <c r="Z382" s="535"/>
      <c r="AA382" s="558"/>
      <c r="AD382" s="535"/>
      <c r="AE382" s="558"/>
      <c r="AH382" s="535"/>
      <c r="AI382" s="558"/>
      <c r="AL382" s="535"/>
      <c r="AP382" s="535"/>
    </row>
    <row r="383">
      <c r="A383" s="552"/>
      <c r="B383" s="552"/>
      <c r="N383" s="535"/>
      <c r="O383" s="558"/>
      <c r="R383" s="535"/>
      <c r="S383" s="558"/>
      <c r="V383" s="535"/>
      <c r="W383" s="558"/>
      <c r="Z383" s="535"/>
      <c r="AA383" s="558"/>
      <c r="AD383" s="535"/>
      <c r="AE383" s="558"/>
      <c r="AH383" s="535"/>
      <c r="AI383" s="558"/>
      <c r="AL383" s="535"/>
      <c r="AP383" s="535"/>
    </row>
    <row r="384">
      <c r="A384" s="552"/>
      <c r="B384" s="552"/>
      <c r="N384" s="535"/>
      <c r="O384" s="558"/>
      <c r="R384" s="535"/>
      <c r="S384" s="558"/>
      <c r="V384" s="535"/>
      <c r="W384" s="558"/>
      <c r="Z384" s="535"/>
      <c r="AA384" s="558"/>
      <c r="AD384" s="535"/>
      <c r="AE384" s="558"/>
      <c r="AH384" s="535"/>
      <c r="AI384" s="558"/>
      <c r="AL384" s="535"/>
      <c r="AP384" s="535"/>
    </row>
    <row r="385">
      <c r="A385" s="552"/>
      <c r="B385" s="552"/>
      <c r="N385" s="535"/>
      <c r="O385" s="558"/>
      <c r="R385" s="535"/>
      <c r="S385" s="558"/>
      <c r="V385" s="535"/>
      <c r="W385" s="558"/>
      <c r="Z385" s="535"/>
      <c r="AA385" s="558"/>
      <c r="AD385" s="535"/>
      <c r="AE385" s="558"/>
      <c r="AH385" s="535"/>
      <c r="AI385" s="558"/>
      <c r="AL385" s="535"/>
      <c r="AP385" s="535"/>
    </row>
    <row r="386">
      <c r="A386" s="552"/>
      <c r="B386" s="552"/>
      <c r="N386" s="535"/>
      <c r="O386" s="558"/>
      <c r="R386" s="535"/>
      <c r="S386" s="558"/>
      <c r="V386" s="535"/>
      <c r="W386" s="558"/>
      <c r="Z386" s="535"/>
      <c r="AA386" s="558"/>
      <c r="AD386" s="535"/>
      <c r="AE386" s="558"/>
      <c r="AH386" s="535"/>
      <c r="AI386" s="558"/>
      <c r="AL386" s="535"/>
      <c r="AP386" s="535"/>
    </row>
    <row r="387">
      <c r="A387" s="552"/>
      <c r="B387" s="552"/>
      <c r="N387" s="535"/>
      <c r="O387" s="558"/>
      <c r="R387" s="535"/>
      <c r="S387" s="558"/>
      <c r="V387" s="535"/>
      <c r="W387" s="558"/>
      <c r="Z387" s="535"/>
      <c r="AA387" s="558"/>
      <c r="AD387" s="535"/>
      <c r="AE387" s="558"/>
      <c r="AH387" s="535"/>
      <c r="AI387" s="558"/>
      <c r="AL387" s="535"/>
      <c r="AP387" s="535"/>
    </row>
    <row r="388">
      <c r="A388" s="552"/>
      <c r="B388" s="552"/>
      <c r="N388" s="535"/>
      <c r="O388" s="558"/>
      <c r="R388" s="535"/>
      <c r="S388" s="558"/>
      <c r="V388" s="535"/>
      <c r="W388" s="558"/>
      <c r="Z388" s="535"/>
      <c r="AA388" s="558"/>
      <c r="AD388" s="535"/>
      <c r="AE388" s="558"/>
      <c r="AH388" s="535"/>
      <c r="AI388" s="558"/>
      <c r="AL388" s="535"/>
      <c r="AP388" s="535"/>
    </row>
    <row r="389">
      <c r="A389" s="552"/>
      <c r="B389" s="552"/>
      <c r="N389" s="535"/>
      <c r="O389" s="558"/>
      <c r="R389" s="535"/>
      <c r="S389" s="558"/>
      <c r="V389" s="535"/>
      <c r="W389" s="558"/>
      <c r="Z389" s="535"/>
      <c r="AA389" s="558"/>
      <c r="AD389" s="535"/>
      <c r="AE389" s="558"/>
      <c r="AH389" s="535"/>
      <c r="AI389" s="558"/>
      <c r="AL389" s="535"/>
      <c r="AP389" s="535"/>
    </row>
    <row r="390">
      <c r="A390" s="552"/>
      <c r="B390" s="552"/>
      <c r="N390" s="535"/>
      <c r="O390" s="558"/>
      <c r="R390" s="535"/>
      <c r="S390" s="558"/>
      <c r="V390" s="535"/>
      <c r="W390" s="558"/>
      <c r="Z390" s="535"/>
      <c r="AA390" s="558"/>
      <c r="AD390" s="535"/>
      <c r="AE390" s="558"/>
      <c r="AH390" s="535"/>
      <c r="AI390" s="558"/>
      <c r="AL390" s="535"/>
      <c r="AP390" s="535"/>
    </row>
    <row r="391">
      <c r="A391" s="552"/>
      <c r="B391" s="552"/>
      <c r="N391" s="535"/>
      <c r="O391" s="558"/>
      <c r="R391" s="535"/>
      <c r="S391" s="558"/>
      <c r="V391" s="535"/>
      <c r="W391" s="558"/>
      <c r="Z391" s="535"/>
      <c r="AA391" s="558"/>
      <c r="AD391" s="535"/>
      <c r="AE391" s="558"/>
      <c r="AH391" s="535"/>
      <c r="AI391" s="558"/>
      <c r="AL391" s="535"/>
      <c r="AP391" s="535"/>
    </row>
    <row r="392">
      <c r="A392" s="552"/>
      <c r="B392" s="552"/>
      <c r="N392" s="535"/>
      <c r="O392" s="558"/>
      <c r="R392" s="535"/>
      <c r="S392" s="558"/>
      <c r="V392" s="535"/>
      <c r="W392" s="558"/>
      <c r="Z392" s="535"/>
      <c r="AA392" s="558"/>
      <c r="AD392" s="535"/>
      <c r="AE392" s="558"/>
      <c r="AH392" s="535"/>
      <c r="AI392" s="558"/>
      <c r="AL392" s="535"/>
      <c r="AP392" s="535"/>
    </row>
    <row r="393">
      <c r="A393" s="552"/>
      <c r="B393" s="552"/>
      <c r="N393" s="535"/>
      <c r="O393" s="558"/>
      <c r="R393" s="535"/>
      <c r="S393" s="558"/>
      <c r="V393" s="535"/>
      <c r="W393" s="558"/>
      <c r="Z393" s="535"/>
      <c r="AA393" s="558"/>
      <c r="AD393" s="535"/>
      <c r="AE393" s="558"/>
      <c r="AH393" s="535"/>
      <c r="AI393" s="558"/>
      <c r="AL393" s="535"/>
      <c r="AP393" s="535"/>
    </row>
    <row r="394">
      <c r="A394" s="552"/>
      <c r="B394" s="552"/>
      <c r="N394" s="535"/>
      <c r="O394" s="558"/>
      <c r="R394" s="535"/>
      <c r="S394" s="558"/>
      <c r="V394" s="535"/>
      <c r="W394" s="558"/>
      <c r="Z394" s="535"/>
      <c r="AA394" s="558"/>
      <c r="AD394" s="535"/>
      <c r="AE394" s="558"/>
      <c r="AH394" s="535"/>
      <c r="AI394" s="558"/>
      <c r="AL394" s="535"/>
      <c r="AP394" s="535"/>
    </row>
    <row r="395">
      <c r="A395" s="552"/>
      <c r="B395" s="552"/>
      <c r="N395" s="535"/>
      <c r="O395" s="558"/>
      <c r="R395" s="535"/>
      <c r="S395" s="558"/>
      <c r="V395" s="535"/>
      <c r="W395" s="558"/>
      <c r="Z395" s="535"/>
      <c r="AA395" s="558"/>
      <c r="AD395" s="535"/>
      <c r="AE395" s="558"/>
      <c r="AH395" s="535"/>
      <c r="AI395" s="558"/>
      <c r="AL395" s="535"/>
      <c r="AP395" s="535"/>
    </row>
    <row r="396">
      <c r="A396" s="552"/>
      <c r="B396" s="552"/>
      <c r="N396" s="535"/>
      <c r="O396" s="558"/>
      <c r="R396" s="535"/>
      <c r="S396" s="558"/>
      <c r="V396" s="535"/>
      <c r="W396" s="558"/>
      <c r="Z396" s="535"/>
      <c r="AA396" s="558"/>
      <c r="AD396" s="535"/>
      <c r="AE396" s="558"/>
      <c r="AH396" s="535"/>
      <c r="AI396" s="558"/>
      <c r="AL396" s="535"/>
      <c r="AP396" s="535"/>
    </row>
    <row r="397">
      <c r="A397" s="552"/>
      <c r="B397" s="552"/>
      <c r="N397" s="535"/>
      <c r="O397" s="558"/>
      <c r="R397" s="535"/>
      <c r="S397" s="558"/>
      <c r="V397" s="535"/>
      <c r="W397" s="558"/>
      <c r="Z397" s="535"/>
      <c r="AA397" s="558"/>
      <c r="AD397" s="535"/>
      <c r="AE397" s="558"/>
      <c r="AH397" s="535"/>
      <c r="AI397" s="558"/>
      <c r="AL397" s="535"/>
      <c r="AP397" s="535"/>
    </row>
    <row r="398">
      <c r="A398" s="552"/>
      <c r="B398" s="552"/>
      <c r="N398" s="535"/>
      <c r="O398" s="558"/>
      <c r="R398" s="535"/>
      <c r="S398" s="558"/>
      <c r="V398" s="535"/>
      <c r="W398" s="558"/>
      <c r="Z398" s="535"/>
      <c r="AA398" s="558"/>
      <c r="AD398" s="535"/>
      <c r="AE398" s="558"/>
      <c r="AH398" s="535"/>
      <c r="AI398" s="558"/>
      <c r="AL398" s="535"/>
      <c r="AP398" s="535"/>
    </row>
    <row r="399">
      <c r="A399" s="552"/>
      <c r="B399" s="552"/>
      <c r="N399" s="535"/>
      <c r="O399" s="558"/>
      <c r="R399" s="535"/>
      <c r="S399" s="558"/>
      <c r="V399" s="535"/>
      <c r="W399" s="558"/>
      <c r="Z399" s="535"/>
      <c r="AA399" s="558"/>
      <c r="AD399" s="535"/>
      <c r="AE399" s="558"/>
      <c r="AH399" s="535"/>
      <c r="AI399" s="558"/>
      <c r="AL399" s="535"/>
      <c r="AP399" s="535"/>
    </row>
    <row r="400">
      <c r="A400" s="552"/>
      <c r="B400" s="552"/>
      <c r="N400" s="535"/>
      <c r="O400" s="558"/>
      <c r="R400" s="535"/>
      <c r="S400" s="558"/>
      <c r="V400" s="535"/>
      <c r="W400" s="558"/>
      <c r="Z400" s="535"/>
      <c r="AA400" s="558"/>
      <c r="AD400" s="535"/>
      <c r="AE400" s="558"/>
      <c r="AH400" s="535"/>
      <c r="AI400" s="558"/>
      <c r="AL400" s="535"/>
      <c r="AP400" s="535"/>
    </row>
    <row r="401">
      <c r="A401" s="552"/>
      <c r="B401" s="552"/>
      <c r="N401" s="535"/>
      <c r="O401" s="558"/>
      <c r="R401" s="535"/>
      <c r="S401" s="558"/>
      <c r="V401" s="535"/>
      <c r="W401" s="558"/>
      <c r="Z401" s="535"/>
      <c r="AA401" s="558"/>
      <c r="AD401" s="535"/>
      <c r="AE401" s="558"/>
      <c r="AH401" s="535"/>
      <c r="AI401" s="558"/>
      <c r="AL401" s="535"/>
      <c r="AP401" s="535"/>
    </row>
    <row r="402">
      <c r="A402" s="552"/>
      <c r="B402" s="552"/>
      <c r="N402" s="535"/>
      <c r="O402" s="558"/>
      <c r="R402" s="535"/>
      <c r="S402" s="558"/>
      <c r="V402" s="535"/>
      <c r="W402" s="558"/>
      <c r="Z402" s="535"/>
      <c r="AA402" s="558"/>
      <c r="AD402" s="535"/>
      <c r="AE402" s="558"/>
      <c r="AH402" s="535"/>
      <c r="AI402" s="558"/>
      <c r="AL402" s="535"/>
      <c r="AP402" s="535"/>
    </row>
    <row r="403">
      <c r="A403" s="552"/>
      <c r="B403" s="552"/>
      <c r="N403" s="535"/>
      <c r="O403" s="558"/>
      <c r="R403" s="535"/>
      <c r="S403" s="558"/>
      <c r="V403" s="535"/>
      <c r="W403" s="558"/>
      <c r="Z403" s="535"/>
      <c r="AA403" s="558"/>
      <c r="AD403" s="535"/>
      <c r="AE403" s="558"/>
      <c r="AH403" s="535"/>
      <c r="AI403" s="558"/>
      <c r="AL403" s="535"/>
      <c r="AP403" s="535"/>
    </row>
    <row r="404">
      <c r="A404" s="552"/>
      <c r="B404" s="552"/>
      <c r="N404" s="535"/>
      <c r="O404" s="558"/>
      <c r="R404" s="535"/>
      <c r="S404" s="558"/>
      <c r="V404" s="535"/>
      <c r="W404" s="558"/>
      <c r="Z404" s="535"/>
      <c r="AA404" s="558"/>
      <c r="AD404" s="535"/>
      <c r="AE404" s="558"/>
      <c r="AH404" s="535"/>
      <c r="AI404" s="558"/>
      <c r="AL404" s="535"/>
      <c r="AP404" s="535"/>
    </row>
    <row r="405">
      <c r="A405" s="552"/>
      <c r="B405" s="552"/>
      <c r="N405" s="535"/>
      <c r="O405" s="558"/>
      <c r="R405" s="535"/>
      <c r="S405" s="558"/>
      <c r="V405" s="535"/>
      <c r="W405" s="558"/>
      <c r="Z405" s="535"/>
      <c r="AA405" s="558"/>
      <c r="AD405" s="535"/>
      <c r="AE405" s="558"/>
      <c r="AH405" s="535"/>
      <c r="AI405" s="558"/>
      <c r="AL405" s="535"/>
      <c r="AP405" s="535"/>
    </row>
    <row r="406">
      <c r="A406" s="552"/>
      <c r="B406" s="552"/>
      <c r="N406" s="535"/>
      <c r="O406" s="558"/>
      <c r="R406" s="535"/>
      <c r="S406" s="558"/>
      <c r="V406" s="535"/>
      <c r="W406" s="558"/>
      <c r="Z406" s="535"/>
      <c r="AA406" s="558"/>
      <c r="AD406" s="535"/>
      <c r="AE406" s="558"/>
      <c r="AH406" s="535"/>
      <c r="AI406" s="558"/>
      <c r="AL406" s="535"/>
      <c r="AP406" s="535"/>
    </row>
    <row r="407">
      <c r="A407" s="552"/>
      <c r="B407" s="552"/>
      <c r="N407" s="535"/>
      <c r="O407" s="558"/>
      <c r="R407" s="535"/>
      <c r="S407" s="558"/>
      <c r="V407" s="535"/>
      <c r="W407" s="558"/>
      <c r="Z407" s="535"/>
      <c r="AA407" s="558"/>
      <c r="AD407" s="535"/>
      <c r="AE407" s="558"/>
      <c r="AH407" s="535"/>
      <c r="AI407" s="558"/>
      <c r="AL407" s="535"/>
      <c r="AP407" s="535"/>
    </row>
    <row r="408">
      <c r="A408" s="552"/>
      <c r="B408" s="552"/>
      <c r="N408" s="535"/>
      <c r="O408" s="558"/>
      <c r="R408" s="535"/>
      <c r="S408" s="558"/>
      <c r="V408" s="535"/>
      <c r="W408" s="558"/>
      <c r="Z408" s="535"/>
      <c r="AA408" s="558"/>
      <c r="AD408" s="535"/>
      <c r="AE408" s="558"/>
      <c r="AH408" s="535"/>
      <c r="AI408" s="558"/>
      <c r="AL408" s="535"/>
      <c r="AP408" s="535"/>
    </row>
    <row r="409">
      <c r="A409" s="552"/>
      <c r="B409" s="552"/>
      <c r="N409" s="535"/>
      <c r="O409" s="558"/>
      <c r="R409" s="535"/>
      <c r="S409" s="558"/>
      <c r="V409" s="535"/>
      <c r="W409" s="558"/>
      <c r="Z409" s="535"/>
      <c r="AA409" s="558"/>
      <c r="AD409" s="535"/>
      <c r="AE409" s="558"/>
      <c r="AH409" s="535"/>
      <c r="AI409" s="558"/>
      <c r="AL409" s="535"/>
      <c r="AP409" s="535"/>
    </row>
    <row r="410">
      <c r="A410" s="552"/>
      <c r="B410" s="552"/>
      <c r="N410" s="535"/>
      <c r="O410" s="558"/>
      <c r="R410" s="535"/>
      <c r="S410" s="558"/>
      <c r="V410" s="535"/>
      <c r="W410" s="558"/>
      <c r="Z410" s="535"/>
      <c r="AA410" s="558"/>
      <c r="AD410" s="535"/>
      <c r="AE410" s="558"/>
      <c r="AH410" s="535"/>
      <c r="AI410" s="558"/>
      <c r="AL410" s="535"/>
      <c r="AP410" s="535"/>
    </row>
    <row r="411">
      <c r="A411" s="552"/>
      <c r="B411" s="552"/>
      <c r="N411" s="535"/>
      <c r="O411" s="558"/>
      <c r="R411" s="535"/>
      <c r="S411" s="558"/>
      <c r="V411" s="535"/>
      <c r="W411" s="558"/>
      <c r="Z411" s="535"/>
      <c r="AA411" s="558"/>
      <c r="AD411" s="535"/>
      <c r="AE411" s="558"/>
      <c r="AH411" s="535"/>
      <c r="AI411" s="558"/>
      <c r="AL411" s="535"/>
      <c r="AP411" s="535"/>
    </row>
    <row r="412">
      <c r="A412" s="552"/>
      <c r="B412" s="552"/>
      <c r="N412" s="535"/>
      <c r="O412" s="558"/>
      <c r="R412" s="535"/>
      <c r="S412" s="558"/>
      <c r="V412" s="535"/>
      <c r="W412" s="558"/>
      <c r="Z412" s="535"/>
      <c r="AA412" s="558"/>
      <c r="AD412" s="535"/>
      <c r="AE412" s="558"/>
      <c r="AH412" s="535"/>
      <c r="AI412" s="558"/>
      <c r="AL412" s="535"/>
      <c r="AP412" s="535"/>
    </row>
    <row r="413">
      <c r="A413" s="552"/>
      <c r="B413" s="552"/>
      <c r="N413" s="535"/>
      <c r="O413" s="558"/>
      <c r="R413" s="535"/>
      <c r="S413" s="558"/>
      <c r="V413" s="535"/>
      <c r="W413" s="558"/>
      <c r="Z413" s="535"/>
      <c r="AA413" s="558"/>
      <c r="AD413" s="535"/>
      <c r="AE413" s="558"/>
      <c r="AH413" s="535"/>
      <c r="AI413" s="558"/>
      <c r="AL413" s="535"/>
      <c r="AP413" s="535"/>
    </row>
    <row r="414">
      <c r="A414" s="552"/>
      <c r="B414" s="552"/>
      <c r="N414" s="535"/>
      <c r="O414" s="558"/>
      <c r="R414" s="535"/>
      <c r="S414" s="558"/>
      <c r="V414" s="535"/>
      <c r="W414" s="558"/>
      <c r="Z414" s="535"/>
      <c r="AA414" s="558"/>
      <c r="AD414" s="535"/>
      <c r="AE414" s="558"/>
      <c r="AH414" s="535"/>
      <c r="AI414" s="558"/>
      <c r="AL414" s="535"/>
      <c r="AP414" s="535"/>
    </row>
    <row r="415">
      <c r="A415" s="552"/>
      <c r="B415" s="552"/>
      <c r="N415" s="535"/>
      <c r="O415" s="558"/>
      <c r="R415" s="535"/>
      <c r="S415" s="558"/>
      <c r="V415" s="535"/>
      <c r="W415" s="558"/>
      <c r="Z415" s="535"/>
      <c r="AA415" s="558"/>
      <c r="AD415" s="535"/>
      <c r="AE415" s="558"/>
      <c r="AH415" s="535"/>
      <c r="AI415" s="558"/>
      <c r="AL415" s="535"/>
      <c r="AP415" s="535"/>
    </row>
    <row r="416">
      <c r="A416" s="552"/>
      <c r="B416" s="552"/>
      <c r="N416" s="535"/>
      <c r="O416" s="558"/>
      <c r="R416" s="535"/>
      <c r="S416" s="558"/>
      <c r="V416" s="535"/>
      <c r="W416" s="558"/>
      <c r="Z416" s="535"/>
      <c r="AA416" s="558"/>
      <c r="AD416" s="535"/>
      <c r="AE416" s="558"/>
      <c r="AH416" s="535"/>
      <c r="AI416" s="558"/>
      <c r="AL416" s="535"/>
      <c r="AP416" s="535"/>
    </row>
    <row r="417">
      <c r="A417" s="552"/>
      <c r="B417" s="552"/>
      <c r="N417" s="535"/>
      <c r="O417" s="558"/>
      <c r="R417" s="535"/>
      <c r="S417" s="558"/>
      <c r="V417" s="535"/>
      <c r="W417" s="558"/>
      <c r="Z417" s="535"/>
      <c r="AA417" s="558"/>
      <c r="AD417" s="535"/>
      <c r="AE417" s="558"/>
      <c r="AH417" s="535"/>
      <c r="AI417" s="558"/>
      <c r="AL417" s="535"/>
      <c r="AP417" s="535"/>
    </row>
    <row r="418">
      <c r="A418" s="552"/>
      <c r="B418" s="552"/>
      <c r="N418" s="535"/>
      <c r="O418" s="558"/>
      <c r="R418" s="535"/>
      <c r="S418" s="558"/>
      <c r="V418" s="535"/>
      <c r="W418" s="558"/>
      <c r="Z418" s="535"/>
      <c r="AA418" s="558"/>
      <c r="AD418" s="535"/>
      <c r="AE418" s="558"/>
      <c r="AH418" s="535"/>
      <c r="AI418" s="558"/>
      <c r="AL418" s="535"/>
      <c r="AP418" s="535"/>
    </row>
    <row r="419">
      <c r="A419" s="552"/>
      <c r="B419" s="552"/>
      <c r="N419" s="535"/>
      <c r="O419" s="558"/>
      <c r="R419" s="535"/>
      <c r="S419" s="558"/>
      <c r="V419" s="535"/>
      <c r="W419" s="558"/>
      <c r="Z419" s="535"/>
      <c r="AA419" s="558"/>
      <c r="AD419" s="535"/>
      <c r="AE419" s="558"/>
      <c r="AH419" s="535"/>
      <c r="AI419" s="558"/>
      <c r="AL419" s="535"/>
      <c r="AP419" s="535"/>
    </row>
    <row r="420">
      <c r="A420" s="552"/>
      <c r="B420" s="552"/>
      <c r="N420" s="535"/>
      <c r="O420" s="558"/>
      <c r="R420" s="535"/>
      <c r="S420" s="558"/>
      <c r="V420" s="535"/>
      <c r="W420" s="558"/>
      <c r="Z420" s="535"/>
      <c r="AA420" s="558"/>
      <c r="AD420" s="535"/>
      <c r="AE420" s="558"/>
      <c r="AH420" s="535"/>
      <c r="AI420" s="558"/>
      <c r="AL420" s="535"/>
      <c r="AP420" s="535"/>
    </row>
    <row r="421">
      <c r="A421" s="552"/>
      <c r="B421" s="552"/>
      <c r="N421" s="535"/>
      <c r="O421" s="558"/>
      <c r="R421" s="535"/>
      <c r="S421" s="558"/>
      <c r="V421" s="535"/>
      <c r="W421" s="558"/>
      <c r="Z421" s="535"/>
      <c r="AA421" s="558"/>
      <c r="AD421" s="535"/>
      <c r="AE421" s="558"/>
      <c r="AH421" s="535"/>
      <c r="AI421" s="558"/>
      <c r="AL421" s="535"/>
      <c r="AP421" s="535"/>
    </row>
    <row r="422">
      <c r="A422" s="552"/>
      <c r="B422" s="552"/>
      <c r="N422" s="535"/>
      <c r="O422" s="558"/>
      <c r="R422" s="535"/>
      <c r="S422" s="558"/>
      <c r="V422" s="535"/>
      <c r="W422" s="558"/>
      <c r="Z422" s="535"/>
      <c r="AA422" s="558"/>
      <c r="AD422" s="535"/>
      <c r="AE422" s="558"/>
      <c r="AH422" s="535"/>
      <c r="AI422" s="558"/>
      <c r="AL422" s="535"/>
      <c r="AP422" s="535"/>
    </row>
    <row r="423">
      <c r="A423" s="552"/>
      <c r="B423" s="552"/>
      <c r="N423" s="535"/>
      <c r="O423" s="558"/>
      <c r="R423" s="535"/>
      <c r="S423" s="558"/>
      <c r="V423" s="535"/>
      <c r="W423" s="558"/>
      <c r="Z423" s="535"/>
      <c r="AA423" s="558"/>
      <c r="AD423" s="535"/>
      <c r="AE423" s="558"/>
      <c r="AH423" s="535"/>
      <c r="AI423" s="558"/>
      <c r="AL423" s="535"/>
      <c r="AP423" s="535"/>
    </row>
    <row r="424">
      <c r="A424" s="552"/>
      <c r="B424" s="552"/>
      <c r="N424" s="535"/>
      <c r="O424" s="558"/>
      <c r="R424" s="535"/>
      <c r="S424" s="558"/>
      <c r="V424" s="535"/>
      <c r="W424" s="558"/>
      <c r="Z424" s="535"/>
      <c r="AA424" s="558"/>
      <c r="AD424" s="535"/>
      <c r="AE424" s="558"/>
      <c r="AH424" s="535"/>
      <c r="AI424" s="558"/>
      <c r="AL424" s="535"/>
      <c r="AP424" s="535"/>
    </row>
    <row r="425">
      <c r="A425" s="552"/>
      <c r="B425" s="552"/>
      <c r="N425" s="535"/>
      <c r="O425" s="558"/>
      <c r="R425" s="535"/>
      <c r="S425" s="558"/>
      <c r="V425" s="535"/>
      <c r="W425" s="558"/>
      <c r="Z425" s="535"/>
      <c r="AA425" s="558"/>
      <c r="AD425" s="535"/>
      <c r="AE425" s="558"/>
      <c r="AH425" s="535"/>
      <c r="AI425" s="558"/>
      <c r="AL425" s="535"/>
      <c r="AP425" s="535"/>
    </row>
    <row r="426">
      <c r="A426" s="552"/>
      <c r="B426" s="552"/>
      <c r="N426" s="535"/>
      <c r="O426" s="558"/>
      <c r="R426" s="535"/>
      <c r="S426" s="558"/>
      <c r="V426" s="535"/>
      <c r="W426" s="558"/>
      <c r="Z426" s="535"/>
      <c r="AA426" s="558"/>
      <c r="AD426" s="535"/>
      <c r="AE426" s="558"/>
      <c r="AH426" s="535"/>
      <c r="AI426" s="558"/>
      <c r="AL426" s="535"/>
      <c r="AP426" s="535"/>
    </row>
    <row r="427">
      <c r="A427" s="552"/>
      <c r="B427" s="552"/>
      <c r="N427" s="535"/>
      <c r="O427" s="558"/>
      <c r="R427" s="535"/>
      <c r="S427" s="558"/>
      <c r="V427" s="535"/>
      <c r="W427" s="558"/>
      <c r="Z427" s="535"/>
      <c r="AA427" s="558"/>
      <c r="AD427" s="535"/>
      <c r="AE427" s="558"/>
      <c r="AH427" s="535"/>
      <c r="AI427" s="558"/>
      <c r="AL427" s="535"/>
      <c r="AP427" s="535"/>
    </row>
    <row r="428">
      <c r="A428" s="552"/>
      <c r="B428" s="552"/>
      <c r="N428" s="535"/>
      <c r="O428" s="558"/>
      <c r="R428" s="535"/>
      <c r="S428" s="558"/>
      <c r="V428" s="535"/>
      <c r="W428" s="558"/>
      <c r="Z428" s="535"/>
      <c r="AA428" s="558"/>
      <c r="AD428" s="535"/>
      <c r="AE428" s="558"/>
      <c r="AH428" s="535"/>
      <c r="AI428" s="558"/>
      <c r="AL428" s="535"/>
      <c r="AP428" s="535"/>
    </row>
    <row r="429">
      <c r="A429" s="552"/>
      <c r="B429" s="552"/>
      <c r="N429" s="535"/>
      <c r="O429" s="558"/>
      <c r="R429" s="535"/>
      <c r="S429" s="558"/>
      <c r="V429" s="535"/>
      <c r="W429" s="558"/>
      <c r="Z429" s="535"/>
      <c r="AA429" s="558"/>
      <c r="AD429" s="535"/>
      <c r="AE429" s="558"/>
      <c r="AH429" s="535"/>
      <c r="AI429" s="558"/>
      <c r="AL429" s="535"/>
      <c r="AP429" s="535"/>
    </row>
    <row r="430">
      <c r="A430" s="552"/>
      <c r="B430" s="552"/>
      <c r="N430" s="535"/>
      <c r="O430" s="558"/>
      <c r="R430" s="535"/>
      <c r="S430" s="558"/>
      <c r="V430" s="535"/>
      <c r="W430" s="558"/>
      <c r="Z430" s="535"/>
      <c r="AA430" s="558"/>
      <c r="AD430" s="535"/>
      <c r="AE430" s="558"/>
      <c r="AH430" s="535"/>
      <c r="AI430" s="558"/>
      <c r="AL430" s="535"/>
      <c r="AP430" s="535"/>
    </row>
    <row r="431">
      <c r="A431" s="552"/>
      <c r="B431" s="552"/>
      <c r="N431" s="535"/>
      <c r="O431" s="558"/>
      <c r="R431" s="535"/>
      <c r="S431" s="558"/>
      <c r="V431" s="535"/>
      <c r="W431" s="558"/>
      <c r="Z431" s="535"/>
      <c r="AA431" s="558"/>
      <c r="AD431" s="535"/>
      <c r="AE431" s="558"/>
      <c r="AH431" s="535"/>
      <c r="AI431" s="558"/>
      <c r="AL431" s="535"/>
      <c r="AP431" s="535"/>
    </row>
    <row r="432">
      <c r="A432" s="552"/>
      <c r="B432" s="552"/>
      <c r="N432" s="535"/>
      <c r="O432" s="558"/>
      <c r="R432" s="535"/>
      <c r="S432" s="558"/>
      <c r="V432" s="535"/>
      <c r="W432" s="558"/>
      <c r="Z432" s="535"/>
      <c r="AA432" s="558"/>
      <c r="AD432" s="535"/>
      <c r="AE432" s="558"/>
      <c r="AH432" s="535"/>
      <c r="AI432" s="558"/>
      <c r="AL432" s="535"/>
      <c r="AP432" s="535"/>
    </row>
    <row r="433">
      <c r="A433" s="552"/>
      <c r="B433" s="552"/>
      <c r="N433" s="535"/>
      <c r="O433" s="558"/>
      <c r="R433" s="535"/>
      <c r="S433" s="558"/>
      <c r="V433" s="535"/>
      <c r="W433" s="558"/>
      <c r="Z433" s="535"/>
      <c r="AA433" s="558"/>
      <c r="AD433" s="535"/>
      <c r="AE433" s="558"/>
      <c r="AH433" s="535"/>
      <c r="AI433" s="558"/>
      <c r="AL433" s="535"/>
      <c r="AP433" s="535"/>
    </row>
    <row r="434">
      <c r="A434" s="552"/>
      <c r="B434" s="552"/>
      <c r="N434" s="535"/>
      <c r="O434" s="558"/>
      <c r="R434" s="535"/>
      <c r="S434" s="558"/>
      <c r="V434" s="535"/>
      <c r="W434" s="558"/>
      <c r="Z434" s="535"/>
      <c r="AA434" s="558"/>
      <c r="AD434" s="535"/>
      <c r="AE434" s="558"/>
      <c r="AH434" s="535"/>
      <c r="AI434" s="558"/>
      <c r="AL434" s="535"/>
      <c r="AP434" s="535"/>
    </row>
    <row r="435">
      <c r="A435" s="552"/>
      <c r="B435" s="552"/>
      <c r="N435" s="535"/>
      <c r="O435" s="558"/>
      <c r="R435" s="535"/>
      <c r="S435" s="558"/>
      <c r="V435" s="535"/>
      <c r="W435" s="558"/>
      <c r="Z435" s="535"/>
      <c r="AA435" s="558"/>
      <c r="AD435" s="535"/>
      <c r="AE435" s="558"/>
      <c r="AH435" s="535"/>
      <c r="AI435" s="558"/>
      <c r="AL435" s="535"/>
      <c r="AP435" s="535"/>
    </row>
    <row r="436">
      <c r="A436" s="552"/>
      <c r="B436" s="552"/>
      <c r="N436" s="535"/>
      <c r="O436" s="558"/>
      <c r="R436" s="535"/>
      <c r="S436" s="558"/>
      <c r="V436" s="535"/>
      <c r="W436" s="558"/>
      <c r="Z436" s="535"/>
      <c r="AA436" s="558"/>
      <c r="AD436" s="535"/>
      <c r="AE436" s="558"/>
      <c r="AH436" s="535"/>
      <c r="AI436" s="558"/>
      <c r="AL436" s="535"/>
      <c r="AP436" s="535"/>
    </row>
    <row r="437">
      <c r="A437" s="552"/>
      <c r="B437" s="552"/>
      <c r="N437" s="535"/>
      <c r="O437" s="558"/>
      <c r="R437" s="535"/>
      <c r="S437" s="558"/>
      <c r="V437" s="535"/>
      <c r="W437" s="558"/>
      <c r="Z437" s="535"/>
      <c r="AA437" s="558"/>
      <c r="AD437" s="535"/>
      <c r="AE437" s="558"/>
      <c r="AH437" s="535"/>
      <c r="AI437" s="558"/>
      <c r="AL437" s="535"/>
      <c r="AP437" s="535"/>
    </row>
    <row r="438">
      <c r="A438" s="552"/>
      <c r="B438" s="552"/>
      <c r="N438" s="535"/>
      <c r="O438" s="558"/>
      <c r="R438" s="535"/>
      <c r="S438" s="558"/>
      <c r="V438" s="535"/>
      <c r="W438" s="558"/>
      <c r="Z438" s="535"/>
      <c r="AA438" s="558"/>
      <c r="AD438" s="535"/>
      <c r="AE438" s="558"/>
      <c r="AH438" s="535"/>
      <c r="AI438" s="558"/>
      <c r="AL438" s="535"/>
      <c r="AP438" s="535"/>
    </row>
    <row r="439">
      <c r="A439" s="552"/>
      <c r="B439" s="552"/>
      <c r="N439" s="535"/>
      <c r="O439" s="558"/>
      <c r="R439" s="535"/>
      <c r="S439" s="558"/>
      <c r="V439" s="535"/>
      <c r="W439" s="558"/>
      <c r="Z439" s="535"/>
      <c r="AA439" s="558"/>
      <c r="AD439" s="535"/>
      <c r="AE439" s="558"/>
      <c r="AH439" s="535"/>
      <c r="AI439" s="558"/>
      <c r="AL439" s="535"/>
      <c r="AP439" s="535"/>
    </row>
    <row r="440">
      <c r="A440" s="552"/>
      <c r="B440" s="552"/>
      <c r="N440" s="535"/>
      <c r="O440" s="558"/>
      <c r="R440" s="535"/>
      <c r="S440" s="558"/>
      <c r="V440" s="535"/>
      <c r="W440" s="558"/>
      <c r="Z440" s="535"/>
      <c r="AA440" s="558"/>
      <c r="AD440" s="535"/>
      <c r="AE440" s="558"/>
      <c r="AH440" s="535"/>
      <c r="AI440" s="558"/>
      <c r="AL440" s="535"/>
      <c r="AP440" s="535"/>
    </row>
    <row r="441">
      <c r="A441" s="552"/>
      <c r="B441" s="552"/>
      <c r="N441" s="535"/>
      <c r="O441" s="558"/>
      <c r="R441" s="535"/>
      <c r="S441" s="558"/>
      <c r="V441" s="535"/>
      <c r="W441" s="558"/>
      <c r="Z441" s="535"/>
      <c r="AA441" s="558"/>
      <c r="AD441" s="535"/>
      <c r="AE441" s="558"/>
      <c r="AH441" s="535"/>
      <c r="AI441" s="558"/>
      <c r="AL441" s="535"/>
      <c r="AP441" s="535"/>
    </row>
    <row r="442">
      <c r="A442" s="552"/>
      <c r="B442" s="552"/>
      <c r="N442" s="535"/>
      <c r="O442" s="558"/>
      <c r="R442" s="535"/>
      <c r="S442" s="558"/>
      <c r="V442" s="535"/>
      <c r="W442" s="558"/>
      <c r="Z442" s="535"/>
      <c r="AA442" s="558"/>
      <c r="AD442" s="535"/>
      <c r="AE442" s="558"/>
      <c r="AH442" s="535"/>
      <c r="AI442" s="558"/>
      <c r="AL442" s="535"/>
      <c r="AP442" s="535"/>
    </row>
    <row r="443">
      <c r="A443" s="552"/>
      <c r="B443" s="552"/>
      <c r="N443" s="535"/>
      <c r="O443" s="558"/>
      <c r="R443" s="535"/>
      <c r="S443" s="558"/>
      <c r="V443" s="535"/>
      <c r="W443" s="558"/>
      <c r="Z443" s="535"/>
      <c r="AA443" s="558"/>
      <c r="AD443" s="535"/>
      <c r="AE443" s="558"/>
      <c r="AH443" s="535"/>
      <c r="AI443" s="558"/>
      <c r="AL443" s="535"/>
      <c r="AP443" s="535"/>
    </row>
    <row r="444">
      <c r="A444" s="552"/>
      <c r="B444" s="552"/>
      <c r="N444" s="535"/>
      <c r="O444" s="558"/>
      <c r="R444" s="535"/>
      <c r="S444" s="558"/>
      <c r="V444" s="535"/>
      <c r="W444" s="558"/>
      <c r="Z444" s="535"/>
      <c r="AA444" s="558"/>
      <c r="AD444" s="535"/>
      <c r="AE444" s="558"/>
      <c r="AH444" s="535"/>
      <c r="AI444" s="558"/>
      <c r="AL444" s="535"/>
      <c r="AP444" s="535"/>
    </row>
    <row r="445">
      <c r="A445" s="552"/>
      <c r="B445" s="552"/>
      <c r="N445" s="535"/>
      <c r="O445" s="558"/>
      <c r="R445" s="535"/>
      <c r="S445" s="558"/>
      <c r="V445" s="535"/>
      <c r="W445" s="558"/>
      <c r="Z445" s="535"/>
      <c r="AA445" s="558"/>
      <c r="AD445" s="535"/>
      <c r="AE445" s="558"/>
      <c r="AH445" s="535"/>
      <c r="AI445" s="558"/>
      <c r="AL445" s="535"/>
      <c r="AP445" s="535"/>
    </row>
    <row r="446">
      <c r="A446" s="552"/>
      <c r="B446" s="552"/>
      <c r="N446" s="535"/>
      <c r="O446" s="558"/>
      <c r="R446" s="535"/>
      <c r="S446" s="558"/>
      <c r="V446" s="535"/>
      <c r="W446" s="558"/>
      <c r="Z446" s="535"/>
      <c r="AA446" s="558"/>
      <c r="AD446" s="535"/>
      <c r="AE446" s="558"/>
      <c r="AH446" s="535"/>
      <c r="AI446" s="558"/>
      <c r="AL446" s="535"/>
      <c r="AP446" s="535"/>
    </row>
    <row r="447">
      <c r="A447" s="552"/>
      <c r="B447" s="552"/>
      <c r="N447" s="535"/>
      <c r="O447" s="558"/>
      <c r="R447" s="535"/>
      <c r="S447" s="558"/>
      <c r="V447" s="535"/>
      <c r="W447" s="558"/>
      <c r="Z447" s="535"/>
      <c r="AA447" s="558"/>
      <c r="AD447" s="535"/>
      <c r="AE447" s="558"/>
      <c r="AH447" s="535"/>
      <c r="AI447" s="558"/>
      <c r="AL447" s="535"/>
      <c r="AP447" s="535"/>
    </row>
    <row r="448">
      <c r="A448" s="552"/>
      <c r="B448" s="552"/>
      <c r="N448" s="535"/>
      <c r="O448" s="558"/>
      <c r="R448" s="535"/>
      <c r="S448" s="558"/>
      <c r="V448" s="535"/>
      <c r="W448" s="558"/>
      <c r="Z448" s="535"/>
      <c r="AA448" s="558"/>
      <c r="AD448" s="535"/>
      <c r="AE448" s="558"/>
      <c r="AH448" s="535"/>
      <c r="AI448" s="558"/>
      <c r="AL448" s="535"/>
      <c r="AP448" s="535"/>
    </row>
    <row r="449">
      <c r="A449" s="552"/>
      <c r="B449" s="552"/>
      <c r="N449" s="535"/>
      <c r="O449" s="558"/>
      <c r="R449" s="535"/>
      <c r="S449" s="558"/>
      <c r="V449" s="535"/>
      <c r="W449" s="558"/>
      <c r="Z449" s="535"/>
      <c r="AA449" s="558"/>
      <c r="AD449" s="535"/>
      <c r="AE449" s="558"/>
      <c r="AH449" s="535"/>
      <c r="AI449" s="558"/>
      <c r="AL449" s="535"/>
      <c r="AP449" s="535"/>
    </row>
    <row r="450">
      <c r="A450" s="552"/>
      <c r="B450" s="552"/>
      <c r="N450" s="535"/>
      <c r="O450" s="558"/>
      <c r="R450" s="535"/>
      <c r="S450" s="558"/>
      <c r="V450" s="535"/>
      <c r="W450" s="558"/>
      <c r="Z450" s="535"/>
      <c r="AA450" s="558"/>
      <c r="AD450" s="535"/>
      <c r="AE450" s="558"/>
      <c r="AH450" s="535"/>
      <c r="AI450" s="558"/>
      <c r="AL450" s="535"/>
      <c r="AP450" s="535"/>
    </row>
    <row r="451">
      <c r="A451" s="552"/>
      <c r="B451" s="552"/>
      <c r="N451" s="535"/>
      <c r="O451" s="558"/>
      <c r="R451" s="535"/>
      <c r="S451" s="558"/>
      <c r="V451" s="535"/>
      <c r="W451" s="558"/>
      <c r="Z451" s="535"/>
      <c r="AA451" s="558"/>
      <c r="AD451" s="535"/>
      <c r="AE451" s="558"/>
      <c r="AH451" s="535"/>
      <c r="AI451" s="558"/>
      <c r="AL451" s="535"/>
      <c r="AP451" s="535"/>
    </row>
    <row r="452">
      <c r="A452" s="552"/>
      <c r="B452" s="552"/>
      <c r="N452" s="535"/>
      <c r="O452" s="558"/>
      <c r="R452" s="535"/>
      <c r="S452" s="558"/>
      <c r="V452" s="535"/>
      <c r="W452" s="558"/>
      <c r="Z452" s="535"/>
      <c r="AA452" s="558"/>
      <c r="AD452" s="535"/>
      <c r="AE452" s="558"/>
      <c r="AH452" s="535"/>
      <c r="AI452" s="558"/>
      <c r="AL452" s="535"/>
      <c r="AP452" s="535"/>
    </row>
    <row r="453">
      <c r="A453" s="552"/>
      <c r="B453" s="552"/>
      <c r="N453" s="535"/>
      <c r="O453" s="558"/>
      <c r="R453" s="535"/>
      <c r="S453" s="558"/>
      <c r="V453" s="535"/>
      <c r="W453" s="558"/>
      <c r="Z453" s="535"/>
      <c r="AA453" s="558"/>
      <c r="AD453" s="535"/>
      <c r="AE453" s="558"/>
      <c r="AH453" s="535"/>
      <c r="AI453" s="558"/>
      <c r="AL453" s="535"/>
      <c r="AP453" s="535"/>
    </row>
    <row r="454">
      <c r="A454" s="552"/>
      <c r="B454" s="552"/>
      <c r="N454" s="535"/>
      <c r="O454" s="558"/>
      <c r="R454" s="535"/>
      <c r="S454" s="558"/>
      <c r="V454" s="535"/>
      <c r="W454" s="558"/>
      <c r="Z454" s="535"/>
      <c r="AA454" s="558"/>
      <c r="AD454" s="535"/>
      <c r="AE454" s="558"/>
      <c r="AH454" s="535"/>
      <c r="AI454" s="558"/>
      <c r="AL454" s="535"/>
      <c r="AP454" s="535"/>
    </row>
    <row r="455">
      <c r="A455" s="552"/>
      <c r="B455" s="552"/>
      <c r="N455" s="535"/>
      <c r="O455" s="558"/>
      <c r="R455" s="535"/>
      <c r="S455" s="558"/>
      <c r="V455" s="535"/>
      <c r="W455" s="558"/>
      <c r="Z455" s="535"/>
      <c r="AA455" s="558"/>
      <c r="AD455" s="535"/>
      <c r="AE455" s="558"/>
      <c r="AH455" s="535"/>
      <c r="AI455" s="558"/>
      <c r="AL455" s="535"/>
      <c r="AP455" s="535"/>
    </row>
    <row r="456">
      <c r="A456" s="552"/>
      <c r="B456" s="552"/>
      <c r="N456" s="535"/>
      <c r="O456" s="558"/>
      <c r="R456" s="535"/>
      <c r="S456" s="558"/>
      <c r="V456" s="535"/>
      <c r="W456" s="558"/>
      <c r="Z456" s="535"/>
      <c r="AA456" s="558"/>
      <c r="AD456" s="535"/>
      <c r="AE456" s="558"/>
      <c r="AH456" s="535"/>
      <c r="AI456" s="558"/>
      <c r="AL456" s="535"/>
      <c r="AP456" s="535"/>
    </row>
    <row r="457">
      <c r="A457" s="552"/>
      <c r="B457" s="552"/>
      <c r="N457" s="535"/>
      <c r="O457" s="558"/>
      <c r="R457" s="535"/>
      <c r="S457" s="558"/>
      <c r="V457" s="535"/>
      <c r="W457" s="558"/>
      <c r="Z457" s="535"/>
      <c r="AA457" s="558"/>
      <c r="AD457" s="535"/>
      <c r="AE457" s="558"/>
      <c r="AH457" s="535"/>
      <c r="AI457" s="558"/>
      <c r="AL457" s="535"/>
      <c r="AP457" s="535"/>
    </row>
    <row r="458">
      <c r="A458" s="552"/>
      <c r="B458" s="552"/>
      <c r="N458" s="535"/>
      <c r="O458" s="558"/>
      <c r="R458" s="535"/>
      <c r="S458" s="558"/>
      <c r="V458" s="535"/>
      <c r="W458" s="558"/>
      <c r="Z458" s="535"/>
      <c r="AA458" s="558"/>
      <c r="AD458" s="535"/>
      <c r="AE458" s="558"/>
      <c r="AH458" s="535"/>
      <c r="AI458" s="558"/>
      <c r="AL458" s="535"/>
      <c r="AP458" s="535"/>
    </row>
    <row r="459">
      <c r="A459" s="552"/>
      <c r="B459" s="552"/>
      <c r="N459" s="535"/>
      <c r="O459" s="558"/>
      <c r="R459" s="535"/>
      <c r="S459" s="558"/>
      <c r="V459" s="535"/>
      <c r="W459" s="558"/>
      <c r="Z459" s="535"/>
      <c r="AA459" s="558"/>
      <c r="AD459" s="535"/>
      <c r="AE459" s="558"/>
      <c r="AH459" s="535"/>
      <c r="AI459" s="558"/>
      <c r="AL459" s="535"/>
      <c r="AP459" s="535"/>
    </row>
    <row r="460">
      <c r="A460" s="552"/>
      <c r="B460" s="552"/>
      <c r="N460" s="535"/>
      <c r="O460" s="558"/>
      <c r="R460" s="535"/>
      <c r="S460" s="558"/>
      <c r="V460" s="535"/>
      <c r="W460" s="558"/>
      <c r="Z460" s="535"/>
      <c r="AA460" s="558"/>
      <c r="AD460" s="535"/>
      <c r="AE460" s="558"/>
      <c r="AH460" s="535"/>
      <c r="AI460" s="558"/>
      <c r="AL460" s="535"/>
      <c r="AP460" s="535"/>
    </row>
    <row r="461">
      <c r="A461" s="552"/>
      <c r="B461" s="552"/>
      <c r="N461" s="535"/>
      <c r="O461" s="558"/>
      <c r="R461" s="535"/>
      <c r="S461" s="558"/>
      <c r="V461" s="535"/>
      <c r="W461" s="558"/>
      <c r="Z461" s="535"/>
      <c r="AA461" s="558"/>
      <c r="AD461" s="535"/>
      <c r="AE461" s="558"/>
      <c r="AH461" s="535"/>
      <c r="AI461" s="558"/>
      <c r="AL461" s="535"/>
      <c r="AP461" s="535"/>
    </row>
    <row r="462">
      <c r="A462" s="552"/>
      <c r="B462" s="552"/>
      <c r="N462" s="535"/>
      <c r="O462" s="558"/>
      <c r="R462" s="535"/>
      <c r="S462" s="558"/>
      <c r="V462" s="535"/>
      <c r="W462" s="558"/>
      <c r="Z462" s="535"/>
      <c r="AA462" s="558"/>
      <c r="AD462" s="535"/>
      <c r="AE462" s="558"/>
      <c r="AH462" s="535"/>
      <c r="AI462" s="558"/>
      <c r="AL462" s="535"/>
      <c r="AP462" s="535"/>
    </row>
    <row r="463">
      <c r="A463" s="552"/>
      <c r="B463" s="552"/>
      <c r="N463" s="535"/>
      <c r="O463" s="558"/>
      <c r="R463" s="535"/>
      <c r="S463" s="558"/>
      <c r="V463" s="535"/>
      <c r="W463" s="558"/>
      <c r="Z463" s="535"/>
      <c r="AA463" s="558"/>
      <c r="AD463" s="535"/>
      <c r="AE463" s="558"/>
      <c r="AH463" s="535"/>
      <c r="AI463" s="558"/>
      <c r="AL463" s="535"/>
      <c r="AP463" s="535"/>
    </row>
    <row r="464">
      <c r="A464" s="552"/>
      <c r="B464" s="552"/>
      <c r="N464" s="535"/>
      <c r="O464" s="558"/>
      <c r="R464" s="535"/>
      <c r="S464" s="558"/>
      <c r="V464" s="535"/>
      <c r="W464" s="558"/>
      <c r="Z464" s="535"/>
      <c r="AA464" s="558"/>
      <c r="AD464" s="535"/>
      <c r="AE464" s="558"/>
      <c r="AH464" s="535"/>
      <c r="AI464" s="558"/>
      <c r="AL464" s="535"/>
      <c r="AP464" s="535"/>
    </row>
    <row r="465">
      <c r="A465" s="552"/>
      <c r="B465" s="552"/>
      <c r="N465" s="535"/>
      <c r="O465" s="558"/>
      <c r="R465" s="535"/>
      <c r="S465" s="558"/>
      <c r="V465" s="535"/>
      <c r="W465" s="558"/>
      <c r="Z465" s="535"/>
      <c r="AA465" s="558"/>
      <c r="AD465" s="535"/>
      <c r="AE465" s="558"/>
      <c r="AH465" s="535"/>
      <c r="AI465" s="558"/>
      <c r="AL465" s="535"/>
      <c r="AP465" s="535"/>
    </row>
    <row r="466">
      <c r="A466" s="552"/>
      <c r="B466" s="552"/>
      <c r="N466" s="535"/>
      <c r="O466" s="558"/>
      <c r="R466" s="535"/>
      <c r="S466" s="558"/>
      <c r="V466" s="535"/>
      <c r="W466" s="558"/>
      <c r="Z466" s="535"/>
      <c r="AA466" s="558"/>
      <c r="AD466" s="535"/>
      <c r="AE466" s="558"/>
      <c r="AH466" s="535"/>
      <c r="AI466" s="558"/>
      <c r="AL466" s="535"/>
      <c r="AP466" s="535"/>
    </row>
    <row r="467">
      <c r="A467" s="552"/>
      <c r="B467" s="552"/>
      <c r="N467" s="535"/>
      <c r="O467" s="558"/>
      <c r="R467" s="535"/>
      <c r="S467" s="558"/>
      <c r="V467" s="535"/>
      <c r="W467" s="558"/>
      <c r="Z467" s="535"/>
      <c r="AA467" s="558"/>
      <c r="AD467" s="535"/>
      <c r="AE467" s="558"/>
      <c r="AH467" s="535"/>
      <c r="AI467" s="558"/>
      <c r="AL467" s="535"/>
      <c r="AP467" s="535"/>
    </row>
    <row r="468">
      <c r="A468" s="552"/>
      <c r="B468" s="552"/>
      <c r="N468" s="535"/>
      <c r="O468" s="558"/>
      <c r="R468" s="535"/>
      <c r="S468" s="558"/>
      <c r="V468" s="535"/>
      <c r="W468" s="558"/>
      <c r="Z468" s="535"/>
      <c r="AA468" s="558"/>
      <c r="AD468" s="535"/>
      <c r="AE468" s="558"/>
      <c r="AH468" s="535"/>
      <c r="AI468" s="558"/>
      <c r="AL468" s="535"/>
      <c r="AP468" s="535"/>
    </row>
    <row r="469">
      <c r="A469" s="552"/>
      <c r="B469" s="552"/>
      <c r="N469" s="535"/>
      <c r="O469" s="558"/>
      <c r="R469" s="535"/>
      <c r="S469" s="558"/>
      <c r="V469" s="535"/>
      <c r="W469" s="558"/>
      <c r="Z469" s="535"/>
      <c r="AA469" s="558"/>
      <c r="AD469" s="535"/>
      <c r="AE469" s="558"/>
      <c r="AH469" s="535"/>
      <c r="AI469" s="558"/>
      <c r="AL469" s="535"/>
      <c r="AP469" s="535"/>
    </row>
    <row r="470">
      <c r="A470" s="552"/>
      <c r="B470" s="552"/>
      <c r="N470" s="535"/>
      <c r="O470" s="558"/>
      <c r="R470" s="535"/>
      <c r="S470" s="558"/>
      <c r="V470" s="535"/>
      <c r="W470" s="558"/>
      <c r="Z470" s="535"/>
      <c r="AA470" s="558"/>
      <c r="AD470" s="535"/>
      <c r="AE470" s="558"/>
      <c r="AH470" s="535"/>
      <c r="AI470" s="558"/>
      <c r="AL470" s="535"/>
      <c r="AP470" s="535"/>
    </row>
    <row r="471">
      <c r="A471" s="552"/>
      <c r="B471" s="552"/>
      <c r="N471" s="535"/>
      <c r="O471" s="558"/>
      <c r="R471" s="535"/>
      <c r="S471" s="558"/>
      <c r="V471" s="535"/>
      <c r="W471" s="558"/>
      <c r="Z471" s="535"/>
      <c r="AA471" s="558"/>
      <c r="AD471" s="535"/>
      <c r="AE471" s="558"/>
      <c r="AH471" s="535"/>
      <c r="AI471" s="558"/>
      <c r="AL471" s="535"/>
      <c r="AP471" s="535"/>
    </row>
    <row r="472">
      <c r="A472" s="552"/>
      <c r="B472" s="552"/>
      <c r="N472" s="535"/>
      <c r="O472" s="558"/>
      <c r="R472" s="535"/>
      <c r="S472" s="558"/>
      <c r="V472" s="535"/>
      <c r="W472" s="558"/>
      <c r="Z472" s="535"/>
      <c r="AA472" s="558"/>
      <c r="AD472" s="535"/>
      <c r="AE472" s="558"/>
      <c r="AH472" s="535"/>
      <c r="AI472" s="558"/>
      <c r="AL472" s="535"/>
      <c r="AP472" s="535"/>
    </row>
    <row r="473">
      <c r="A473" s="552"/>
      <c r="B473" s="552"/>
      <c r="N473" s="535"/>
      <c r="O473" s="558"/>
      <c r="R473" s="535"/>
      <c r="S473" s="558"/>
      <c r="V473" s="535"/>
      <c r="W473" s="558"/>
      <c r="Z473" s="535"/>
      <c r="AA473" s="558"/>
      <c r="AD473" s="535"/>
      <c r="AE473" s="558"/>
      <c r="AH473" s="535"/>
      <c r="AI473" s="558"/>
      <c r="AL473" s="535"/>
      <c r="AP473" s="535"/>
    </row>
    <row r="474">
      <c r="A474" s="552"/>
      <c r="B474" s="552"/>
      <c r="N474" s="535"/>
      <c r="O474" s="558"/>
      <c r="R474" s="535"/>
      <c r="S474" s="558"/>
      <c r="V474" s="535"/>
      <c r="W474" s="558"/>
      <c r="Z474" s="535"/>
      <c r="AA474" s="558"/>
      <c r="AD474" s="535"/>
      <c r="AE474" s="558"/>
      <c r="AH474" s="535"/>
      <c r="AI474" s="558"/>
      <c r="AL474" s="535"/>
      <c r="AP474" s="535"/>
    </row>
    <row r="475">
      <c r="A475" s="552"/>
      <c r="B475" s="552"/>
      <c r="N475" s="535"/>
      <c r="O475" s="558"/>
      <c r="R475" s="535"/>
      <c r="S475" s="558"/>
      <c r="V475" s="535"/>
      <c r="W475" s="558"/>
      <c r="Z475" s="535"/>
      <c r="AA475" s="558"/>
      <c r="AD475" s="535"/>
      <c r="AE475" s="558"/>
      <c r="AH475" s="535"/>
      <c r="AI475" s="558"/>
      <c r="AL475" s="535"/>
      <c r="AP475" s="535"/>
    </row>
    <row r="476">
      <c r="A476" s="552"/>
      <c r="B476" s="552"/>
      <c r="N476" s="535"/>
      <c r="O476" s="558"/>
      <c r="R476" s="535"/>
      <c r="S476" s="558"/>
      <c r="V476" s="535"/>
      <c r="W476" s="558"/>
      <c r="Z476" s="535"/>
      <c r="AA476" s="558"/>
      <c r="AD476" s="535"/>
      <c r="AE476" s="558"/>
      <c r="AH476" s="535"/>
      <c r="AI476" s="558"/>
      <c r="AL476" s="535"/>
      <c r="AP476" s="535"/>
    </row>
    <row r="477">
      <c r="A477" s="552"/>
      <c r="B477" s="552"/>
      <c r="N477" s="535"/>
      <c r="O477" s="558"/>
      <c r="R477" s="535"/>
      <c r="S477" s="558"/>
      <c r="V477" s="535"/>
      <c r="W477" s="558"/>
      <c r="Z477" s="535"/>
      <c r="AA477" s="558"/>
      <c r="AD477" s="535"/>
      <c r="AE477" s="558"/>
      <c r="AH477" s="535"/>
      <c r="AI477" s="558"/>
      <c r="AL477" s="535"/>
      <c r="AP477" s="535"/>
    </row>
    <row r="478">
      <c r="A478" s="552"/>
      <c r="B478" s="552"/>
      <c r="N478" s="535"/>
      <c r="O478" s="558"/>
      <c r="R478" s="535"/>
      <c r="S478" s="558"/>
      <c r="V478" s="535"/>
      <c r="W478" s="558"/>
      <c r="Z478" s="535"/>
      <c r="AA478" s="558"/>
      <c r="AD478" s="535"/>
      <c r="AE478" s="558"/>
      <c r="AH478" s="535"/>
      <c r="AI478" s="558"/>
      <c r="AL478" s="535"/>
      <c r="AP478" s="535"/>
    </row>
    <row r="479">
      <c r="A479" s="552"/>
      <c r="B479" s="552"/>
      <c r="N479" s="535"/>
      <c r="O479" s="558"/>
      <c r="R479" s="535"/>
      <c r="S479" s="558"/>
      <c r="V479" s="535"/>
      <c r="W479" s="558"/>
      <c r="Z479" s="535"/>
      <c r="AA479" s="558"/>
      <c r="AD479" s="535"/>
      <c r="AE479" s="558"/>
      <c r="AH479" s="535"/>
      <c r="AI479" s="558"/>
      <c r="AL479" s="535"/>
      <c r="AP479" s="535"/>
    </row>
    <row r="480">
      <c r="A480" s="552"/>
      <c r="B480" s="552"/>
      <c r="N480" s="535"/>
      <c r="O480" s="558"/>
      <c r="R480" s="535"/>
      <c r="S480" s="558"/>
      <c r="V480" s="535"/>
      <c r="W480" s="558"/>
      <c r="Z480" s="535"/>
      <c r="AA480" s="558"/>
      <c r="AD480" s="535"/>
      <c r="AE480" s="558"/>
      <c r="AH480" s="535"/>
      <c r="AI480" s="558"/>
      <c r="AL480" s="535"/>
      <c r="AP480" s="535"/>
    </row>
    <row r="481">
      <c r="A481" s="552"/>
      <c r="B481" s="552"/>
      <c r="N481" s="535"/>
      <c r="O481" s="558"/>
      <c r="R481" s="535"/>
      <c r="S481" s="558"/>
      <c r="V481" s="535"/>
      <c r="W481" s="558"/>
      <c r="Z481" s="535"/>
      <c r="AA481" s="558"/>
      <c r="AD481" s="535"/>
      <c r="AE481" s="558"/>
      <c r="AH481" s="535"/>
      <c r="AI481" s="558"/>
      <c r="AL481" s="535"/>
      <c r="AP481" s="535"/>
    </row>
    <row r="482">
      <c r="A482" s="552"/>
      <c r="B482" s="552"/>
      <c r="N482" s="535"/>
      <c r="O482" s="558"/>
      <c r="R482" s="535"/>
      <c r="S482" s="558"/>
      <c r="V482" s="535"/>
      <c r="W482" s="558"/>
      <c r="Z482" s="535"/>
      <c r="AA482" s="558"/>
      <c r="AD482" s="535"/>
      <c r="AE482" s="558"/>
      <c r="AH482" s="535"/>
      <c r="AI482" s="558"/>
      <c r="AL482" s="535"/>
      <c r="AP482" s="535"/>
    </row>
    <row r="483">
      <c r="A483" s="552"/>
      <c r="B483" s="552"/>
      <c r="N483" s="535"/>
      <c r="O483" s="558"/>
      <c r="R483" s="535"/>
      <c r="S483" s="558"/>
      <c r="V483" s="535"/>
      <c r="W483" s="558"/>
      <c r="Z483" s="535"/>
      <c r="AA483" s="558"/>
      <c r="AD483" s="535"/>
      <c r="AE483" s="558"/>
      <c r="AH483" s="535"/>
      <c r="AI483" s="558"/>
      <c r="AL483" s="535"/>
      <c r="AP483" s="535"/>
    </row>
    <row r="484">
      <c r="A484" s="552"/>
      <c r="B484" s="552"/>
      <c r="N484" s="535"/>
      <c r="O484" s="558"/>
      <c r="R484" s="535"/>
      <c r="S484" s="558"/>
      <c r="V484" s="535"/>
      <c r="W484" s="558"/>
      <c r="Z484" s="535"/>
      <c r="AA484" s="558"/>
      <c r="AD484" s="535"/>
      <c r="AE484" s="558"/>
      <c r="AH484" s="535"/>
      <c r="AI484" s="558"/>
      <c r="AL484" s="535"/>
      <c r="AP484" s="535"/>
    </row>
    <row r="485">
      <c r="A485" s="552"/>
      <c r="B485" s="552"/>
      <c r="N485" s="535"/>
      <c r="O485" s="558"/>
      <c r="R485" s="535"/>
      <c r="S485" s="558"/>
      <c r="V485" s="535"/>
      <c r="W485" s="558"/>
      <c r="Z485" s="535"/>
      <c r="AA485" s="558"/>
      <c r="AD485" s="535"/>
      <c r="AE485" s="558"/>
      <c r="AH485" s="535"/>
      <c r="AI485" s="558"/>
      <c r="AL485" s="535"/>
      <c r="AP485" s="535"/>
    </row>
    <row r="486">
      <c r="A486" s="552"/>
      <c r="B486" s="552"/>
      <c r="N486" s="535"/>
      <c r="O486" s="558"/>
      <c r="R486" s="535"/>
      <c r="S486" s="558"/>
      <c r="V486" s="535"/>
      <c r="W486" s="558"/>
      <c r="Z486" s="535"/>
      <c r="AA486" s="558"/>
      <c r="AD486" s="535"/>
      <c r="AE486" s="558"/>
      <c r="AH486" s="535"/>
      <c r="AI486" s="558"/>
      <c r="AL486" s="535"/>
      <c r="AP486" s="535"/>
    </row>
    <row r="487">
      <c r="A487" s="552"/>
      <c r="B487" s="552"/>
      <c r="N487" s="535"/>
      <c r="O487" s="558"/>
      <c r="R487" s="535"/>
      <c r="S487" s="558"/>
      <c r="V487" s="535"/>
      <c r="W487" s="558"/>
      <c r="Z487" s="535"/>
      <c r="AA487" s="558"/>
      <c r="AD487" s="535"/>
      <c r="AE487" s="558"/>
      <c r="AH487" s="535"/>
      <c r="AI487" s="558"/>
      <c r="AL487" s="535"/>
      <c r="AP487" s="535"/>
    </row>
    <row r="488">
      <c r="A488" s="552"/>
      <c r="B488" s="552"/>
      <c r="N488" s="535"/>
      <c r="O488" s="558"/>
      <c r="R488" s="535"/>
      <c r="S488" s="558"/>
      <c r="V488" s="535"/>
      <c r="W488" s="558"/>
      <c r="Z488" s="535"/>
      <c r="AA488" s="558"/>
      <c r="AD488" s="535"/>
      <c r="AE488" s="558"/>
      <c r="AH488" s="535"/>
      <c r="AI488" s="558"/>
      <c r="AL488" s="535"/>
      <c r="AP488" s="535"/>
    </row>
    <row r="489">
      <c r="A489" s="552"/>
      <c r="B489" s="552"/>
      <c r="N489" s="535"/>
      <c r="O489" s="558"/>
      <c r="R489" s="535"/>
      <c r="S489" s="558"/>
      <c r="V489" s="535"/>
      <c r="W489" s="558"/>
      <c r="Z489" s="535"/>
      <c r="AA489" s="558"/>
      <c r="AD489" s="535"/>
      <c r="AE489" s="558"/>
      <c r="AH489" s="535"/>
      <c r="AI489" s="558"/>
      <c r="AL489" s="535"/>
      <c r="AP489" s="535"/>
    </row>
    <row r="490">
      <c r="A490" s="552"/>
      <c r="B490" s="552"/>
      <c r="N490" s="535"/>
      <c r="O490" s="558"/>
      <c r="R490" s="535"/>
      <c r="S490" s="558"/>
      <c r="V490" s="535"/>
      <c r="W490" s="558"/>
      <c r="Z490" s="535"/>
      <c r="AA490" s="558"/>
      <c r="AD490" s="535"/>
      <c r="AE490" s="558"/>
      <c r="AH490" s="535"/>
      <c r="AI490" s="558"/>
      <c r="AL490" s="535"/>
      <c r="AP490" s="535"/>
    </row>
    <row r="491">
      <c r="A491" s="552"/>
      <c r="B491" s="552"/>
      <c r="N491" s="535"/>
      <c r="O491" s="558"/>
      <c r="R491" s="535"/>
      <c r="S491" s="558"/>
      <c r="V491" s="535"/>
      <c r="W491" s="558"/>
      <c r="Z491" s="535"/>
      <c r="AA491" s="558"/>
      <c r="AD491" s="535"/>
      <c r="AE491" s="558"/>
      <c r="AH491" s="535"/>
      <c r="AI491" s="558"/>
      <c r="AL491" s="535"/>
      <c r="AP491" s="535"/>
    </row>
    <row r="492">
      <c r="A492" s="552"/>
      <c r="B492" s="552"/>
      <c r="N492" s="535"/>
      <c r="O492" s="558"/>
      <c r="R492" s="535"/>
      <c r="S492" s="558"/>
      <c r="V492" s="535"/>
      <c r="W492" s="558"/>
      <c r="Z492" s="535"/>
      <c r="AA492" s="558"/>
      <c r="AD492" s="535"/>
      <c r="AE492" s="558"/>
      <c r="AH492" s="535"/>
      <c r="AI492" s="558"/>
      <c r="AL492" s="535"/>
      <c r="AP492" s="535"/>
    </row>
    <row r="493">
      <c r="A493" s="552"/>
      <c r="B493" s="552"/>
      <c r="N493" s="535"/>
      <c r="O493" s="558"/>
      <c r="R493" s="535"/>
      <c r="S493" s="558"/>
      <c r="V493" s="535"/>
      <c r="W493" s="558"/>
      <c r="Z493" s="535"/>
      <c r="AA493" s="558"/>
      <c r="AD493" s="535"/>
      <c r="AE493" s="558"/>
      <c r="AH493" s="535"/>
      <c r="AI493" s="558"/>
      <c r="AL493" s="535"/>
      <c r="AP493" s="535"/>
    </row>
    <row r="494">
      <c r="A494" s="552"/>
      <c r="B494" s="552"/>
      <c r="N494" s="535"/>
      <c r="O494" s="558"/>
      <c r="R494" s="535"/>
      <c r="S494" s="558"/>
      <c r="V494" s="535"/>
      <c r="W494" s="558"/>
      <c r="Z494" s="535"/>
      <c r="AA494" s="558"/>
      <c r="AD494" s="535"/>
      <c r="AE494" s="558"/>
      <c r="AH494" s="535"/>
      <c r="AI494" s="558"/>
      <c r="AL494" s="535"/>
      <c r="AP494" s="535"/>
    </row>
    <row r="495">
      <c r="A495" s="552"/>
      <c r="B495" s="552"/>
      <c r="N495" s="535"/>
      <c r="O495" s="558"/>
      <c r="R495" s="535"/>
      <c r="S495" s="558"/>
      <c r="V495" s="535"/>
      <c r="W495" s="558"/>
      <c r="Z495" s="535"/>
      <c r="AA495" s="558"/>
      <c r="AD495" s="535"/>
      <c r="AE495" s="558"/>
      <c r="AH495" s="535"/>
      <c r="AI495" s="558"/>
      <c r="AL495" s="535"/>
      <c r="AP495" s="535"/>
    </row>
    <row r="496">
      <c r="A496" s="552"/>
      <c r="B496" s="552"/>
      <c r="N496" s="535"/>
      <c r="O496" s="558"/>
      <c r="R496" s="535"/>
      <c r="S496" s="558"/>
      <c r="V496" s="535"/>
      <c r="W496" s="558"/>
      <c r="Z496" s="535"/>
      <c r="AA496" s="558"/>
      <c r="AD496" s="535"/>
      <c r="AE496" s="558"/>
      <c r="AH496" s="535"/>
      <c r="AI496" s="558"/>
      <c r="AL496" s="535"/>
      <c r="AP496" s="535"/>
    </row>
    <row r="497">
      <c r="A497" s="552"/>
      <c r="B497" s="552"/>
      <c r="N497" s="535"/>
      <c r="O497" s="558"/>
      <c r="R497" s="535"/>
      <c r="S497" s="558"/>
      <c r="V497" s="535"/>
      <c r="W497" s="558"/>
      <c r="Z497" s="535"/>
      <c r="AA497" s="558"/>
      <c r="AD497" s="535"/>
      <c r="AE497" s="558"/>
      <c r="AH497" s="535"/>
      <c r="AI497" s="558"/>
      <c r="AL497" s="535"/>
      <c r="AP497" s="535"/>
    </row>
    <row r="498">
      <c r="A498" s="552"/>
      <c r="B498" s="552"/>
      <c r="N498" s="535"/>
      <c r="O498" s="558"/>
      <c r="R498" s="535"/>
      <c r="S498" s="558"/>
      <c r="V498" s="535"/>
      <c r="W498" s="558"/>
      <c r="Z498" s="535"/>
      <c r="AA498" s="558"/>
      <c r="AD498" s="535"/>
      <c r="AE498" s="558"/>
      <c r="AH498" s="535"/>
      <c r="AI498" s="558"/>
      <c r="AL498" s="535"/>
      <c r="AP498" s="535"/>
    </row>
    <row r="499">
      <c r="A499" s="552"/>
      <c r="B499" s="552"/>
      <c r="N499" s="535"/>
      <c r="O499" s="558"/>
      <c r="R499" s="535"/>
      <c r="S499" s="558"/>
      <c r="V499" s="535"/>
      <c r="W499" s="558"/>
      <c r="Z499" s="535"/>
      <c r="AA499" s="558"/>
      <c r="AD499" s="535"/>
      <c r="AE499" s="558"/>
      <c r="AH499" s="535"/>
      <c r="AI499" s="558"/>
      <c r="AL499" s="535"/>
      <c r="AP499" s="535"/>
    </row>
    <row r="500">
      <c r="A500" s="552"/>
      <c r="B500" s="552"/>
      <c r="N500" s="535"/>
      <c r="O500" s="558"/>
      <c r="R500" s="535"/>
      <c r="S500" s="558"/>
      <c r="V500" s="535"/>
      <c r="W500" s="558"/>
      <c r="Z500" s="535"/>
      <c r="AA500" s="558"/>
      <c r="AD500" s="535"/>
      <c r="AE500" s="558"/>
      <c r="AH500" s="535"/>
      <c r="AI500" s="558"/>
      <c r="AL500" s="535"/>
      <c r="AP500" s="535"/>
    </row>
    <row r="501">
      <c r="A501" s="552"/>
      <c r="B501" s="552"/>
      <c r="N501" s="535"/>
      <c r="O501" s="558"/>
      <c r="R501" s="535"/>
      <c r="S501" s="558"/>
      <c r="V501" s="535"/>
      <c r="W501" s="558"/>
      <c r="Z501" s="535"/>
      <c r="AA501" s="558"/>
      <c r="AD501" s="535"/>
      <c r="AE501" s="558"/>
      <c r="AH501" s="535"/>
      <c r="AI501" s="558"/>
      <c r="AL501" s="535"/>
      <c r="AP501" s="535"/>
    </row>
    <row r="502">
      <c r="A502" s="552"/>
      <c r="B502" s="552"/>
      <c r="N502" s="535"/>
      <c r="O502" s="558"/>
      <c r="R502" s="535"/>
      <c r="S502" s="558"/>
      <c r="V502" s="535"/>
      <c r="W502" s="558"/>
      <c r="Z502" s="535"/>
      <c r="AA502" s="558"/>
      <c r="AD502" s="535"/>
      <c r="AE502" s="558"/>
      <c r="AH502" s="535"/>
      <c r="AI502" s="558"/>
      <c r="AL502" s="535"/>
      <c r="AP502" s="535"/>
    </row>
    <row r="503">
      <c r="A503" s="552"/>
      <c r="B503" s="552"/>
      <c r="N503" s="535"/>
      <c r="O503" s="558"/>
      <c r="R503" s="535"/>
      <c r="S503" s="558"/>
      <c r="V503" s="535"/>
      <c r="W503" s="558"/>
      <c r="Z503" s="535"/>
      <c r="AA503" s="558"/>
      <c r="AD503" s="535"/>
      <c r="AE503" s="558"/>
      <c r="AH503" s="535"/>
      <c r="AI503" s="558"/>
      <c r="AL503" s="535"/>
      <c r="AP503" s="535"/>
    </row>
    <row r="504">
      <c r="A504" s="552"/>
      <c r="B504" s="552"/>
      <c r="N504" s="535"/>
      <c r="O504" s="558"/>
      <c r="R504" s="535"/>
      <c r="S504" s="558"/>
      <c r="V504" s="535"/>
      <c r="W504" s="558"/>
      <c r="Z504" s="535"/>
      <c r="AA504" s="558"/>
      <c r="AD504" s="535"/>
      <c r="AE504" s="558"/>
      <c r="AH504" s="535"/>
      <c r="AI504" s="558"/>
      <c r="AL504" s="535"/>
      <c r="AP504" s="535"/>
    </row>
    <row r="505">
      <c r="A505" s="552"/>
      <c r="B505" s="552"/>
      <c r="N505" s="535"/>
      <c r="O505" s="558"/>
      <c r="R505" s="535"/>
      <c r="S505" s="558"/>
      <c r="V505" s="535"/>
      <c r="W505" s="558"/>
      <c r="Z505" s="535"/>
      <c r="AA505" s="558"/>
      <c r="AD505" s="535"/>
      <c r="AE505" s="558"/>
      <c r="AH505" s="535"/>
      <c r="AI505" s="558"/>
      <c r="AL505" s="535"/>
      <c r="AP505" s="535"/>
    </row>
    <row r="506">
      <c r="A506" s="552"/>
      <c r="B506" s="552"/>
      <c r="N506" s="535"/>
      <c r="O506" s="558"/>
      <c r="R506" s="535"/>
      <c r="S506" s="558"/>
      <c r="V506" s="535"/>
      <c r="W506" s="558"/>
      <c r="Z506" s="535"/>
      <c r="AA506" s="558"/>
      <c r="AD506" s="535"/>
      <c r="AE506" s="558"/>
      <c r="AH506" s="535"/>
      <c r="AI506" s="558"/>
      <c r="AL506" s="535"/>
      <c r="AP506" s="535"/>
    </row>
    <row r="507">
      <c r="A507" s="552"/>
      <c r="B507" s="552"/>
      <c r="N507" s="535"/>
      <c r="O507" s="558"/>
      <c r="R507" s="535"/>
      <c r="S507" s="558"/>
      <c r="V507" s="535"/>
      <c r="W507" s="558"/>
      <c r="Z507" s="535"/>
      <c r="AA507" s="558"/>
      <c r="AD507" s="535"/>
      <c r="AE507" s="558"/>
      <c r="AH507" s="535"/>
      <c r="AI507" s="558"/>
      <c r="AL507" s="535"/>
      <c r="AP507" s="535"/>
    </row>
    <row r="508">
      <c r="A508" s="552"/>
      <c r="B508" s="552"/>
      <c r="N508" s="535"/>
      <c r="O508" s="558"/>
      <c r="R508" s="535"/>
      <c r="S508" s="558"/>
      <c r="V508" s="535"/>
      <c r="W508" s="558"/>
      <c r="Z508" s="535"/>
      <c r="AA508" s="558"/>
      <c r="AD508" s="535"/>
      <c r="AE508" s="558"/>
      <c r="AH508" s="535"/>
      <c r="AI508" s="558"/>
      <c r="AL508" s="535"/>
      <c r="AP508" s="535"/>
    </row>
    <row r="509">
      <c r="A509" s="552"/>
      <c r="B509" s="552"/>
      <c r="N509" s="535"/>
      <c r="O509" s="558"/>
      <c r="R509" s="535"/>
      <c r="S509" s="558"/>
      <c r="V509" s="535"/>
      <c r="W509" s="558"/>
      <c r="Z509" s="535"/>
      <c r="AA509" s="558"/>
      <c r="AD509" s="535"/>
      <c r="AE509" s="558"/>
      <c r="AH509" s="535"/>
      <c r="AI509" s="558"/>
      <c r="AL509" s="535"/>
      <c r="AP509" s="535"/>
    </row>
    <row r="510">
      <c r="A510" s="552"/>
      <c r="B510" s="552"/>
      <c r="N510" s="535"/>
      <c r="O510" s="558"/>
      <c r="R510" s="535"/>
      <c r="S510" s="558"/>
      <c r="V510" s="535"/>
      <c r="W510" s="558"/>
      <c r="Z510" s="535"/>
      <c r="AA510" s="558"/>
      <c r="AD510" s="535"/>
      <c r="AE510" s="558"/>
      <c r="AH510" s="535"/>
      <c r="AI510" s="558"/>
      <c r="AL510" s="535"/>
      <c r="AP510" s="535"/>
    </row>
    <row r="511">
      <c r="A511" s="552"/>
      <c r="B511" s="552"/>
      <c r="N511" s="535"/>
      <c r="O511" s="558"/>
      <c r="R511" s="535"/>
      <c r="S511" s="558"/>
      <c r="V511" s="535"/>
      <c r="W511" s="558"/>
      <c r="Z511" s="535"/>
      <c r="AA511" s="558"/>
      <c r="AD511" s="535"/>
      <c r="AE511" s="558"/>
      <c r="AH511" s="535"/>
      <c r="AI511" s="558"/>
      <c r="AL511" s="535"/>
      <c r="AP511" s="535"/>
    </row>
    <row r="512">
      <c r="A512" s="552"/>
      <c r="B512" s="552"/>
      <c r="N512" s="535"/>
      <c r="O512" s="558"/>
      <c r="R512" s="535"/>
      <c r="S512" s="558"/>
      <c r="V512" s="535"/>
      <c r="W512" s="558"/>
      <c r="Z512" s="535"/>
      <c r="AA512" s="558"/>
      <c r="AD512" s="535"/>
      <c r="AE512" s="558"/>
      <c r="AH512" s="535"/>
      <c r="AI512" s="558"/>
      <c r="AL512" s="535"/>
      <c r="AP512" s="535"/>
    </row>
    <row r="513">
      <c r="A513" s="552"/>
      <c r="B513" s="552"/>
      <c r="N513" s="535"/>
      <c r="O513" s="558"/>
      <c r="R513" s="535"/>
      <c r="S513" s="558"/>
      <c r="V513" s="535"/>
      <c r="W513" s="558"/>
      <c r="Z513" s="535"/>
      <c r="AA513" s="558"/>
      <c r="AD513" s="535"/>
      <c r="AE513" s="558"/>
      <c r="AH513" s="535"/>
      <c r="AI513" s="558"/>
      <c r="AL513" s="535"/>
      <c r="AP513" s="535"/>
    </row>
    <row r="514">
      <c r="A514" s="552"/>
      <c r="B514" s="552"/>
      <c r="N514" s="535"/>
      <c r="O514" s="558"/>
      <c r="R514" s="535"/>
      <c r="S514" s="558"/>
      <c r="V514" s="535"/>
      <c r="W514" s="558"/>
      <c r="Z514" s="535"/>
      <c r="AA514" s="558"/>
      <c r="AD514" s="535"/>
      <c r="AE514" s="558"/>
      <c r="AH514" s="535"/>
      <c r="AI514" s="558"/>
      <c r="AL514" s="535"/>
      <c r="AP514" s="535"/>
    </row>
    <row r="515">
      <c r="A515" s="552"/>
      <c r="B515" s="552"/>
      <c r="N515" s="535"/>
      <c r="O515" s="558"/>
      <c r="R515" s="535"/>
      <c r="S515" s="558"/>
      <c r="V515" s="535"/>
      <c r="W515" s="558"/>
      <c r="Z515" s="535"/>
      <c r="AA515" s="558"/>
      <c r="AD515" s="535"/>
      <c r="AE515" s="558"/>
      <c r="AH515" s="535"/>
      <c r="AI515" s="558"/>
      <c r="AL515" s="535"/>
      <c r="AP515" s="535"/>
    </row>
    <row r="516">
      <c r="A516" s="552"/>
      <c r="B516" s="552"/>
      <c r="N516" s="535"/>
      <c r="O516" s="558"/>
      <c r="R516" s="535"/>
      <c r="S516" s="558"/>
      <c r="V516" s="535"/>
      <c r="W516" s="558"/>
      <c r="Z516" s="535"/>
      <c r="AA516" s="558"/>
      <c r="AD516" s="535"/>
      <c r="AE516" s="558"/>
      <c r="AH516" s="535"/>
      <c r="AI516" s="558"/>
      <c r="AL516" s="535"/>
      <c r="AP516" s="535"/>
    </row>
    <row r="517">
      <c r="A517" s="552"/>
      <c r="B517" s="552"/>
      <c r="N517" s="535"/>
      <c r="O517" s="558"/>
      <c r="R517" s="535"/>
      <c r="S517" s="558"/>
      <c r="V517" s="535"/>
      <c r="W517" s="558"/>
      <c r="Z517" s="535"/>
      <c r="AA517" s="558"/>
      <c r="AD517" s="535"/>
      <c r="AE517" s="558"/>
      <c r="AH517" s="535"/>
      <c r="AI517" s="558"/>
      <c r="AL517" s="535"/>
      <c r="AP517" s="535"/>
    </row>
    <row r="518">
      <c r="A518" s="552"/>
      <c r="B518" s="552"/>
      <c r="N518" s="535"/>
      <c r="O518" s="558"/>
      <c r="R518" s="535"/>
      <c r="S518" s="558"/>
      <c r="V518" s="535"/>
      <c r="W518" s="558"/>
      <c r="Z518" s="535"/>
      <c r="AA518" s="558"/>
      <c r="AD518" s="535"/>
      <c r="AE518" s="558"/>
      <c r="AH518" s="535"/>
      <c r="AI518" s="558"/>
      <c r="AL518" s="535"/>
      <c r="AP518" s="535"/>
    </row>
    <row r="519">
      <c r="A519" s="552"/>
      <c r="B519" s="552"/>
      <c r="N519" s="535"/>
      <c r="O519" s="558"/>
      <c r="R519" s="535"/>
      <c r="S519" s="558"/>
      <c r="V519" s="535"/>
      <c r="W519" s="558"/>
      <c r="Z519" s="535"/>
      <c r="AA519" s="558"/>
      <c r="AD519" s="535"/>
      <c r="AE519" s="558"/>
      <c r="AH519" s="535"/>
      <c r="AI519" s="558"/>
      <c r="AL519" s="535"/>
      <c r="AP519" s="535"/>
    </row>
    <row r="520">
      <c r="A520" s="552"/>
      <c r="B520" s="552"/>
      <c r="N520" s="535"/>
      <c r="O520" s="558"/>
      <c r="R520" s="535"/>
      <c r="S520" s="558"/>
      <c r="V520" s="535"/>
      <c r="W520" s="558"/>
      <c r="Z520" s="535"/>
      <c r="AA520" s="558"/>
      <c r="AD520" s="535"/>
      <c r="AE520" s="558"/>
      <c r="AH520" s="535"/>
      <c r="AI520" s="558"/>
      <c r="AL520" s="535"/>
      <c r="AP520" s="535"/>
    </row>
    <row r="521">
      <c r="A521" s="552"/>
      <c r="B521" s="552"/>
      <c r="N521" s="535"/>
      <c r="O521" s="558"/>
      <c r="R521" s="535"/>
      <c r="S521" s="558"/>
      <c r="V521" s="535"/>
      <c r="W521" s="558"/>
      <c r="Z521" s="535"/>
      <c r="AA521" s="558"/>
      <c r="AD521" s="535"/>
      <c r="AE521" s="558"/>
      <c r="AH521" s="535"/>
      <c r="AI521" s="558"/>
      <c r="AL521" s="535"/>
      <c r="AP521" s="535"/>
    </row>
    <row r="522">
      <c r="A522" s="552"/>
      <c r="B522" s="552"/>
      <c r="N522" s="535"/>
      <c r="O522" s="558"/>
      <c r="R522" s="535"/>
      <c r="S522" s="558"/>
      <c r="V522" s="535"/>
      <c r="W522" s="558"/>
      <c r="Z522" s="535"/>
      <c r="AA522" s="558"/>
      <c r="AD522" s="535"/>
      <c r="AE522" s="558"/>
      <c r="AH522" s="535"/>
      <c r="AI522" s="558"/>
      <c r="AL522" s="535"/>
      <c r="AP522" s="535"/>
    </row>
    <row r="523">
      <c r="A523" s="552"/>
      <c r="B523" s="552"/>
      <c r="N523" s="535"/>
      <c r="O523" s="558"/>
      <c r="R523" s="535"/>
      <c r="S523" s="558"/>
      <c r="V523" s="535"/>
      <c r="W523" s="558"/>
      <c r="Z523" s="535"/>
      <c r="AA523" s="558"/>
      <c r="AD523" s="535"/>
      <c r="AE523" s="558"/>
      <c r="AH523" s="535"/>
      <c r="AI523" s="558"/>
      <c r="AL523" s="535"/>
      <c r="AP523" s="535"/>
    </row>
    <row r="524">
      <c r="A524" s="552"/>
      <c r="B524" s="552"/>
      <c r="N524" s="535"/>
      <c r="O524" s="558"/>
      <c r="R524" s="535"/>
      <c r="S524" s="558"/>
      <c r="V524" s="535"/>
      <c r="W524" s="558"/>
      <c r="Z524" s="535"/>
      <c r="AA524" s="558"/>
      <c r="AD524" s="535"/>
      <c r="AE524" s="558"/>
      <c r="AH524" s="535"/>
      <c r="AI524" s="558"/>
      <c r="AL524" s="535"/>
      <c r="AP524" s="535"/>
    </row>
    <row r="525">
      <c r="A525" s="552"/>
      <c r="B525" s="552"/>
      <c r="N525" s="535"/>
      <c r="O525" s="558"/>
      <c r="R525" s="535"/>
      <c r="S525" s="558"/>
      <c r="V525" s="535"/>
      <c r="W525" s="558"/>
      <c r="Z525" s="535"/>
      <c r="AA525" s="558"/>
      <c r="AD525" s="535"/>
      <c r="AE525" s="558"/>
      <c r="AH525" s="535"/>
      <c r="AI525" s="558"/>
      <c r="AL525" s="535"/>
      <c r="AP525" s="535"/>
    </row>
    <row r="526">
      <c r="A526" s="552"/>
      <c r="B526" s="552"/>
      <c r="N526" s="535"/>
      <c r="O526" s="558"/>
      <c r="R526" s="535"/>
      <c r="S526" s="558"/>
      <c r="V526" s="535"/>
      <c r="W526" s="558"/>
      <c r="Z526" s="535"/>
      <c r="AA526" s="558"/>
      <c r="AD526" s="535"/>
      <c r="AE526" s="558"/>
      <c r="AH526" s="535"/>
      <c r="AI526" s="558"/>
      <c r="AL526" s="535"/>
      <c r="AP526" s="535"/>
    </row>
    <row r="527">
      <c r="A527" s="552"/>
      <c r="B527" s="552"/>
      <c r="N527" s="535"/>
      <c r="O527" s="558"/>
      <c r="R527" s="535"/>
      <c r="S527" s="558"/>
      <c r="V527" s="535"/>
      <c r="W527" s="558"/>
      <c r="Z527" s="535"/>
      <c r="AA527" s="558"/>
      <c r="AD527" s="535"/>
      <c r="AE527" s="558"/>
      <c r="AH527" s="535"/>
      <c r="AI527" s="558"/>
      <c r="AL527" s="535"/>
      <c r="AP527" s="535"/>
    </row>
    <row r="528">
      <c r="A528" s="552"/>
      <c r="B528" s="552"/>
      <c r="N528" s="535"/>
      <c r="O528" s="558"/>
      <c r="R528" s="535"/>
      <c r="S528" s="558"/>
      <c r="V528" s="535"/>
      <c r="W528" s="558"/>
      <c r="Z528" s="535"/>
      <c r="AA528" s="558"/>
      <c r="AD528" s="535"/>
      <c r="AE528" s="558"/>
      <c r="AH528" s="535"/>
      <c r="AI528" s="558"/>
      <c r="AL528" s="535"/>
      <c r="AP528" s="535"/>
    </row>
    <row r="529">
      <c r="A529" s="552"/>
      <c r="B529" s="552"/>
      <c r="N529" s="535"/>
      <c r="O529" s="558"/>
      <c r="R529" s="535"/>
      <c r="S529" s="558"/>
      <c r="V529" s="535"/>
      <c r="W529" s="558"/>
      <c r="Z529" s="535"/>
      <c r="AA529" s="558"/>
      <c r="AD529" s="535"/>
      <c r="AE529" s="558"/>
      <c r="AH529" s="535"/>
      <c r="AI529" s="558"/>
      <c r="AL529" s="535"/>
      <c r="AP529" s="535"/>
    </row>
    <row r="530">
      <c r="A530" s="552"/>
      <c r="B530" s="552"/>
      <c r="N530" s="535"/>
      <c r="O530" s="558"/>
      <c r="R530" s="535"/>
      <c r="S530" s="558"/>
      <c r="V530" s="535"/>
      <c r="W530" s="558"/>
      <c r="Z530" s="535"/>
      <c r="AA530" s="558"/>
      <c r="AD530" s="535"/>
      <c r="AE530" s="558"/>
      <c r="AH530" s="535"/>
      <c r="AI530" s="558"/>
      <c r="AL530" s="535"/>
      <c r="AP530" s="535"/>
    </row>
    <row r="531">
      <c r="A531" s="552"/>
      <c r="B531" s="552"/>
      <c r="N531" s="535"/>
      <c r="O531" s="558"/>
      <c r="R531" s="535"/>
      <c r="S531" s="558"/>
      <c r="V531" s="535"/>
      <c r="W531" s="558"/>
      <c r="Z531" s="535"/>
      <c r="AA531" s="558"/>
      <c r="AD531" s="535"/>
      <c r="AE531" s="558"/>
      <c r="AH531" s="535"/>
      <c r="AI531" s="558"/>
      <c r="AL531" s="535"/>
      <c r="AP531" s="535"/>
    </row>
    <row r="532">
      <c r="A532" s="552"/>
      <c r="B532" s="552"/>
      <c r="N532" s="535"/>
      <c r="O532" s="558"/>
      <c r="R532" s="535"/>
      <c r="S532" s="558"/>
      <c r="V532" s="535"/>
      <c r="W532" s="558"/>
      <c r="Z532" s="535"/>
      <c r="AA532" s="558"/>
      <c r="AD532" s="535"/>
      <c r="AE532" s="558"/>
      <c r="AH532" s="535"/>
      <c r="AI532" s="558"/>
      <c r="AL532" s="535"/>
      <c r="AP532" s="535"/>
    </row>
    <row r="533">
      <c r="A533" s="552"/>
      <c r="B533" s="552"/>
      <c r="N533" s="535"/>
      <c r="O533" s="558"/>
      <c r="R533" s="535"/>
      <c r="S533" s="558"/>
      <c r="V533" s="535"/>
      <c r="W533" s="558"/>
      <c r="Z533" s="535"/>
      <c r="AA533" s="558"/>
      <c r="AD533" s="535"/>
      <c r="AE533" s="558"/>
      <c r="AH533" s="535"/>
      <c r="AI533" s="558"/>
      <c r="AL533" s="535"/>
      <c r="AP533" s="535"/>
    </row>
    <row r="534">
      <c r="A534" s="552"/>
      <c r="B534" s="552"/>
      <c r="N534" s="535"/>
      <c r="O534" s="558"/>
      <c r="R534" s="535"/>
      <c r="S534" s="558"/>
      <c r="V534" s="535"/>
      <c r="W534" s="558"/>
      <c r="Z534" s="535"/>
      <c r="AA534" s="558"/>
      <c r="AD534" s="535"/>
      <c r="AE534" s="558"/>
      <c r="AH534" s="535"/>
      <c r="AI534" s="558"/>
      <c r="AL534" s="535"/>
      <c r="AP534" s="535"/>
    </row>
    <row r="535">
      <c r="A535" s="552"/>
      <c r="B535" s="552"/>
      <c r="N535" s="535"/>
      <c r="O535" s="558"/>
      <c r="R535" s="535"/>
      <c r="S535" s="558"/>
      <c r="V535" s="535"/>
      <c r="W535" s="558"/>
      <c r="Z535" s="535"/>
      <c r="AA535" s="558"/>
      <c r="AD535" s="535"/>
      <c r="AE535" s="558"/>
      <c r="AH535" s="535"/>
      <c r="AI535" s="558"/>
      <c r="AL535" s="535"/>
      <c r="AP535" s="535"/>
    </row>
    <row r="536">
      <c r="A536" s="552"/>
      <c r="B536" s="552"/>
      <c r="N536" s="535"/>
      <c r="O536" s="558"/>
      <c r="R536" s="535"/>
      <c r="S536" s="558"/>
      <c r="V536" s="535"/>
      <c r="W536" s="558"/>
      <c r="Z536" s="535"/>
      <c r="AA536" s="558"/>
      <c r="AD536" s="535"/>
      <c r="AE536" s="558"/>
      <c r="AH536" s="535"/>
      <c r="AI536" s="558"/>
      <c r="AL536" s="535"/>
      <c r="AP536" s="535"/>
    </row>
    <row r="537">
      <c r="A537" s="552"/>
      <c r="B537" s="552"/>
      <c r="N537" s="535"/>
      <c r="O537" s="558"/>
      <c r="R537" s="535"/>
      <c r="S537" s="558"/>
      <c r="V537" s="535"/>
      <c r="W537" s="558"/>
      <c r="Z537" s="535"/>
      <c r="AA537" s="558"/>
      <c r="AD537" s="535"/>
      <c r="AE537" s="558"/>
      <c r="AH537" s="535"/>
      <c r="AI537" s="558"/>
      <c r="AL537" s="535"/>
      <c r="AP537" s="535"/>
    </row>
    <row r="538">
      <c r="A538" s="552"/>
      <c r="B538" s="552"/>
      <c r="N538" s="535"/>
      <c r="O538" s="558"/>
      <c r="R538" s="535"/>
      <c r="S538" s="558"/>
      <c r="V538" s="535"/>
      <c r="W538" s="558"/>
      <c r="Z538" s="535"/>
      <c r="AA538" s="558"/>
      <c r="AD538" s="535"/>
      <c r="AE538" s="558"/>
      <c r="AH538" s="535"/>
      <c r="AI538" s="558"/>
      <c r="AL538" s="535"/>
      <c r="AP538" s="535"/>
    </row>
    <row r="539">
      <c r="A539" s="552"/>
      <c r="B539" s="552"/>
      <c r="N539" s="535"/>
      <c r="O539" s="558"/>
      <c r="R539" s="535"/>
      <c r="S539" s="558"/>
      <c r="V539" s="535"/>
      <c r="W539" s="558"/>
      <c r="Z539" s="535"/>
      <c r="AA539" s="558"/>
      <c r="AD539" s="535"/>
      <c r="AE539" s="558"/>
      <c r="AH539" s="535"/>
      <c r="AI539" s="558"/>
      <c r="AL539" s="535"/>
      <c r="AP539" s="535"/>
    </row>
    <row r="540">
      <c r="A540" s="552"/>
      <c r="B540" s="552"/>
      <c r="N540" s="535"/>
      <c r="O540" s="558"/>
      <c r="R540" s="535"/>
      <c r="S540" s="558"/>
      <c r="V540" s="535"/>
      <c r="W540" s="558"/>
      <c r="Z540" s="535"/>
      <c r="AA540" s="558"/>
      <c r="AD540" s="535"/>
      <c r="AE540" s="558"/>
      <c r="AH540" s="535"/>
      <c r="AI540" s="558"/>
      <c r="AL540" s="535"/>
      <c r="AP540" s="535"/>
    </row>
    <row r="541">
      <c r="A541" s="552"/>
      <c r="B541" s="552"/>
      <c r="N541" s="535"/>
      <c r="O541" s="558"/>
      <c r="R541" s="535"/>
      <c r="S541" s="558"/>
      <c r="V541" s="535"/>
      <c r="W541" s="558"/>
      <c r="Z541" s="535"/>
      <c r="AA541" s="558"/>
      <c r="AD541" s="535"/>
      <c r="AE541" s="558"/>
      <c r="AH541" s="535"/>
      <c r="AI541" s="558"/>
      <c r="AL541" s="535"/>
      <c r="AP541" s="535"/>
    </row>
    <row r="542">
      <c r="A542" s="552"/>
      <c r="B542" s="552"/>
      <c r="N542" s="535"/>
      <c r="O542" s="558"/>
      <c r="R542" s="535"/>
      <c r="S542" s="558"/>
      <c r="V542" s="535"/>
      <c r="W542" s="558"/>
      <c r="Z542" s="535"/>
      <c r="AA542" s="558"/>
      <c r="AD542" s="535"/>
      <c r="AE542" s="558"/>
      <c r="AH542" s="535"/>
      <c r="AI542" s="558"/>
      <c r="AL542" s="535"/>
      <c r="AP542" s="535"/>
    </row>
    <row r="543">
      <c r="A543" s="552"/>
      <c r="B543" s="552"/>
      <c r="N543" s="535"/>
      <c r="O543" s="558"/>
      <c r="R543" s="535"/>
      <c r="S543" s="558"/>
      <c r="V543" s="535"/>
      <c r="W543" s="558"/>
      <c r="Z543" s="535"/>
      <c r="AA543" s="558"/>
      <c r="AD543" s="535"/>
      <c r="AE543" s="558"/>
      <c r="AH543" s="535"/>
      <c r="AI543" s="558"/>
      <c r="AL543" s="535"/>
      <c r="AP543" s="535"/>
    </row>
    <row r="544">
      <c r="A544" s="552"/>
      <c r="B544" s="552"/>
      <c r="N544" s="535"/>
      <c r="O544" s="558"/>
      <c r="R544" s="535"/>
      <c r="S544" s="558"/>
      <c r="V544" s="535"/>
      <c r="W544" s="558"/>
      <c r="Z544" s="535"/>
      <c r="AA544" s="558"/>
      <c r="AD544" s="535"/>
      <c r="AE544" s="558"/>
      <c r="AH544" s="535"/>
      <c r="AI544" s="558"/>
      <c r="AL544" s="535"/>
      <c r="AP544" s="535"/>
    </row>
    <row r="545">
      <c r="A545" s="552"/>
      <c r="B545" s="552"/>
      <c r="N545" s="535"/>
      <c r="O545" s="558"/>
      <c r="R545" s="535"/>
      <c r="S545" s="558"/>
      <c r="V545" s="535"/>
      <c r="W545" s="558"/>
      <c r="Z545" s="535"/>
      <c r="AA545" s="558"/>
      <c r="AD545" s="535"/>
      <c r="AE545" s="558"/>
      <c r="AH545" s="535"/>
      <c r="AI545" s="558"/>
      <c r="AL545" s="535"/>
      <c r="AP545" s="535"/>
    </row>
    <row r="546">
      <c r="A546" s="552"/>
      <c r="B546" s="552"/>
      <c r="N546" s="535"/>
      <c r="O546" s="558"/>
      <c r="R546" s="535"/>
      <c r="S546" s="558"/>
      <c r="V546" s="535"/>
      <c r="W546" s="558"/>
      <c r="Z546" s="535"/>
      <c r="AA546" s="558"/>
      <c r="AD546" s="535"/>
      <c r="AE546" s="558"/>
      <c r="AH546" s="535"/>
      <c r="AI546" s="558"/>
      <c r="AL546" s="535"/>
      <c r="AP546" s="535"/>
    </row>
    <row r="547">
      <c r="A547" s="552"/>
      <c r="B547" s="552"/>
      <c r="N547" s="535"/>
      <c r="O547" s="558"/>
      <c r="R547" s="535"/>
      <c r="S547" s="558"/>
      <c r="V547" s="535"/>
      <c r="W547" s="558"/>
      <c r="Z547" s="535"/>
      <c r="AA547" s="558"/>
      <c r="AD547" s="535"/>
      <c r="AE547" s="558"/>
      <c r="AH547" s="535"/>
      <c r="AI547" s="558"/>
      <c r="AL547" s="535"/>
      <c r="AP547" s="535"/>
    </row>
    <row r="548">
      <c r="A548" s="552"/>
      <c r="B548" s="552"/>
      <c r="N548" s="535"/>
      <c r="O548" s="558"/>
      <c r="R548" s="535"/>
      <c r="S548" s="558"/>
      <c r="V548" s="535"/>
      <c r="W548" s="558"/>
      <c r="Z548" s="535"/>
      <c r="AA548" s="558"/>
      <c r="AD548" s="535"/>
      <c r="AE548" s="558"/>
      <c r="AH548" s="535"/>
      <c r="AI548" s="558"/>
      <c r="AL548" s="535"/>
      <c r="AP548" s="535"/>
    </row>
    <row r="549">
      <c r="A549" s="552"/>
      <c r="B549" s="552"/>
      <c r="N549" s="535"/>
      <c r="O549" s="558"/>
      <c r="R549" s="535"/>
      <c r="S549" s="558"/>
      <c r="V549" s="535"/>
      <c r="W549" s="558"/>
      <c r="Z549" s="535"/>
      <c r="AA549" s="558"/>
      <c r="AD549" s="535"/>
      <c r="AE549" s="558"/>
      <c r="AH549" s="535"/>
      <c r="AI549" s="558"/>
      <c r="AL549" s="535"/>
      <c r="AP549" s="535"/>
    </row>
    <row r="550">
      <c r="A550" s="552"/>
      <c r="B550" s="552"/>
      <c r="N550" s="535"/>
      <c r="O550" s="558"/>
      <c r="R550" s="535"/>
      <c r="S550" s="558"/>
      <c r="V550" s="535"/>
      <c r="W550" s="558"/>
      <c r="Z550" s="535"/>
      <c r="AA550" s="558"/>
      <c r="AD550" s="535"/>
      <c r="AE550" s="558"/>
      <c r="AH550" s="535"/>
      <c r="AI550" s="558"/>
      <c r="AL550" s="535"/>
      <c r="AP550" s="535"/>
    </row>
    <row r="551">
      <c r="A551" s="552"/>
      <c r="B551" s="552"/>
      <c r="N551" s="535"/>
      <c r="O551" s="558"/>
      <c r="R551" s="535"/>
      <c r="S551" s="558"/>
      <c r="V551" s="535"/>
      <c r="W551" s="558"/>
      <c r="Z551" s="535"/>
      <c r="AA551" s="558"/>
      <c r="AD551" s="535"/>
      <c r="AE551" s="558"/>
      <c r="AH551" s="535"/>
      <c r="AI551" s="558"/>
      <c r="AL551" s="535"/>
      <c r="AP551" s="535"/>
    </row>
    <row r="552">
      <c r="A552" s="552"/>
      <c r="B552" s="552"/>
      <c r="N552" s="535"/>
      <c r="O552" s="558"/>
      <c r="R552" s="535"/>
      <c r="S552" s="558"/>
      <c r="V552" s="535"/>
      <c r="W552" s="558"/>
      <c r="Z552" s="535"/>
      <c r="AA552" s="558"/>
      <c r="AD552" s="535"/>
      <c r="AE552" s="558"/>
      <c r="AH552" s="535"/>
      <c r="AI552" s="558"/>
      <c r="AL552" s="535"/>
      <c r="AP552" s="535"/>
    </row>
    <row r="553">
      <c r="A553" s="552"/>
      <c r="B553" s="552"/>
      <c r="N553" s="535"/>
      <c r="O553" s="558"/>
      <c r="R553" s="535"/>
      <c r="S553" s="558"/>
      <c r="V553" s="535"/>
      <c r="W553" s="558"/>
      <c r="Z553" s="535"/>
      <c r="AA553" s="558"/>
      <c r="AD553" s="535"/>
      <c r="AE553" s="558"/>
      <c r="AH553" s="535"/>
      <c r="AI553" s="558"/>
      <c r="AL553" s="535"/>
      <c r="AP553" s="535"/>
    </row>
    <row r="554">
      <c r="A554" s="552"/>
      <c r="B554" s="552"/>
      <c r="N554" s="535"/>
      <c r="O554" s="558"/>
      <c r="R554" s="535"/>
      <c r="S554" s="558"/>
      <c r="V554" s="535"/>
      <c r="W554" s="558"/>
      <c r="Z554" s="535"/>
      <c r="AA554" s="558"/>
      <c r="AD554" s="535"/>
      <c r="AE554" s="558"/>
      <c r="AH554" s="535"/>
      <c r="AI554" s="558"/>
      <c r="AL554" s="535"/>
      <c r="AP554" s="535"/>
    </row>
    <row r="555">
      <c r="A555" s="552"/>
      <c r="B555" s="552"/>
      <c r="N555" s="535"/>
      <c r="O555" s="558"/>
      <c r="R555" s="535"/>
      <c r="S555" s="558"/>
      <c r="V555" s="535"/>
      <c r="W555" s="558"/>
      <c r="Z555" s="535"/>
      <c r="AA555" s="558"/>
      <c r="AD555" s="535"/>
      <c r="AE555" s="558"/>
      <c r="AH555" s="535"/>
      <c r="AI555" s="558"/>
      <c r="AL555" s="535"/>
      <c r="AP555" s="535"/>
    </row>
    <row r="556">
      <c r="A556" s="552"/>
      <c r="B556" s="552"/>
      <c r="N556" s="535"/>
      <c r="O556" s="558"/>
      <c r="R556" s="535"/>
      <c r="S556" s="558"/>
      <c r="V556" s="535"/>
      <c r="W556" s="558"/>
      <c r="Z556" s="535"/>
      <c r="AA556" s="558"/>
      <c r="AD556" s="535"/>
      <c r="AE556" s="558"/>
      <c r="AH556" s="535"/>
      <c r="AI556" s="558"/>
      <c r="AL556" s="535"/>
      <c r="AP556" s="535"/>
    </row>
    <row r="557">
      <c r="A557" s="552"/>
      <c r="B557" s="552"/>
      <c r="N557" s="535"/>
      <c r="O557" s="558"/>
      <c r="R557" s="535"/>
      <c r="S557" s="558"/>
      <c r="V557" s="535"/>
      <c r="W557" s="558"/>
      <c r="Z557" s="535"/>
      <c r="AA557" s="558"/>
      <c r="AD557" s="535"/>
      <c r="AE557" s="558"/>
      <c r="AH557" s="535"/>
      <c r="AI557" s="558"/>
      <c r="AL557" s="535"/>
      <c r="AP557" s="535"/>
    </row>
    <row r="558">
      <c r="A558" s="552"/>
      <c r="B558" s="552"/>
      <c r="N558" s="535"/>
      <c r="O558" s="558"/>
      <c r="R558" s="535"/>
      <c r="S558" s="558"/>
      <c r="V558" s="535"/>
      <c r="W558" s="558"/>
      <c r="Z558" s="535"/>
      <c r="AA558" s="558"/>
      <c r="AD558" s="535"/>
      <c r="AE558" s="558"/>
      <c r="AH558" s="535"/>
      <c r="AI558" s="558"/>
      <c r="AL558" s="535"/>
      <c r="AP558" s="535"/>
    </row>
    <row r="559">
      <c r="A559" s="552"/>
      <c r="B559" s="552"/>
      <c r="N559" s="535"/>
      <c r="O559" s="558"/>
      <c r="R559" s="535"/>
      <c r="S559" s="558"/>
      <c r="V559" s="535"/>
      <c r="W559" s="558"/>
      <c r="Z559" s="535"/>
      <c r="AA559" s="558"/>
      <c r="AD559" s="535"/>
      <c r="AE559" s="558"/>
      <c r="AH559" s="535"/>
      <c r="AI559" s="558"/>
      <c r="AL559" s="535"/>
      <c r="AP559" s="535"/>
    </row>
    <row r="560">
      <c r="A560" s="552"/>
      <c r="B560" s="552"/>
      <c r="N560" s="535"/>
      <c r="O560" s="558"/>
      <c r="R560" s="535"/>
      <c r="S560" s="558"/>
      <c r="V560" s="535"/>
      <c r="W560" s="558"/>
      <c r="Z560" s="535"/>
      <c r="AA560" s="558"/>
      <c r="AD560" s="535"/>
      <c r="AE560" s="558"/>
      <c r="AH560" s="535"/>
      <c r="AI560" s="558"/>
      <c r="AL560" s="535"/>
      <c r="AP560" s="535"/>
    </row>
    <row r="561">
      <c r="A561" s="552"/>
      <c r="B561" s="552"/>
      <c r="N561" s="535"/>
      <c r="O561" s="558"/>
      <c r="R561" s="535"/>
      <c r="S561" s="558"/>
      <c r="V561" s="535"/>
      <c r="W561" s="558"/>
      <c r="Z561" s="535"/>
      <c r="AA561" s="558"/>
      <c r="AD561" s="535"/>
      <c r="AE561" s="558"/>
      <c r="AH561" s="535"/>
      <c r="AI561" s="558"/>
      <c r="AL561" s="535"/>
      <c r="AP561" s="535"/>
    </row>
    <row r="562">
      <c r="A562" s="552"/>
      <c r="B562" s="552"/>
      <c r="N562" s="535"/>
      <c r="O562" s="558"/>
      <c r="R562" s="535"/>
      <c r="S562" s="558"/>
      <c r="V562" s="535"/>
      <c r="W562" s="558"/>
      <c r="Z562" s="535"/>
      <c r="AA562" s="558"/>
      <c r="AD562" s="535"/>
      <c r="AE562" s="558"/>
      <c r="AH562" s="535"/>
      <c r="AI562" s="558"/>
      <c r="AL562" s="535"/>
      <c r="AP562" s="535"/>
    </row>
    <row r="563">
      <c r="A563" s="552"/>
      <c r="B563" s="552"/>
      <c r="N563" s="535"/>
      <c r="O563" s="558"/>
      <c r="R563" s="535"/>
      <c r="S563" s="558"/>
      <c r="V563" s="535"/>
      <c r="W563" s="558"/>
      <c r="Z563" s="535"/>
      <c r="AA563" s="558"/>
      <c r="AD563" s="535"/>
      <c r="AE563" s="558"/>
      <c r="AH563" s="535"/>
      <c r="AI563" s="558"/>
      <c r="AL563" s="535"/>
      <c r="AP563" s="535"/>
    </row>
    <row r="564">
      <c r="A564" s="552"/>
      <c r="B564" s="552"/>
      <c r="N564" s="535"/>
      <c r="O564" s="558"/>
      <c r="R564" s="535"/>
      <c r="S564" s="558"/>
      <c r="V564" s="535"/>
      <c r="W564" s="558"/>
      <c r="Z564" s="535"/>
      <c r="AA564" s="558"/>
      <c r="AD564" s="535"/>
      <c r="AE564" s="558"/>
      <c r="AH564" s="535"/>
      <c r="AI564" s="558"/>
      <c r="AL564" s="535"/>
      <c r="AP564" s="535"/>
    </row>
    <row r="565">
      <c r="A565" s="552"/>
      <c r="B565" s="552"/>
      <c r="N565" s="535"/>
      <c r="O565" s="558"/>
      <c r="R565" s="535"/>
      <c r="S565" s="558"/>
      <c r="V565" s="535"/>
      <c r="W565" s="558"/>
      <c r="Z565" s="535"/>
      <c r="AA565" s="558"/>
      <c r="AD565" s="535"/>
      <c r="AE565" s="558"/>
      <c r="AH565" s="535"/>
      <c r="AI565" s="558"/>
      <c r="AL565" s="535"/>
      <c r="AP565" s="535"/>
    </row>
    <row r="566">
      <c r="A566" s="552"/>
      <c r="B566" s="552"/>
      <c r="N566" s="535"/>
      <c r="O566" s="558"/>
      <c r="R566" s="535"/>
      <c r="S566" s="558"/>
      <c r="V566" s="535"/>
      <c r="W566" s="558"/>
      <c r="Z566" s="535"/>
      <c r="AA566" s="558"/>
      <c r="AD566" s="535"/>
      <c r="AE566" s="558"/>
      <c r="AH566" s="535"/>
      <c r="AI566" s="558"/>
      <c r="AL566" s="535"/>
      <c r="AP566" s="535"/>
    </row>
    <row r="567">
      <c r="A567" s="552"/>
      <c r="B567" s="552"/>
      <c r="N567" s="535"/>
      <c r="O567" s="558"/>
      <c r="R567" s="535"/>
      <c r="S567" s="558"/>
      <c r="V567" s="535"/>
      <c r="W567" s="558"/>
      <c r="Z567" s="535"/>
      <c r="AA567" s="558"/>
      <c r="AD567" s="535"/>
      <c r="AE567" s="558"/>
      <c r="AH567" s="535"/>
      <c r="AI567" s="558"/>
      <c r="AL567" s="535"/>
      <c r="AP567" s="535"/>
    </row>
    <row r="568">
      <c r="A568" s="552"/>
      <c r="B568" s="552"/>
      <c r="N568" s="535"/>
      <c r="O568" s="558"/>
      <c r="R568" s="535"/>
      <c r="S568" s="558"/>
      <c r="V568" s="535"/>
      <c r="W568" s="558"/>
      <c r="Z568" s="535"/>
      <c r="AA568" s="558"/>
      <c r="AD568" s="535"/>
      <c r="AE568" s="558"/>
      <c r="AH568" s="535"/>
      <c r="AI568" s="558"/>
      <c r="AL568" s="535"/>
      <c r="AP568" s="535"/>
    </row>
    <row r="569">
      <c r="A569" s="552"/>
      <c r="B569" s="552"/>
      <c r="N569" s="535"/>
      <c r="O569" s="558"/>
      <c r="R569" s="535"/>
      <c r="S569" s="558"/>
      <c r="V569" s="535"/>
      <c r="W569" s="558"/>
      <c r="Z569" s="535"/>
      <c r="AA569" s="558"/>
      <c r="AD569" s="535"/>
      <c r="AE569" s="558"/>
      <c r="AH569" s="535"/>
      <c r="AI569" s="558"/>
      <c r="AL569" s="535"/>
      <c r="AP569" s="535"/>
    </row>
    <row r="570">
      <c r="A570" s="552"/>
      <c r="B570" s="552"/>
      <c r="N570" s="535"/>
      <c r="O570" s="558"/>
      <c r="R570" s="535"/>
      <c r="S570" s="558"/>
      <c r="V570" s="535"/>
      <c r="W570" s="558"/>
      <c r="Z570" s="535"/>
      <c r="AA570" s="558"/>
      <c r="AD570" s="535"/>
      <c r="AE570" s="558"/>
      <c r="AH570" s="535"/>
      <c r="AI570" s="558"/>
      <c r="AL570" s="535"/>
      <c r="AP570" s="535"/>
    </row>
    <row r="571">
      <c r="A571" s="552"/>
      <c r="B571" s="552"/>
      <c r="N571" s="535"/>
      <c r="O571" s="558"/>
      <c r="R571" s="535"/>
      <c r="S571" s="558"/>
      <c r="V571" s="535"/>
      <c r="W571" s="558"/>
      <c r="Z571" s="535"/>
      <c r="AA571" s="558"/>
      <c r="AD571" s="535"/>
      <c r="AE571" s="558"/>
      <c r="AH571" s="535"/>
      <c r="AI571" s="558"/>
      <c r="AL571" s="535"/>
      <c r="AP571" s="535"/>
    </row>
    <row r="572">
      <c r="A572" s="552"/>
      <c r="B572" s="552"/>
      <c r="N572" s="535"/>
      <c r="O572" s="558"/>
      <c r="R572" s="535"/>
      <c r="S572" s="558"/>
      <c r="V572" s="535"/>
      <c r="W572" s="558"/>
      <c r="Z572" s="535"/>
      <c r="AA572" s="558"/>
      <c r="AD572" s="535"/>
      <c r="AE572" s="558"/>
      <c r="AH572" s="535"/>
      <c r="AI572" s="558"/>
      <c r="AL572" s="535"/>
      <c r="AP572" s="535"/>
    </row>
    <row r="573">
      <c r="A573" s="552"/>
      <c r="B573" s="552"/>
      <c r="N573" s="535"/>
      <c r="O573" s="558"/>
      <c r="R573" s="535"/>
      <c r="S573" s="558"/>
      <c r="V573" s="535"/>
      <c r="W573" s="558"/>
      <c r="Z573" s="535"/>
      <c r="AA573" s="558"/>
      <c r="AD573" s="535"/>
      <c r="AE573" s="558"/>
      <c r="AH573" s="535"/>
      <c r="AI573" s="558"/>
      <c r="AL573" s="535"/>
      <c r="AP573" s="535"/>
    </row>
    <row r="574">
      <c r="A574" s="552"/>
      <c r="B574" s="552"/>
      <c r="N574" s="535"/>
      <c r="O574" s="558"/>
      <c r="R574" s="535"/>
      <c r="S574" s="558"/>
      <c r="V574" s="535"/>
      <c r="W574" s="558"/>
      <c r="Z574" s="535"/>
      <c r="AA574" s="558"/>
      <c r="AD574" s="535"/>
      <c r="AE574" s="558"/>
      <c r="AH574" s="535"/>
      <c r="AI574" s="558"/>
      <c r="AL574" s="535"/>
      <c r="AP574" s="535"/>
    </row>
    <row r="575">
      <c r="A575" s="552"/>
      <c r="B575" s="552"/>
      <c r="N575" s="535"/>
      <c r="O575" s="558"/>
      <c r="R575" s="535"/>
      <c r="S575" s="558"/>
      <c r="V575" s="535"/>
      <c r="W575" s="558"/>
      <c r="Z575" s="535"/>
      <c r="AA575" s="558"/>
      <c r="AD575" s="535"/>
      <c r="AE575" s="558"/>
      <c r="AH575" s="535"/>
      <c r="AI575" s="558"/>
      <c r="AL575" s="535"/>
      <c r="AP575" s="535"/>
    </row>
    <row r="576">
      <c r="A576" s="552"/>
      <c r="B576" s="552"/>
      <c r="N576" s="535"/>
      <c r="O576" s="558"/>
      <c r="R576" s="535"/>
      <c r="S576" s="558"/>
      <c r="V576" s="535"/>
      <c r="W576" s="558"/>
      <c r="Z576" s="535"/>
      <c r="AA576" s="558"/>
      <c r="AD576" s="535"/>
      <c r="AE576" s="558"/>
      <c r="AH576" s="535"/>
      <c r="AI576" s="558"/>
      <c r="AL576" s="535"/>
      <c r="AP576" s="535"/>
    </row>
    <row r="577">
      <c r="A577" s="552"/>
      <c r="B577" s="552"/>
      <c r="N577" s="535"/>
      <c r="O577" s="558"/>
      <c r="R577" s="535"/>
      <c r="S577" s="558"/>
      <c r="V577" s="535"/>
      <c r="W577" s="558"/>
      <c r="Z577" s="535"/>
      <c r="AA577" s="558"/>
      <c r="AD577" s="535"/>
      <c r="AE577" s="558"/>
      <c r="AH577" s="535"/>
      <c r="AI577" s="558"/>
      <c r="AL577" s="535"/>
      <c r="AP577" s="535"/>
    </row>
    <row r="578">
      <c r="A578" s="552"/>
      <c r="B578" s="552"/>
      <c r="N578" s="535"/>
      <c r="O578" s="558"/>
      <c r="R578" s="535"/>
      <c r="S578" s="558"/>
      <c r="V578" s="535"/>
      <c r="W578" s="558"/>
      <c r="Z578" s="535"/>
      <c r="AA578" s="558"/>
      <c r="AD578" s="535"/>
      <c r="AE578" s="558"/>
      <c r="AH578" s="535"/>
      <c r="AI578" s="558"/>
      <c r="AL578" s="535"/>
      <c r="AP578" s="535"/>
    </row>
    <row r="579">
      <c r="A579" s="552"/>
      <c r="B579" s="552"/>
      <c r="N579" s="535"/>
      <c r="O579" s="558"/>
      <c r="R579" s="535"/>
      <c r="S579" s="558"/>
      <c r="V579" s="535"/>
      <c r="W579" s="558"/>
      <c r="Z579" s="535"/>
      <c r="AA579" s="558"/>
      <c r="AD579" s="535"/>
      <c r="AE579" s="558"/>
      <c r="AH579" s="535"/>
      <c r="AI579" s="558"/>
      <c r="AL579" s="535"/>
      <c r="AP579" s="535"/>
    </row>
    <row r="580">
      <c r="A580" s="552"/>
      <c r="B580" s="552"/>
      <c r="N580" s="535"/>
      <c r="O580" s="558"/>
      <c r="R580" s="535"/>
      <c r="S580" s="558"/>
      <c r="V580" s="535"/>
      <c r="W580" s="558"/>
      <c r="Z580" s="535"/>
      <c r="AA580" s="558"/>
      <c r="AD580" s="535"/>
      <c r="AE580" s="558"/>
      <c r="AH580" s="535"/>
      <c r="AI580" s="558"/>
      <c r="AL580" s="535"/>
      <c r="AP580" s="535"/>
    </row>
    <row r="581">
      <c r="A581" s="552"/>
      <c r="B581" s="552"/>
      <c r="N581" s="535"/>
      <c r="O581" s="558"/>
      <c r="R581" s="535"/>
      <c r="S581" s="558"/>
      <c r="V581" s="535"/>
      <c r="W581" s="558"/>
      <c r="Z581" s="535"/>
      <c r="AA581" s="558"/>
      <c r="AD581" s="535"/>
      <c r="AE581" s="558"/>
      <c r="AH581" s="535"/>
      <c r="AI581" s="558"/>
      <c r="AL581" s="535"/>
      <c r="AP581" s="535"/>
    </row>
    <row r="582">
      <c r="A582" s="552"/>
      <c r="B582" s="552"/>
      <c r="N582" s="535"/>
      <c r="O582" s="558"/>
      <c r="R582" s="535"/>
      <c r="S582" s="558"/>
      <c r="V582" s="535"/>
      <c r="W582" s="558"/>
      <c r="Z582" s="535"/>
      <c r="AA582" s="558"/>
      <c r="AD582" s="535"/>
      <c r="AE582" s="558"/>
      <c r="AH582" s="535"/>
      <c r="AI582" s="558"/>
      <c r="AL582" s="535"/>
      <c r="AP582" s="535"/>
    </row>
    <row r="583">
      <c r="A583" s="552"/>
      <c r="B583" s="552"/>
      <c r="N583" s="535"/>
      <c r="O583" s="558"/>
      <c r="R583" s="535"/>
      <c r="S583" s="558"/>
      <c r="V583" s="535"/>
      <c r="W583" s="558"/>
      <c r="Z583" s="535"/>
      <c r="AA583" s="558"/>
      <c r="AD583" s="535"/>
      <c r="AE583" s="558"/>
      <c r="AH583" s="535"/>
      <c r="AI583" s="558"/>
      <c r="AL583" s="535"/>
      <c r="AP583" s="535"/>
    </row>
    <row r="584">
      <c r="A584" s="552"/>
      <c r="B584" s="552"/>
      <c r="N584" s="535"/>
      <c r="O584" s="558"/>
      <c r="R584" s="535"/>
      <c r="S584" s="558"/>
      <c r="V584" s="535"/>
      <c r="W584" s="558"/>
      <c r="Z584" s="535"/>
      <c r="AA584" s="558"/>
      <c r="AD584" s="535"/>
      <c r="AE584" s="558"/>
      <c r="AH584" s="535"/>
      <c r="AI584" s="558"/>
      <c r="AL584" s="535"/>
      <c r="AP584" s="535"/>
    </row>
    <row r="585">
      <c r="A585" s="552"/>
      <c r="B585" s="552"/>
      <c r="N585" s="535"/>
      <c r="O585" s="558"/>
      <c r="R585" s="535"/>
      <c r="S585" s="558"/>
      <c r="V585" s="535"/>
      <c r="W585" s="558"/>
      <c r="Z585" s="535"/>
      <c r="AA585" s="558"/>
      <c r="AD585" s="535"/>
      <c r="AE585" s="558"/>
      <c r="AH585" s="535"/>
      <c r="AI585" s="558"/>
      <c r="AL585" s="535"/>
      <c r="AP585" s="535"/>
    </row>
    <row r="586">
      <c r="A586" s="552"/>
      <c r="B586" s="552"/>
      <c r="N586" s="535"/>
      <c r="O586" s="558"/>
      <c r="R586" s="535"/>
      <c r="S586" s="558"/>
      <c r="V586" s="535"/>
      <c r="W586" s="558"/>
      <c r="Z586" s="535"/>
      <c r="AA586" s="558"/>
      <c r="AD586" s="535"/>
      <c r="AE586" s="558"/>
      <c r="AH586" s="535"/>
      <c r="AI586" s="558"/>
      <c r="AL586" s="535"/>
      <c r="AP586" s="535"/>
    </row>
    <row r="587">
      <c r="A587" s="552"/>
      <c r="B587" s="552"/>
      <c r="N587" s="535"/>
      <c r="O587" s="558"/>
      <c r="R587" s="535"/>
      <c r="S587" s="558"/>
      <c r="V587" s="535"/>
      <c r="W587" s="558"/>
      <c r="Z587" s="535"/>
      <c r="AA587" s="558"/>
      <c r="AD587" s="535"/>
      <c r="AE587" s="558"/>
      <c r="AH587" s="535"/>
      <c r="AI587" s="558"/>
      <c r="AL587" s="535"/>
      <c r="AP587" s="535"/>
    </row>
    <row r="588">
      <c r="A588" s="552"/>
      <c r="B588" s="552"/>
      <c r="N588" s="535"/>
      <c r="O588" s="558"/>
      <c r="R588" s="535"/>
      <c r="S588" s="558"/>
      <c r="V588" s="535"/>
      <c r="W588" s="558"/>
      <c r="Z588" s="535"/>
      <c r="AA588" s="558"/>
      <c r="AD588" s="535"/>
      <c r="AE588" s="558"/>
      <c r="AH588" s="535"/>
      <c r="AI588" s="558"/>
      <c r="AL588" s="535"/>
      <c r="AP588" s="535"/>
    </row>
    <row r="589">
      <c r="A589" s="552"/>
      <c r="B589" s="552"/>
      <c r="N589" s="535"/>
      <c r="O589" s="558"/>
      <c r="R589" s="535"/>
      <c r="S589" s="558"/>
      <c r="V589" s="535"/>
      <c r="W589" s="558"/>
      <c r="Z589" s="535"/>
      <c r="AA589" s="558"/>
      <c r="AD589" s="535"/>
      <c r="AE589" s="558"/>
      <c r="AH589" s="535"/>
      <c r="AI589" s="558"/>
      <c r="AL589" s="535"/>
      <c r="AP589" s="535"/>
    </row>
    <row r="590">
      <c r="A590" s="552"/>
      <c r="B590" s="552"/>
      <c r="N590" s="535"/>
      <c r="O590" s="558"/>
      <c r="R590" s="535"/>
      <c r="S590" s="558"/>
      <c r="V590" s="535"/>
      <c r="W590" s="558"/>
      <c r="Z590" s="535"/>
      <c r="AA590" s="558"/>
      <c r="AD590" s="535"/>
      <c r="AE590" s="558"/>
      <c r="AH590" s="535"/>
      <c r="AI590" s="558"/>
      <c r="AL590" s="535"/>
      <c r="AP590" s="535"/>
    </row>
    <row r="591">
      <c r="A591" s="552"/>
      <c r="B591" s="552"/>
      <c r="N591" s="535"/>
      <c r="O591" s="558"/>
      <c r="R591" s="535"/>
      <c r="S591" s="558"/>
      <c r="V591" s="535"/>
      <c r="W591" s="558"/>
      <c r="Z591" s="535"/>
      <c r="AA591" s="558"/>
      <c r="AD591" s="535"/>
      <c r="AE591" s="558"/>
      <c r="AH591" s="535"/>
      <c r="AI591" s="558"/>
      <c r="AL591" s="535"/>
      <c r="AP591" s="535"/>
    </row>
    <row r="592">
      <c r="A592" s="552"/>
      <c r="B592" s="552"/>
      <c r="N592" s="535"/>
      <c r="O592" s="558"/>
      <c r="R592" s="535"/>
      <c r="S592" s="558"/>
      <c r="V592" s="535"/>
      <c r="W592" s="558"/>
      <c r="Z592" s="535"/>
      <c r="AA592" s="558"/>
      <c r="AD592" s="535"/>
      <c r="AE592" s="558"/>
      <c r="AH592" s="535"/>
      <c r="AI592" s="558"/>
      <c r="AL592" s="535"/>
      <c r="AP592" s="535"/>
    </row>
    <row r="593">
      <c r="A593" s="552"/>
      <c r="B593" s="552"/>
      <c r="N593" s="535"/>
      <c r="O593" s="558"/>
      <c r="R593" s="535"/>
      <c r="S593" s="558"/>
      <c r="V593" s="535"/>
      <c r="W593" s="558"/>
      <c r="Z593" s="535"/>
      <c r="AA593" s="558"/>
      <c r="AD593" s="535"/>
      <c r="AE593" s="558"/>
      <c r="AH593" s="535"/>
      <c r="AI593" s="558"/>
      <c r="AL593" s="535"/>
      <c r="AP593" s="535"/>
    </row>
    <row r="594">
      <c r="A594" s="552"/>
      <c r="B594" s="552"/>
      <c r="N594" s="535"/>
      <c r="O594" s="558"/>
      <c r="R594" s="535"/>
      <c r="S594" s="558"/>
      <c r="V594" s="535"/>
      <c r="W594" s="558"/>
      <c r="Z594" s="535"/>
      <c r="AA594" s="558"/>
      <c r="AD594" s="535"/>
      <c r="AE594" s="558"/>
      <c r="AH594" s="535"/>
      <c r="AI594" s="558"/>
      <c r="AL594" s="535"/>
      <c r="AP594" s="535"/>
    </row>
    <row r="595">
      <c r="A595" s="552"/>
      <c r="B595" s="552"/>
      <c r="N595" s="535"/>
      <c r="O595" s="558"/>
      <c r="R595" s="535"/>
      <c r="S595" s="558"/>
      <c r="V595" s="535"/>
      <c r="W595" s="558"/>
      <c r="Z595" s="535"/>
      <c r="AA595" s="558"/>
      <c r="AD595" s="535"/>
      <c r="AE595" s="558"/>
      <c r="AH595" s="535"/>
      <c r="AI595" s="558"/>
      <c r="AL595" s="535"/>
      <c r="AP595" s="535"/>
    </row>
    <row r="596">
      <c r="A596" s="552"/>
      <c r="B596" s="552"/>
      <c r="N596" s="535"/>
      <c r="O596" s="558"/>
      <c r="R596" s="535"/>
      <c r="S596" s="558"/>
      <c r="V596" s="535"/>
      <c r="W596" s="558"/>
      <c r="Z596" s="535"/>
      <c r="AA596" s="558"/>
      <c r="AD596" s="535"/>
      <c r="AE596" s="558"/>
      <c r="AH596" s="535"/>
      <c r="AI596" s="558"/>
      <c r="AL596" s="535"/>
      <c r="AP596" s="535"/>
    </row>
    <row r="597">
      <c r="A597" s="552"/>
      <c r="B597" s="552"/>
      <c r="N597" s="535"/>
      <c r="O597" s="558"/>
      <c r="R597" s="535"/>
      <c r="S597" s="558"/>
      <c r="V597" s="535"/>
      <c r="W597" s="558"/>
      <c r="Z597" s="535"/>
      <c r="AA597" s="558"/>
      <c r="AD597" s="535"/>
      <c r="AE597" s="558"/>
      <c r="AH597" s="535"/>
      <c r="AI597" s="558"/>
      <c r="AL597" s="535"/>
      <c r="AP597" s="535"/>
    </row>
    <row r="598">
      <c r="A598" s="552"/>
      <c r="B598" s="552"/>
      <c r="N598" s="535"/>
      <c r="O598" s="558"/>
      <c r="R598" s="535"/>
      <c r="S598" s="558"/>
      <c r="V598" s="535"/>
      <c r="W598" s="558"/>
      <c r="Z598" s="535"/>
      <c r="AA598" s="558"/>
      <c r="AD598" s="535"/>
      <c r="AE598" s="558"/>
      <c r="AH598" s="535"/>
      <c r="AI598" s="558"/>
      <c r="AL598" s="535"/>
      <c r="AP598" s="535"/>
    </row>
    <row r="599">
      <c r="A599" s="552"/>
      <c r="B599" s="552"/>
      <c r="N599" s="535"/>
      <c r="O599" s="558"/>
      <c r="R599" s="535"/>
      <c r="S599" s="558"/>
      <c r="V599" s="535"/>
      <c r="W599" s="558"/>
      <c r="Z599" s="535"/>
      <c r="AA599" s="558"/>
      <c r="AD599" s="535"/>
      <c r="AE599" s="558"/>
      <c r="AH599" s="535"/>
      <c r="AI599" s="558"/>
      <c r="AL599" s="535"/>
      <c r="AP599" s="535"/>
    </row>
    <row r="600">
      <c r="A600" s="552"/>
      <c r="B600" s="552"/>
      <c r="N600" s="535"/>
      <c r="O600" s="558"/>
      <c r="R600" s="535"/>
      <c r="S600" s="558"/>
      <c r="V600" s="535"/>
      <c r="W600" s="558"/>
      <c r="Z600" s="535"/>
      <c r="AA600" s="558"/>
      <c r="AD600" s="535"/>
      <c r="AE600" s="558"/>
      <c r="AH600" s="535"/>
      <c r="AI600" s="558"/>
      <c r="AL600" s="535"/>
      <c r="AP600" s="535"/>
    </row>
    <row r="601">
      <c r="A601" s="552"/>
      <c r="B601" s="552"/>
      <c r="N601" s="535"/>
      <c r="O601" s="558"/>
      <c r="R601" s="535"/>
      <c r="S601" s="558"/>
      <c r="V601" s="535"/>
      <c r="W601" s="558"/>
      <c r="Z601" s="535"/>
      <c r="AA601" s="558"/>
      <c r="AD601" s="535"/>
      <c r="AE601" s="558"/>
      <c r="AH601" s="535"/>
      <c r="AI601" s="558"/>
      <c r="AL601" s="535"/>
      <c r="AP601" s="535"/>
    </row>
    <row r="602">
      <c r="A602" s="552"/>
      <c r="B602" s="552"/>
      <c r="N602" s="535"/>
      <c r="O602" s="558"/>
      <c r="R602" s="535"/>
      <c r="S602" s="558"/>
      <c r="V602" s="535"/>
      <c r="W602" s="558"/>
      <c r="Z602" s="535"/>
      <c r="AA602" s="558"/>
      <c r="AD602" s="535"/>
      <c r="AE602" s="558"/>
      <c r="AH602" s="535"/>
      <c r="AI602" s="558"/>
      <c r="AL602" s="535"/>
      <c r="AP602" s="535"/>
    </row>
    <row r="603">
      <c r="A603" s="552"/>
      <c r="B603" s="552"/>
      <c r="N603" s="535"/>
      <c r="O603" s="558"/>
      <c r="R603" s="535"/>
      <c r="S603" s="558"/>
      <c r="V603" s="535"/>
      <c r="W603" s="558"/>
      <c r="Z603" s="535"/>
      <c r="AA603" s="558"/>
      <c r="AD603" s="535"/>
      <c r="AE603" s="558"/>
      <c r="AH603" s="535"/>
      <c r="AI603" s="558"/>
      <c r="AL603" s="535"/>
      <c r="AP603" s="535"/>
    </row>
    <row r="604">
      <c r="A604" s="552"/>
      <c r="B604" s="552"/>
      <c r="N604" s="535"/>
      <c r="O604" s="558"/>
      <c r="R604" s="535"/>
      <c r="S604" s="558"/>
      <c r="V604" s="535"/>
      <c r="W604" s="558"/>
      <c r="Z604" s="535"/>
      <c r="AA604" s="558"/>
      <c r="AD604" s="535"/>
      <c r="AE604" s="558"/>
      <c r="AH604" s="535"/>
      <c r="AI604" s="558"/>
      <c r="AL604" s="535"/>
      <c r="AP604" s="535"/>
    </row>
    <row r="605">
      <c r="A605" s="552"/>
      <c r="B605" s="552"/>
      <c r="N605" s="535"/>
      <c r="O605" s="558"/>
      <c r="R605" s="535"/>
      <c r="S605" s="558"/>
      <c r="V605" s="535"/>
      <c r="W605" s="558"/>
      <c r="Z605" s="535"/>
      <c r="AA605" s="558"/>
      <c r="AD605" s="535"/>
      <c r="AE605" s="558"/>
      <c r="AH605" s="535"/>
      <c r="AI605" s="558"/>
      <c r="AL605" s="535"/>
      <c r="AP605" s="535"/>
    </row>
    <row r="606">
      <c r="A606" s="552"/>
      <c r="B606" s="552"/>
      <c r="N606" s="535"/>
      <c r="O606" s="558"/>
      <c r="R606" s="535"/>
      <c r="S606" s="558"/>
      <c r="V606" s="535"/>
      <c r="W606" s="558"/>
      <c r="Z606" s="535"/>
      <c r="AA606" s="558"/>
      <c r="AD606" s="535"/>
      <c r="AE606" s="558"/>
      <c r="AH606" s="535"/>
      <c r="AI606" s="558"/>
      <c r="AL606" s="535"/>
      <c r="AP606" s="535"/>
    </row>
    <row r="607">
      <c r="A607" s="552"/>
      <c r="B607" s="552"/>
      <c r="N607" s="535"/>
      <c r="O607" s="558"/>
      <c r="R607" s="535"/>
      <c r="S607" s="558"/>
      <c r="V607" s="535"/>
      <c r="W607" s="558"/>
      <c r="Z607" s="535"/>
      <c r="AA607" s="558"/>
      <c r="AD607" s="535"/>
      <c r="AE607" s="558"/>
      <c r="AH607" s="535"/>
      <c r="AI607" s="558"/>
      <c r="AL607" s="535"/>
      <c r="AP607" s="535"/>
    </row>
    <row r="608">
      <c r="A608" s="552"/>
      <c r="B608" s="552"/>
      <c r="N608" s="535"/>
      <c r="O608" s="558"/>
      <c r="R608" s="535"/>
      <c r="S608" s="558"/>
      <c r="V608" s="535"/>
      <c r="W608" s="558"/>
      <c r="Z608" s="535"/>
      <c r="AA608" s="558"/>
      <c r="AD608" s="535"/>
      <c r="AE608" s="558"/>
      <c r="AH608" s="535"/>
      <c r="AI608" s="558"/>
      <c r="AL608" s="535"/>
      <c r="AP608" s="535"/>
    </row>
    <row r="609">
      <c r="A609" s="552"/>
      <c r="B609" s="552"/>
      <c r="N609" s="535"/>
      <c r="O609" s="558"/>
      <c r="R609" s="535"/>
      <c r="S609" s="558"/>
      <c r="V609" s="535"/>
      <c r="W609" s="558"/>
      <c r="Z609" s="535"/>
      <c r="AA609" s="558"/>
      <c r="AD609" s="535"/>
      <c r="AE609" s="558"/>
      <c r="AH609" s="535"/>
      <c r="AI609" s="558"/>
      <c r="AL609" s="535"/>
      <c r="AP609" s="535"/>
    </row>
    <row r="610">
      <c r="A610" s="552"/>
      <c r="B610" s="552"/>
      <c r="N610" s="535"/>
      <c r="O610" s="558"/>
      <c r="R610" s="535"/>
      <c r="S610" s="558"/>
      <c r="V610" s="535"/>
      <c r="W610" s="558"/>
      <c r="Z610" s="535"/>
      <c r="AA610" s="558"/>
      <c r="AD610" s="535"/>
      <c r="AE610" s="558"/>
      <c r="AH610" s="535"/>
      <c r="AI610" s="558"/>
      <c r="AL610" s="535"/>
      <c r="AP610" s="535"/>
    </row>
    <row r="611">
      <c r="A611" s="552"/>
      <c r="B611" s="552"/>
      <c r="N611" s="535"/>
      <c r="O611" s="558"/>
      <c r="R611" s="535"/>
      <c r="S611" s="558"/>
      <c r="V611" s="535"/>
      <c r="W611" s="558"/>
      <c r="Z611" s="535"/>
      <c r="AA611" s="558"/>
      <c r="AD611" s="535"/>
      <c r="AE611" s="558"/>
      <c r="AH611" s="535"/>
      <c r="AI611" s="558"/>
      <c r="AL611" s="535"/>
      <c r="AP611" s="535"/>
    </row>
    <row r="612">
      <c r="A612" s="552"/>
      <c r="B612" s="552"/>
      <c r="N612" s="535"/>
      <c r="O612" s="558"/>
      <c r="R612" s="535"/>
      <c r="S612" s="558"/>
      <c r="V612" s="535"/>
      <c r="W612" s="558"/>
      <c r="Z612" s="535"/>
      <c r="AA612" s="558"/>
      <c r="AD612" s="535"/>
      <c r="AE612" s="558"/>
      <c r="AH612" s="535"/>
      <c r="AI612" s="558"/>
      <c r="AL612" s="535"/>
      <c r="AP612" s="535"/>
    </row>
    <row r="613">
      <c r="A613" s="552"/>
      <c r="B613" s="552"/>
      <c r="N613" s="535"/>
      <c r="O613" s="558"/>
      <c r="R613" s="535"/>
      <c r="S613" s="558"/>
      <c r="V613" s="535"/>
      <c r="W613" s="558"/>
      <c r="Z613" s="535"/>
      <c r="AA613" s="558"/>
      <c r="AD613" s="535"/>
      <c r="AE613" s="558"/>
      <c r="AH613" s="535"/>
      <c r="AI613" s="558"/>
      <c r="AL613" s="535"/>
      <c r="AP613" s="535"/>
    </row>
    <row r="614">
      <c r="A614" s="552"/>
      <c r="B614" s="552"/>
      <c r="N614" s="535"/>
      <c r="O614" s="558"/>
      <c r="R614" s="535"/>
      <c r="S614" s="558"/>
      <c r="V614" s="535"/>
      <c r="W614" s="558"/>
      <c r="Z614" s="535"/>
      <c r="AA614" s="558"/>
      <c r="AD614" s="535"/>
      <c r="AE614" s="558"/>
      <c r="AH614" s="535"/>
      <c r="AI614" s="558"/>
      <c r="AL614" s="535"/>
      <c r="AP614" s="535"/>
    </row>
    <row r="615">
      <c r="A615" s="552"/>
      <c r="B615" s="552"/>
      <c r="N615" s="535"/>
      <c r="O615" s="558"/>
      <c r="R615" s="535"/>
      <c r="S615" s="558"/>
      <c r="V615" s="535"/>
      <c r="W615" s="558"/>
      <c r="Z615" s="535"/>
      <c r="AA615" s="558"/>
      <c r="AD615" s="535"/>
      <c r="AE615" s="558"/>
      <c r="AH615" s="535"/>
      <c r="AI615" s="558"/>
      <c r="AL615" s="535"/>
      <c r="AP615" s="535"/>
    </row>
    <row r="616">
      <c r="A616" s="552"/>
      <c r="B616" s="552"/>
      <c r="N616" s="535"/>
      <c r="O616" s="558"/>
      <c r="R616" s="535"/>
      <c r="S616" s="558"/>
      <c r="V616" s="535"/>
      <c r="W616" s="558"/>
      <c r="Z616" s="535"/>
      <c r="AA616" s="558"/>
      <c r="AD616" s="535"/>
      <c r="AE616" s="558"/>
      <c r="AH616" s="535"/>
      <c r="AI616" s="558"/>
      <c r="AL616" s="535"/>
      <c r="AP616" s="535"/>
    </row>
    <row r="617">
      <c r="A617" s="552"/>
      <c r="B617" s="552"/>
      <c r="N617" s="535"/>
      <c r="O617" s="558"/>
      <c r="R617" s="535"/>
      <c r="S617" s="558"/>
      <c r="V617" s="535"/>
      <c r="W617" s="558"/>
      <c r="Z617" s="535"/>
      <c r="AA617" s="558"/>
      <c r="AD617" s="535"/>
      <c r="AE617" s="558"/>
      <c r="AH617" s="535"/>
      <c r="AI617" s="558"/>
      <c r="AL617" s="535"/>
      <c r="AP617" s="535"/>
    </row>
    <row r="618">
      <c r="A618" s="552"/>
      <c r="B618" s="552"/>
      <c r="N618" s="535"/>
      <c r="O618" s="558"/>
      <c r="R618" s="535"/>
      <c r="S618" s="558"/>
      <c r="V618" s="535"/>
      <c r="W618" s="558"/>
      <c r="Z618" s="535"/>
      <c r="AA618" s="558"/>
      <c r="AD618" s="535"/>
      <c r="AE618" s="558"/>
      <c r="AH618" s="535"/>
      <c r="AI618" s="558"/>
      <c r="AL618" s="535"/>
      <c r="AP618" s="535"/>
    </row>
    <row r="619">
      <c r="A619" s="552"/>
      <c r="B619" s="552"/>
      <c r="N619" s="535"/>
      <c r="O619" s="558"/>
      <c r="R619" s="535"/>
      <c r="S619" s="558"/>
      <c r="V619" s="535"/>
      <c r="W619" s="558"/>
      <c r="Z619" s="535"/>
      <c r="AA619" s="558"/>
      <c r="AD619" s="535"/>
      <c r="AE619" s="558"/>
      <c r="AH619" s="535"/>
      <c r="AI619" s="558"/>
      <c r="AL619" s="535"/>
      <c r="AP619" s="535"/>
    </row>
    <row r="620">
      <c r="A620" s="552"/>
      <c r="B620" s="552"/>
      <c r="N620" s="535"/>
      <c r="O620" s="558"/>
      <c r="R620" s="535"/>
      <c r="S620" s="558"/>
      <c r="V620" s="535"/>
      <c r="W620" s="558"/>
      <c r="Z620" s="535"/>
      <c r="AA620" s="558"/>
      <c r="AD620" s="535"/>
      <c r="AE620" s="558"/>
      <c r="AH620" s="535"/>
      <c r="AI620" s="558"/>
      <c r="AL620" s="535"/>
      <c r="AP620" s="535"/>
    </row>
    <row r="621">
      <c r="A621" s="552"/>
      <c r="B621" s="552"/>
      <c r="N621" s="535"/>
      <c r="O621" s="558"/>
      <c r="R621" s="535"/>
      <c r="S621" s="558"/>
      <c r="V621" s="535"/>
      <c r="W621" s="558"/>
      <c r="Z621" s="535"/>
      <c r="AA621" s="558"/>
      <c r="AD621" s="535"/>
      <c r="AE621" s="558"/>
      <c r="AH621" s="535"/>
      <c r="AI621" s="558"/>
      <c r="AL621" s="535"/>
      <c r="AP621" s="535"/>
    </row>
    <row r="622">
      <c r="A622" s="552"/>
      <c r="B622" s="552"/>
      <c r="N622" s="535"/>
      <c r="O622" s="558"/>
      <c r="R622" s="535"/>
      <c r="S622" s="558"/>
      <c r="V622" s="535"/>
      <c r="W622" s="558"/>
      <c r="Z622" s="535"/>
      <c r="AA622" s="558"/>
      <c r="AD622" s="535"/>
      <c r="AE622" s="558"/>
      <c r="AH622" s="535"/>
      <c r="AI622" s="558"/>
      <c r="AL622" s="535"/>
      <c r="AP622" s="535"/>
    </row>
    <row r="623">
      <c r="A623" s="552"/>
      <c r="B623" s="552"/>
      <c r="N623" s="535"/>
      <c r="O623" s="558"/>
      <c r="R623" s="535"/>
      <c r="S623" s="558"/>
      <c r="V623" s="535"/>
      <c r="W623" s="558"/>
      <c r="Z623" s="535"/>
      <c r="AA623" s="558"/>
      <c r="AD623" s="535"/>
      <c r="AE623" s="558"/>
      <c r="AH623" s="535"/>
      <c r="AI623" s="558"/>
      <c r="AL623" s="535"/>
      <c r="AP623" s="535"/>
    </row>
    <row r="624">
      <c r="A624" s="552"/>
      <c r="B624" s="552"/>
      <c r="N624" s="535"/>
      <c r="O624" s="558"/>
      <c r="R624" s="535"/>
      <c r="S624" s="558"/>
      <c r="V624" s="535"/>
      <c r="W624" s="558"/>
      <c r="Z624" s="535"/>
      <c r="AA624" s="558"/>
      <c r="AD624" s="535"/>
      <c r="AE624" s="558"/>
      <c r="AH624" s="535"/>
      <c r="AI624" s="558"/>
      <c r="AL624" s="535"/>
      <c r="AP624" s="535"/>
    </row>
    <row r="625">
      <c r="A625" s="552"/>
      <c r="B625" s="552"/>
      <c r="N625" s="535"/>
      <c r="O625" s="558"/>
      <c r="R625" s="535"/>
      <c r="S625" s="558"/>
      <c r="V625" s="535"/>
      <c r="W625" s="558"/>
      <c r="Z625" s="535"/>
      <c r="AA625" s="558"/>
      <c r="AD625" s="535"/>
      <c r="AE625" s="558"/>
      <c r="AH625" s="535"/>
      <c r="AI625" s="558"/>
      <c r="AL625" s="535"/>
      <c r="AP625" s="535"/>
    </row>
    <row r="626">
      <c r="A626" s="552"/>
      <c r="B626" s="552"/>
      <c r="N626" s="535"/>
      <c r="O626" s="558"/>
      <c r="R626" s="535"/>
      <c r="S626" s="558"/>
      <c r="V626" s="535"/>
      <c r="W626" s="558"/>
      <c r="Z626" s="535"/>
      <c r="AA626" s="558"/>
      <c r="AD626" s="535"/>
      <c r="AE626" s="558"/>
      <c r="AH626" s="535"/>
      <c r="AI626" s="558"/>
      <c r="AL626" s="535"/>
      <c r="AP626" s="535"/>
    </row>
    <row r="627">
      <c r="A627" s="552"/>
      <c r="B627" s="552"/>
      <c r="N627" s="535"/>
      <c r="O627" s="558"/>
      <c r="R627" s="535"/>
      <c r="S627" s="558"/>
      <c r="V627" s="535"/>
      <c r="W627" s="558"/>
      <c r="Z627" s="535"/>
      <c r="AA627" s="558"/>
      <c r="AD627" s="535"/>
      <c r="AE627" s="558"/>
      <c r="AH627" s="535"/>
      <c r="AI627" s="558"/>
      <c r="AL627" s="535"/>
      <c r="AP627" s="535"/>
    </row>
    <row r="628">
      <c r="A628" s="552"/>
      <c r="B628" s="552"/>
      <c r="N628" s="535"/>
      <c r="O628" s="558"/>
      <c r="R628" s="535"/>
      <c r="S628" s="558"/>
      <c r="V628" s="535"/>
      <c r="W628" s="558"/>
      <c r="Z628" s="535"/>
      <c r="AA628" s="558"/>
      <c r="AD628" s="535"/>
      <c r="AE628" s="558"/>
      <c r="AH628" s="535"/>
      <c r="AI628" s="558"/>
      <c r="AL628" s="535"/>
      <c r="AP628" s="535"/>
    </row>
    <row r="629">
      <c r="A629" s="552"/>
      <c r="B629" s="552"/>
      <c r="N629" s="535"/>
      <c r="O629" s="558"/>
      <c r="R629" s="535"/>
      <c r="S629" s="558"/>
      <c r="V629" s="535"/>
      <c r="W629" s="558"/>
      <c r="Z629" s="535"/>
      <c r="AA629" s="558"/>
      <c r="AD629" s="535"/>
      <c r="AE629" s="558"/>
      <c r="AH629" s="535"/>
      <c r="AI629" s="558"/>
      <c r="AL629" s="535"/>
      <c r="AP629" s="535"/>
    </row>
    <row r="630">
      <c r="A630" s="552"/>
      <c r="B630" s="552"/>
      <c r="N630" s="535"/>
      <c r="O630" s="558"/>
      <c r="R630" s="535"/>
      <c r="S630" s="558"/>
      <c r="V630" s="535"/>
      <c r="W630" s="558"/>
      <c r="Z630" s="535"/>
      <c r="AA630" s="558"/>
      <c r="AD630" s="535"/>
      <c r="AE630" s="558"/>
      <c r="AH630" s="535"/>
      <c r="AI630" s="558"/>
      <c r="AL630" s="535"/>
      <c r="AP630" s="535"/>
    </row>
    <row r="631">
      <c r="A631" s="552"/>
      <c r="B631" s="552"/>
      <c r="N631" s="535"/>
      <c r="O631" s="558"/>
      <c r="R631" s="535"/>
      <c r="S631" s="558"/>
      <c r="V631" s="535"/>
      <c r="W631" s="558"/>
      <c r="Z631" s="535"/>
      <c r="AA631" s="558"/>
      <c r="AD631" s="535"/>
      <c r="AE631" s="558"/>
      <c r="AH631" s="535"/>
      <c r="AI631" s="558"/>
      <c r="AL631" s="535"/>
      <c r="AP631" s="535"/>
    </row>
    <row r="632">
      <c r="A632" s="552"/>
      <c r="B632" s="552"/>
      <c r="N632" s="535"/>
      <c r="O632" s="558"/>
      <c r="R632" s="535"/>
      <c r="S632" s="558"/>
      <c r="V632" s="535"/>
      <c r="W632" s="558"/>
      <c r="Z632" s="535"/>
      <c r="AA632" s="558"/>
      <c r="AD632" s="535"/>
      <c r="AE632" s="558"/>
      <c r="AH632" s="535"/>
      <c r="AI632" s="558"/>
      <c r="AL632" s="535"/>
      <c r="AP632" s="535"/>
    </row>
    <row r="633">
      <c r="A633" s="552"/>
      <c r="B633" s="552"/>
      <c r="N633" s="535"/>
      <c r="O633" s="558"/>
      <c r="R633" s="535"/>
      <c r="S633" s="558"/>
      <c r="V633" s="535"/>
      <c r="W633" s="558"/>
      <c r="Z633" s="535"/>
      <c r="AA633" s="558"/>
      <c r="AD633" s="535"/>
      <c r="AE633" s="558"/>
      <c r="AH633" s="535"/>
      <c r="AI633" s="558"/>
      <c r="AL633" s="535"/>
      <c r="AP633" s="535"/>
    </row>
    <row r="634">
      <c r="A634" s="552"/>
      <c r="B634" s="552"/>
      <c r="N634" s="535"/>
      <c r="O634" s="558"/>
      <c r="R634" s="535"/>
      <c r="S634" s="558"/>
      <c r="V634" s="535"/>
      <c r="W634" s="558"/>
      <c r="Z634" s="535"/>
      <c r="AA634" s="558"/>
      <c r="AD634" s="535"/>
      <c r="AE634" s="558"/>
      <c r="AH634" s="535"/>
      <c r="AI634" s="558"/>
      <c r="AL634" s="535"/>
      <c r="AP634" s="535"/>
    </row>
    <row r="635">
      <c r="A635" s="552"/>
      <c r="B635" s="552"/>
      <c r="N635" s="535"/>
      <c r="O635" s="558"/>
      <c r="R635" s="535"/>
      <c r="S635" s="558"/>
      <c r="V635" s="535"/>
      <c r="W635" s="558"/>
      <c r="Z635" s="535"/>
      <c r="AA635" s="558"/>
      <c r="AD635" s="535"/>
      <c r="AE635" s="558"/>
      <c r="AH635" s="535"/>
      <c r="AI635" s="558"/>
      <c r="AL635" s="535"/>
      <c r="AP635" s="535"/>
    </row>
    <row r="636">
      <c r="A636" s="552"/>
      <c r="B636" s="552"/>
      <c r="N636" s="535"/>
      <c r="O636" s="558"/>
      <c r="R636" s="535"/>
      <c r="S636" s="558"/>
      <c r="V636" s="535"/>
      <c r="W636" s="558"/>
      <c r="Z636" s="535"/>
      <c r="AA636" s="558"/>
      <c r="AD636" s="535"/>
      <c r="AE636" s="558"/>
      <c r="AH636" s="535"/>
      <c r="AI636" s="558"/>
      <c r="AL636" s="535"/>
      <c r="AP636" s="535"/>
    </row>
    <row r="637">
      <c r="A637" s="552"/>
      <c r="B637" s="552"/>
      <c r="N637" s="535"/>
      <c r="O637" s="558"/>
      <c r="R637" s="535"/>
      <c r="S637" s="558"/>
      <c r="V637" s="535"/>
      <c r="W637" s="558"/>
      <c r="Z637" s="535"/>
      <c r="AA637" s="558"/>
      <c r="AD637" s="535"/>
      <c r="AE637" s="558"/>
      <c r="AH637" s="535"/>
      <c r="AI637" s="558"/>
      <c r="AL637" s="535"/>
      <c r="AP637" s="535"/>
    </row>
    <row r="638">
      <c r="A638" s="552"/>
      <c r="B638" s="552"/>
      <c r="N638" s="535"/>
      <c r="O638" s="558"/>
      <c r="R638" s="535"/>
      <c r="S638" s="558"/>
      <c r="V638" s="535"/>
      <c r="W638" s="558"/>
      <c r="Z638" s="535"/>
      <c r="AA638" s="558"/>
      <c r="AD638" s="535"/>
      <c r="AE638" s="558"/>
      <c r="AH638" s="535"/>
      <c r="AI638" s="558"/>
      <c r="AL638" s="535"/>
      <c r="AP638" s="535"/>
    </row>
    <row r="639">
      <c r="A639" s="552"/>
      <c r="B639" s="552"/>
      <c r="N639" s="535"/>
      <c r="O639" s="558"/>
      <c r="R639" s="535"/>
      <c r="S639" s="558"/>
      <c r="V639" s="535"/>
      <c r="W639" s="558"/>
      <c r="Z639" s="535"/>
      <c r="AA639" s="558"/>
      <c r="AD639" s="535"/>
      <c r="AE639" s="558"/>
      <c r="AH639" s="535"/>
      <c r="AI639" s="558"/>
      <c r="AL639" s="535"/>
      <c r="AP639" s="535"/>
    </row>
    <row r="640">
      <c r="A640" s="552"/>
      <c r="B640" s="552"/>
      <c r="N640" s="535"/>
      <c r="O640" s="558"/>
      <c r="R640" s="535"/>
      <c r="S640" s="558"/>
      <c r="V640" s="535"/>
      <c r="W640" s="558"/>
      <c r="Z640" s="535"/>
      <c r="AA640" s="558"/>
      <c r="AD640" s="535"/>
      <c r="AE640" s="558"/>
      <c r="AH640" s="535"/>
      <c r="AI640" s="558"/>
      <c r="AL640" s="535"/>
      <c r="AP640" s="535"/>
    </row>
    <row r="641">
      <c r="A641" s="552"/>
      <c r="B641" s="552"/>
      <c r="N641" s="535"/>
      <c r="O641" s="558"/>
      <c r="R641" s="535"/>
      <c r="S641" s="558"/>
      <c r="V641" s="535"/>
      <c r="W641" s="558"/>
      <c r="Z641" s="535"/>
      <c r="AA641" s="558"/>
      <c r="AD641" s="535"/>
      <c r="AE641" s="558"/>
      <c r="AH641" s="535"/>
      <c r="AI641" s="558"/>
      <c r="AL641" s="535"/>
      <c r="AP641" s="535"/>
    </row>
    <row r="642">
      <c r="A642" s="552"/>
      <c r="B642" s="552"/>
      <c r="N642" s="535"/>
      <c r="O642" s="558"/>
      <c r="R642" s="535"/>
      <c r="S642" s="558"/>
      <c r="V642" s="535"/>
      <c r="W642" s="558"/>
      <c r="Z642" s="535"/>
      <c r="AA642" s="558"/>
      <c r="AD642" s="535"/>
      <c r="AE642" s="558"/>
      <c r="AH642" s="535"/>
      <c r="AI642" s="558"/>
      <c r="AL642" s="535"/>
      <c r="AP642" s="535"/>
    </row>
    <row r="643">
      <c r="A643" s="552"/>
      <c r="B643" s="552"/>
      <c r="N643" s="535"/>
      <c r="O643" s="558"/>
      <c r="R643" s="535"/>
      <c r="S643" s="558"/>
      <c r="V643" s="535"/>
      <c r="W643" s="558"/>
      <c r="Z643" s="535"/>
      <c r="AA643" s="558"/>
      <c r="AD643" s="535"/>
      <c r="AE643" s="558"/>
      <c r="AH643" s="535"/>
      <c r="AI643" s="558"/>
      <c r="AL643" s="535"/>
      <c r="AP643" s="535"/>
    </row>
    <row r="644">
      <c r="A644" s="552"/>
      <c r="B644" s="552"/>
      <c r="N644" s="535"/>
      <c r="O644" s="558"/>
      <c r="R644" s="535"/>
      <c r="S644" s="558"/>
      <c r="V644" s="535"/>
      <c r="W644" s="558"/>
      <c r="Z644" s="535"/>
      <c r="AA644" s="558"/>
      <c r="AD644" s="535"/>
      <c r="AE644" s="558"/>
      <c r="AH644" s="535"/>
      <c r="AI644" s="558"/>
      <c r="AL644" s="535"/>
      <c r="AP644" s="535"/>
    </row>
    <row r="645">
      <c r="A645" s="552"/>
      <c r="B645" s="552"/>
      <c r="N645" s="535"/>
      <c r="O645" s="558"/>
      <c r="R645" s="535"/>
      <c r="S645" s="558"/>
      <c r="V645" s="535"/>
      <c r="W645" s="558"/>
      <c r="Z645" s="535"/>
      <c r="AA645" s="558"/>
      <c r="AD645" s="535"/>
      <c r="AE645" s="558"/>
      <c r="AH645" s="535"/>
      <c r="AI645" s="558"/>
      <c r="AL645" s="535"/>
      <c r="AP645" s="535"/>
    </row>
    <row r="646">
      <c r="A646" s="552"/>
      <c r="B646" s="552"/>
      <c r="N646" s="535"/>
      <c r="O646" s="558"/>
      <c r="R646" s="535"/>
      <c r="S646" s="558"/>
      <c r="V646" s="535"/>
      <c r="W646" s="558"/>
      <c r="Z646" s="535"/>
      <c r="AA646" s="558"/>
      <c r="AD646" s="535"/>
      <c r="AE646" s="558"/>
      <c r="AH646" s="535"/>
      <c r="AI646" s="558"/>
      <c r="AL646" s="535"/>
      <c r="AP646" s="535"/>
    </row>
    <row r="647">
      <c r="A647" s="552"/>
      <c r="B647" s="552"/>
      <c r="N647" s="535"/>
      <c r="O647" s="558"/>
      <c r="R647" s="535"/>
      <c r="S647" s="558"/>
      <c r="V647" s="535"/>
      <c r="W647" s="558"/>
      <c r="Z647" s="535"/>
      <c r="AA647" s="558"/>
      <c r="AD647" s="535"/>
      <c r="AE647" s="558"/>
      <c r="AH647" s="535"/>
      <c r="AI647" s="558"/>
      <c r="AL647" s="535"/>
      <c r="AP647" s="535"/>
    </row>
    <row r="648">
      <c r="A648" s="552"/>
      <c r="B648" s="552"/>
      <c r="N648" s="535"/>
      <c r="O648" s="558"/>
      <c r="R648" s="535"/>
      <c r="S648" s="558"/>
      <c r="V648" s="535"/>
      <c r="W648" s="558"/>
      <c r="Z648" s="535"/>
      <c r="AA648" s="558"/>
      <c r="AD648" s="535"/>
      <c r="AE648" s="558"/>
      <c r="AH648" s="535"/>
      <c r="AI648" s="558"/>
      <c r="AL648" s="535"/>
      <c r="AP648" s="535"/>
    </row>
    <row r="649">
      <c r="A649" s="552"/>
      <c r="B649" s="552"/>
      <c r="N649" s="535"/>
      <c r="O649" s="558"/>
      <c r="R649" s="535"/>
      <c r="S649" s="558"/>
      <c r="V649" s="535"/>
      <c r="W649" s="558"/>
      <c r="Z649" s="535"/>
      <c r="AA649" s="558"/>
      <c r="AD649" s="535"/>
      <c r="AE649" s="558"/>
      <c r="AH649" s="535"/>
      <c r="AI649" s="558"/>
      <c r="AL649" s="535"/>
      <c r="AP649" s="535"/>
    </row>
    <row r="650">
      <c r="A650" s="552"/>
      <c r="B650" s="552"/>
      <c r="N650" s="535"/>
      <c r="O650" s="558"/>
      <c r="R650" s="535"/>
      <c r="S650" s="558"/>
      <c r="V650" s="535"/>
      <c r="W650" s="558"/>
      <c r="Z650" s="535"/>
      <c r="AA650" s="558"/>
      <c r="AD650" s="535"/>
      <c r="AE650" s="558"/>
      <c r="AH650" s="535"/>
      <c r="AI650" s="558"/>
      <c r="AL650" s="535"/>
      <c r="AP650" s="535"/>
    </row>
    <row r="651">
      <c r="A651" s="552"/>
      <c r="B651" s="552"/>
      <c r="N651" s="535"/>
      <c r="O651" s="558"/>
      <c r="R651" s="535"/>
      <c r="S651" s="558"/>
      <c r="V651" s="535"/>
      <c r="W651" s="558"/>
      <c r="Z651" s="535"/>
      <c r="AA651" s="558"/>
      <c r="AD651" s="535"/>
      <c r="AE651" s="558"/>
      <c r="AH651" s="535"/>
      <c r="AI651" s="558"/>
      <c r="AL651" s="535"/>
      <c r="AP651" s="535"/>
    </row>
    <row r="652">
      <c r="A652" s="552"/>
      <c r="B652" s="552"/>
      <c r="N652" s="535"/>
      <c r="O652" s="558"/>
      <c r="R652" s="535"/>
      <c r="S652" s="558"/>
      <c r="V652" s="535"/>
      <c r="W652" s="558"/>
      <c r="Z652" s="535"/>
      <c r="AA652" s="558"/>
      <c r="AD652" s="535"/>
      <c r="AE652" s="558"/>
      <c r="AH652" s="535"/>
      <c r="AI652" s="558"/>
      <c r="AL652" s="535"/>
      <c r="AP652" s="535"/>
    </row>
    <row r="653">
      <c r="A653" s="552"/>
      <c r="B653" s="552"/>
      <c r="N653" s="535"/>
      <c r="O653" s="558"/>
      <c r="R653" s="535"/>
      <c r="S653" s="558"/>
      <c r="V653" s="535"/>
      <c r="W653" s="558"/>
      <c r="Z653" s="535"/>
      <c r="AA653" s="558"/>
      <c r="AD653" s="535"/>
      <c r="AE653" s="558"/>
      <c r="AH653" s="535"/>
      <c r="AI653" s="558"/>
      <c r="AL653" s="535"/>
      <c r="AP653" s="535"/>
    </row>
    <row r="654">
      <c r="A654" s="552"/>
      <c r="B654" s="552"/>
      <c r="N654" s="535"/>
      <c r="O654" s="558"/>
      <c r="R654" s="535"/>
      <c r="S654" s="558"/>
      <c r="V654" s="535"/>
      <c r="W654" s="558"/>
      <c r="Z654" s="535"/>
      <c r="AA654" s="558"/>
      <c r="AD654" s="535"/>
      <c r="AE654" s="558"/>
      <c r="AH654" s="535"/>
      <c r="AI654" s="558"/>
      <c r="AL654" s="535"/>
      <c r="AP654" s="535"/>
    </row>
    <row r="655">
      <c r="A655" s="552"/>
      <c r="B655" s="552"/>
      <c r="N655" s="535"/>
      <c r="O655" s="558"/>
      <c r="R655" s="535"/>
      <c r="S655" s="558"/>
      <c r="V655" s="535"/>
      <c r="W655" s="558"/>
      <c r="Z655" s="535"/>
      <c r="AA655" s="558"/>
      <c r="AD655" s="535"/>
      <c r="AE655" s="558"/>
      <c r="AH655" s="535"/>
      <c r="AI655" s="558"/>
      <c r="AL655" s="535"/>
      <c r="AP655" s="535"/>
    </row>
    <row r="656">
      <c r="A656" s="552"/>
      <c r="B656" s="552"/>
      <c r="N656" s="535"/>
      <c r="O656" s="558"/>
      <c r="R656" s="535"/>
      <c r="S656" s="558"/>
      <c r="V656" s="535"/>
      <c r="W656" s="558"/>
      <c r="Z656" s="535"/>
      <c r="AA656" s="558"/>
      <c r="AD656" s="535"/>
      <c r="AE656" s="558"/>
      <c r="AH656" s="535"/>
      <c r="AI656" s="558"/>
      <c r="AL656" s="535"/>
      <c r="AP656" s="535"/>
    </row>
    <row r="657">
      <c r="A657" s="552"/>
      <c r="B657" s="552"/>
      <c r="N657" s="535"/>
      <c r="O657" s="558"/>
      <c r="R657" s="535"/>
      <c r="S657" s="558"/>
      <c r="V657" s="535"/>
      <c r="W657" s="558"/>
      <c r="Z657" s="535"/>
      <c r="AA657" s="558"/>
      <c r="AD657" s="535"/>
      <c r="AE657" s="558"/>
      <c r="AH657" s="535"/>
      <c r="AI657" s="558"/>
      <c r="AL657" s="535"/>
      <c r="AP657" s="535"/>
    </row>
    <row r="658">
      <c r="A658" s="552"/>
      <c r="B658" s="552"/>
      <c r="N658" s="535"/>
      <c r="O658" s="558"/>
      <c r="R658" s="535"/>
      <c r="S658" s="558"/>
      <c r="V658" s="535"/>
      <c r="W658" s="558"/>
      <c r="Z658" s="535"/>
      <c r="AA658" s="558"/>
      <c r="AD658" s="535"/>
      <c r="AE658" s="558"/>
      <c r="AH658" s="535"/>
      <c r="AI658" s="558"/>
      <c r="AL658" s="535"/>
      <c r="AP658" s="535"/>
    </row>
    <row r="659">
      <c r="A659" s="552"/>
      <c r="B659" s="552"/>
      <c r="N659" s="535"/>
      <c r="O659" s="558"/>
      <c r="R659" s="535"/>
      <c r="S659" s="558"/>
      <c r="V659" s="535"/>
      <c r="W659" s="558"/>
      <c r="Z659" s="535"/>
      <c r="AA659" s="558"/>
      <c r="AD659" s="535"/>
      <c r="AE659" s="558"/>
      <c r="AH659" s="535"/>
      <c r="AI659" s="558"/>
      <c r="AL659" s="535"/>
      <c r="AP659" s="535"/>
    </row>
    <row r="660">
      <c r="A660" s="552"/>
      <c r="B660" s="552"/>
      <c r="N660" s="535"/>
      <c r="O660" s="558"/>
      <c r="R660" s="535"/>
      <c r="S660" s="558"/>
      <c r="V660" s="535"/>
      <c r="W660" s="558"/>
      <c r="Z660" s="535"/>
      <c r="AA660" s="558"/>
      <c r="AD660" s="535"/>
      <c r="AE660" s="558"/>
      <c r="AH660" s="535"/>
      <c r="AI660" s="558"/>
      <c r="AL660" s="535"/>
      <c r="AP660" s="535"/>
    </row>
    <row r="661">
      <c r="A661" s="552"/>
      <c r="B661" s="552"/>
      <c r="N661" s="535"/>
      <c r="O661" s="558"/>
      <c r="R661" s="535"/>
      <c r="S661" s="558"/>
      <c r="V661" s="535"/>
      <c r="W661" s="558"/>
      <c r="Z661" s="535"/>
      <c r="AA661" s="558"/>
      <c r="AD661" s="535"/>
      <c r="AE661" s="558"/>
      <c r="AH661" s="535"/>
      <c r="AI661" s="558"/>
      <c r="AL661" s="535"/>
      <c r="AP661" s="535"/>
    </row>
    <row r="662">
      <c r="A662" s="552"/>
      <c r="B662" s="552"/>
      <c r="N662" s="535"/>
      <c r="O662" s="558"/>
      <c r="R662" s="535"/>
      <c r="S662" s="558"/>
      <c r="V662" s="535"/>
      <c r="W662" s="558"/>
      <c r="Z662" s="535"/>
      <c r="AA662" s="558"/>
      <c r="AD662" s="535"/>
      <c r="AE662" s="558"/>
      <c r="AH662" s="535"/>
      <c r="AI662" s="558"/>
      <c r="AL662" s="535"/>
      <c r="AP662" s="535"/>
    </row>
    <row r="663">
      <c r="A663" s="552"/>
      <c r="B663" s="552"/>
      <c r="N663" s="535"/>
      <c r="O663" s="558"/>
      <c r="R663" s="535"/>
      <c r="S663" s="558"/>
      <c r="V663" s="535"/>
      <c r="W663" s="558"/>
      <c r="Z663" s="535"/>
      <c r="AA663" s="558"/>
      <c r="AD663" s="535"/>
      <c r="AE663" s="558"/>
      <c r="AH663" s="535"/>
      <c r="AI663" s="558"/>
      <c r="AL663" s="535"/>
      <c r="AP663" s="535"/>
    </row>
    <row r="664">
      <c r="A664" s="552"/>
      <c r="B664" s="552"/>
      <c r="N664" s="535"/>
      <c r="O664" s="558"/>
      <c r="R664" s="535"/>
      <c r="S664" s="558"/>
      <c r="V664" s="535"/>
      <c r="W664" s="558"/>
      <c r="Z664" s="535"/>
      <c r="AA664" s="558"/>
      <c r="AD664" s="535"/>
      <c r="AE664" s="558"/>
      <c r="AH664" s="535"/>
      <c r="AI664" s="558"/>
      <c r="AL664" s="535"/>
      <c r="AP664" s="535"/>
    </row>
    <row r="665">
      <c r="A665" s="552"/>
      <c r="B665" s="552"/>
      <c r="N665" s="535"/>
      <c r="O665" s="558"/>
      <c r="R665" s="535"/>
      <c r="S665" s="558"/>
      <c r="V665" s="535"/>
      <c r="W665" s="558"/>
      <c r="Z665" s="535"/>
      <c r="AA665" s="558"/>
      <c r="AD665" s="535"/>
      <c r="AE665" s="558"/>
      <c r="AH665" s="535"/>
      <c r="AI665" s="558"/>
      <c r="AL665" s="535"/>
      <c r="AP665" s="535"/>
    </row>
    <row r="666">
      <c r="A666" s="552"/>
      <c r="B666" s="552"/>
      <c r="N666" s="535"/>
      <c r="O666" s="558"/>
      <c r="R666" s="535"/>
      <c r="S666" s="558"/>
      <c r="V666" s="535"/>
      <c r="W666" s="558"/>
      <c r="Z666" s="535"/>
      <c r="AA666" s="558"/>
      <c r="AD666" s="535"/>
      <c r="AE666" s="558"/>
      <c r="AH666" s="535"/>
      <c r="AI666" s="558"/>
      <c r="AL666" s="535"/>
      <c r="AP666" s="535"/>
    </row>
    <row r="667">
      <c r="A667" s="552"/>
      <c r="B667" s="552"/>
      <c r="N667" s="535"/>
      <c r="O667" s="558"/>
      <c r="R667" s="535"/>
      <c r="S667" s="558"/>
      <c r="V667" s="535"/>
      <c r="W667" s="558"/>
      <c r="Z667" s="535"/>
      <c r="AA667" s="558"/>
      <c r="AD667" s="535"/>
      <c r="AE667" s="558"/>
      <c r="AH667" s="535"/>
      <c r="AI667" s="558"/>
      <c r="AL667" s="535"/>
      <c r="AP667" s="535"/>
    </row>
    <row r="668">
      <c r="A668" s="552"/>
      <c r="B668" s="552"/>
      <c r="N668" s="535"/>
      <c r="O668" s="558"/>
      <c r="R668" s="535"/>
      <c r="S668" s="558"/>
      <c r="V668" s="535"/>
      <c r="W668" s="558"/>
      <c r="Z668" s="535"/>
      <c r="AA668" s="558"/>
      <c r="AD668" s="535"/>
      <c r="AE668" s="558"/>
      <c r="AH668" s="535"/>
      <c r="AI668" s="558"/>
      <c r="AL668" s="535"/>
      <c r="AP668" s="535"/>
    </row>
    <row r="669">
      <c r="A669" s="552"/>
      <c r="B669" s="552"/>
      <c r="N669" s="535"/>
      <c r="O669" s="558"/>
      <c r="R669" s="535"/>
      <c r="S669" s="558"/>
      <c r="V669" s="535"/>
      <c r="W669" s="558"/>
      <c r="Z669" s="535"/>
      <c r="AA669" s="558"/>
      <c r="AD669" s="535"/>
      <c r="AE669" s="558"/>
      <c r="AH669" s="535"/>
      <c r="AI669" s="558"/>
      <c r="AL669" s="535"/>
      <c r="AP669" s="535"/>
    </row>
    <row r="670">
      <c r="A670" s="552"/>
      <c r="B670" s="552"/>
      <c r="N670" s="535"/>
      <c r="O670" s="558"/>
      <c r="R670" s="535"/>
      <c r="S670" s="558"/>
      <c r="V670" s="535"/>
      <c r="W670" s="558"/>
      <c r="Z670" s="535"/>
      <c r="AA670" s="558"/>
      <c r="AD670" s="535"/>
      <c r="AE670" s="558"/>
      <c r="AH670" s="535"/>
      <c r="AI670" s="558"/>
      <c r="AL670" s="535"/>
      <c r="AP670" s="535"/>
    </row>
    <row r="671">
      <c r="A671" s="552"/>
      <c r="B671" s="552"/>
      <c r="N671" s="535"/>
      <c r="O671" s="558"/>
      <c r="R671" s="535"/>
      <c r="S671" s="558"/>
      <c r="V671" s="535"/>
      <c r="W671" s="558"/>
      <c r="Z671" s="535"/>
      <c r="AA671" s="558"/>
      <c r="AD671" s="535"/>
      <c r="AE671" s="558"/>
      <c r="AH671" s="535"/>
      <c r="AI671" s="558"/>
      <c r="AL671" s="535"/>
      <c r="AP671" s="535"/>
    </row>
    <row r="672">
      <c r="A672" s="552"/>
      <c r="B672" s="552"/>
      <c r="N672" s="535"/>
      <c r="O672" s="558"/>
      <c r="R672" s="535"/>
      <c r="S672" s="558"/>
      <c r="V672" s="535"/>
      <c r="W672" s="558"/>
      <c r="Z672" s="535"/>
      <c r="AA672" s="558"/>
      <c r="AD672" s="535"/>
      <c r="AE672" s="558"/>
      <c r="AH672" s="535"/>
      <c r="AI672" s="558"/>
      <c r="AL672" s="535"/>
      <c r="AP672" s="535"/>
    </row>
    <row r="673">
      <c r="A673" s="552"/>
      <c r="B673" s="552"/>
      <c r="N673" s="535"/>
      <c r="O673" s="558"/>
      <c r="R673" s="535"/>
      <c r="S673" s="558"/>
      <c r="V673" s="535"/>
      <c r="W673" s="558"/>
      <c r="Z673" s="535"/>
      <c r="AA673" s="558"/>
      <c r="AD673" s="535"/>
      <c r="AE673" s="558"/>
      <c r="AH673" s="535"/>
      <c r="AI673" s="558"/>
      <c r="AL673" s="535"/>
      <c r="AP673" s="535"/>
    </row>
    <row r="674">
      <c r="A674" s="552"/>
      <c r="B674" s="552"/>
      <c r="N674" s="535"/>
      <c r="O674" s="558"/>
      <c r="R674" s="535"/>
      <c r="S674" s="558"/>
      <c r="V674" s="535"/>
      <c r="W674" s="558"/>
      <c r="Z674" s="535"/>
      <c r="AA674" s="558"/>
      <c r="AD674" s="535"/>
      <c r="AE674" s="558"/>
      <c r="AH674" s="535"/>
      <c r="AI674" s="558"/>
      <c r="AL674" s="535"/>
      <c r="AP674" s="535"/>
    </row>
    <row r="675">
      <c r="A675" s="552"/>
      <c r="B675" s="552"/>
      <c r="N675" s="535"/>
      <c r="O675" s="558"/>
      <c r="R675" s="535"/>
      <c r="S675" s="558"/>
      <c r="V675" s="535"/>
      <c r="W675" s="558"/>
      <c r="Z675" s="535"/>
      <c r="AA675" s="558"/>
      <c r="AD675" s="535"/>
      <c r="AE675" s="558"/>
      <c r="AH675" s="535"/>
      <c r="AI675" s="558"/>
      <c r="AL675" s="535"/>
      <c r="AP675" s="535"/>
    </row>
    <row r="676">
      <c r="A676" s="552"/>
      <c r="B676" s="552"/>
      <c r="N676" s="535"/>
      <c r="O676" s="558"/>
      <c r="R676" s="535"/>
      <c r="S676" s="558"/>
      <c r="V676" s="535"/>
      <c r="W676" s="558"/>
      <c r="Z676" s="535"/>
      <c r="AA676" s="558"/>
      <c r="AD676" s="535"/>
      <c r="AE676" s="558"/>
      <c r="AH676" s="535"/>
      <c r="AI676" s="558"/>
      <c r="AL676" s="535"/>
      <c r="AP676" s="535"/>
    </row>
    <row r="677">
      <c r="A677" s="552"/>
      <c r="B677" s="552"/>
      <c r="N677" s="535"/>
      <c r="O677" s="558"/>
      <c r="R677" s="535"/>
      <c r="S677" s="558"/>
      <c r="V677" s="535"/>
      <c r="W677" s="558"/>
      <c r="Z677" s="535"/>
      <c r="AA677" s="558"/>
      <c r="AD677" s="535"/>
      <c r="AE677" s="558"/>
      <c r="AH677" s="535"/>
      <c r="AI677" s="558"/>
      <c r="AL677" s="535"/>
      <c r="AP677" s="535"/>
    </row>
    <row r="678">
      <c r="A678" s="552"/>
      <c r="B678" s="552"/>
      <c r="N678" s="535"/>
      <c r="O678" s="558"/>
      <c r="R678" s="535"/>
      <c r="S678" s="558"/>
      <c r="V678" s="535"/>
      <c r="W678" s="558"/>
      <c r="Z678" s="535"/>
      <c r="AA678" s="558"/>
      <c r="AD678" s="535"/>
      <c r="AE678" s="558"/>
      <c r="AH678" s="535"/>
      <c r="AI678" s="558"/>
      <c r="AL678" s="535"/>
      <c r="AP678" s="535"/>
    </row>
    <row r="679">
      <c r="A679" s="552"/>
      <c r="B679" s="552"/>
      <c r="N679" s="535"/>
      <c r="O679" s="558"/>
      <c r="R679" s="535"/>
      <c r="S679" s="558"/>
      <c r="V679" s="535"/>
      <c r="W679" s="558"/>
      <c r="Z679" s="535"/>
      <c r="AA679" s="558"/>
      <c r="AD679" s="535"/>
      <c r="AE679" s="558"/>
      <c r="AH679" s="535"/>
      <c r="AI679" s="558"/>
      <c r="AL679" s="535"/>
      <c r="AP679" s="535"/>
    </row>
    <row r="680">
      <c r="A680" s="552"/>
      <c r="B680" s="552"/>
      <c r="N680" s="535"/>
      <c r="O680" s="558"/>
      <c r="R680" s="535"/>
      <c r="S680" s="558"/>
      <c r="V680" s="535"/>
      <c r="W680" s="558"/>
      <c r="Z680" s="535"/>
      <c r="AA680" s="558"/>
      <c r="AD680" s="535"/>
      <c r="AE680" s="558"/>
      <c r="AH680" s="535"/>
      <c r="AI680" s="558"/>
      <c r="AL680" s="535"/>
      <c r="AP680" s="535"/>
    </row>
    <row r="681">
      <c r="A681" s="552"/>
      <c r="B681" s="552"/>
      <c r="N681" s="535"/>
      <c r="O681" s="558"/>
      <c r="R681" s="535"/>
      <c r="S681" s="558"/>
      <c r="V681" s="535"/>
      <c r="W681" s="558"/>
      <c r="Z681" s="535"/>
      <c r="AA681" s="558"/>
      <c r="AD681" s="535"/>
      <c r="AE681" s="558"/>
      <c r="AH681" s="535"/>
      <c r="AI681" s="558"/>
      <c r="AL681" s="535"/>
      <c r="AP681" s="535"/>
    </row>
    <row r="682">
      <c r="A682" s="552"/>
      <c r="B682" s="552"/>
      <c r="N682" s="535"/>
      <c r="O682" s="558"/>
      <c r="R682" s="535"/>
      <c r="S682" s="558"/>
      <c r="V682" s="535"/>
      <c r="W682" s="558"/>
      <c r="Z682" s="535"/>
      <c r="AA682" s="558"/>
      <c r="AD682" s="535"/>
      <c r="AE682" s="558"/>
      <c r="AH682" s="535"/>
      <c r="AI682" s="558"/>
      <c r="AL682" s="535"/>
      <c r="AP682" s="535"/>
    </row>
    <row r="683">
      <c r="A683" s="552"/>
      <c r="B683" s="552"/>
      <c r="N683" s="535"/>
      <c r="O683" s="558"/>
      <c r="R683" s="535"/>
      <c r="S683" s="558"/>
      <c r="V683" s="535"/>
      <c r="W683" s="558"/>
      <c r="Z683" s="535"/>
      <c r="AA683" s="558"/>
      <c r="AD683" s="535"/>
      <c r="AE683" s="558"/>
      <c r="AH683" s="535"/>
      <c r="AI683" s="558"/>
      <c r="AL683" s="535"/>
      <c r="AP683" s="535"/>
    </row>
    <row r="684">
      <c r="A684" s="552"/>
      <c r="B684" s="552"/>
      <c r="N684" s="535"/>
      <c r="O684" s="558"/>
      <c r="R684" s="535"/>
      <c r="S684" s="558"/>
      <c r="V684" s="535"/>
      <c r="W684" s="558"/>
      <c r="Z684" s="535"/>
      <c r="AA684" s="558"/>
      <c r="AD684" s="535"/>
      <c r="AE684" s="558"/>
      <c r="AH684" s="535"/>
      <c r="AI684" s="558"/>
      <c r="AL684" s="535"/>
      <c r="AP684" s="535"/>
    </row>
    <row r="685">
      <c r="A685" s="552"/>
      <c r="B685" s="552"/>
      <c r="N685" s="535"/>
      <c r="O685" s="558"/>
      <c r="R685" s="535"/>
      <c r="S685" s="558"/>
      <c r="V685" s="535"/>
      <c r="W685" s="558"/>
      <c r="Z685" s="535"/>
      <c r="AA685" s="558"/>
      <c r="AD685" s="535"/>
      <c r="AE685" s="558"/>
      <c r="AH685" s="535"/>
      <c r="AI685" s="558"/>
      <c r="AL685" s="535"/>
      <c r="AP685" s="535"/>
    </row>
    <row r="686">
      <c r="A686" s="552"/>
      <c r="B686" s="552"/>
      <c r="N686" s="535"/>
      <c r="O686" s="558"/>
      <c r="R686" s="535"/>
      <c r="S686" s="558"/>
      <c r="V686" s="535"/>
      <c r="W686" s="558"/>
      <c r="Z686" s="535"/>
      <c r="AA686" s="558"/>
      <c r="AD686" s="535"/>
      <c r="AE686" s="558"/>
      <c r="AH686" s="535"/>
      <c r="AI686" s="558"/>
      <c r="AL686" s="535"/>
      <c r="AP686" s="535"/>
    </row>
    <row r="687">
      <c r="A687" s="552"/>
      <c r="B687" s="552"/>
      <c r="N687" s="535"/>
      <c r="O687" s="558"/>
      <c r="R687" s="535"/>
      <c r="S687" s="558"/>
      <c r="V687" s="535"/>
      <c r="W687" s="558"/>
      <c r="Z687" s="535"/>
      <c r="AA687" s="558"/>
      <c r="AD687" s="535"/>
      <c r="AE687" s="558"/>
      <c r="AH687" s="535"/>
      <c r="AI687" s="558"/>
      <c r="AL687" s="535"/>
      <c r="AP687" s="535"/>
    </row>
    <row r="688">
      <c r="A688" s="552"/>
      <c r="B688" s="552"/>
      <c r="N688" s="535"/>
      <c r="O688" s="558"/>
      <c r="R688" s="535"/>
      <c r="S688" s="558"/>
      <c r="V688" s="535"/>
      <c r="W688" s="558"/>
      <c r="Z688" s="535"/>
      <c r="AA688" s="558"/>
      <c r="AD688" s="535"/>
      <c r="AE688" s="558"/>
      <c r="AH688" s="535"/>
      <c r="AI688" s="558"/>
      <c r="AL688" s="535"/>
      <c r="AP688" s="535"/>
    </row>
    <row r="689">
      <c r="A689" s="552"/>
      <c r="B689" s="552"/>
      <c r="N689" s="535"/>
      <c r="O689" s="558"/>
      <c r="R689" s="535"/>
      <c r="S689" s="558"/>
      <c r="V689" s="535"/>
      <c r="W689" s="558"/>
      <c r="Z689" s="535"/>
      <c r="AA689" s="558"/>
      <c r="AD689" s="535"/>
      <c r="AE689" s="558"/>
      <c r="AH689" s="535"/>
      <c r="AI689" s="558"/>
      <c r="AL689" s="535"/>
      <c r="AP689" s="535"/>
    </row>
    <row r="690">
      <c r="A690" s="552"/>
      <c r="B690" s="552"/>
      <c r="N690" s="535"/>
      <c r="O690" s="558"/>
      <c r="R690" s="535"/>
      <c r="S690" s="558"/>
      <c r="V690" s="535"/>
      <c r="W690" s="558"/>
      <c r="Z690" s="535"/>
      <c r="AA690" s="558"/>
      <c r="AD690" s="535"/>
      <c r="AE690" s="558"/>
      <c r="AH690" s="535"/>
      <c r="AI690" s="558"/>
      <c r="AL690" s="535"/>
      <c r="AP690" s="535"/>
    </row>
    <row r="691">
      <c r="A691" s="552"/>
      <c r="B691" s="552"/>
      <c r="N691" s="535"/>
      <c r="O691" s="558"/>
      <c r="R691" s="535"/>
      <c r="S691" s="558"/>
      <c r="V691" s="535"/>
      <c r="W691" s="558"/>
      <c r="Z691" s="535"/>
      <c r="AA691" s="558"/>
      <c r="AD691" s="535"/>
      <c r="AE691" s="558"/>
      <c r="AH691" s="535"/>
      <c r="AI691" s="558"/>
      <c r="AL691" s="535"/>
      <c r="AP691" s="535"/>
    </row>
    <row r="692">
      <c r="A692" s="552"/>
      <c r="B692" s="552"/>
      <c r="N692" s="535"/>
      <c r="O692" s="558"/>
      <c r="R692" s="535"/>
      <c r="S692" s="558"/>
      <c r="V692" s="535"/>
      <c r="W692" s="558"/>
      <c r="Z692" s="535"/>
      <c r="AA692" s="558"/>
      <c r="AD692" s="535"/>
      <c r="AE692" s="558"/>
      <c r="AH692" s="535"/>
      <c r="AI692" s="558"/>
      <c r="AL692" s="535"/>
      <c r="AP692" s="535"/>
    </row>
    <row r="693">
      <c r="A693" s="552"/>
      <c r="B693" s="552"/>
      <c r="N693" s="535"/>
      <c r="O693" s="558"/>
      <c r="R693" s="535"/>
      <c r="S693" s="558"/>
      <c r="V693" s="535"/>
      <c r="W693" s="558"/>
      <c r="Z693" s="535"/>
      <c r="AA693" s="558"/>
      <c r="AD693" s="535"/>
      <c r="AE693" s="558"/>
      <c r="AH693" s="535"/>
      <c r="AI693" s="558"/>
      <c r="AL693" s="535"/>
      <c r="AP693" s="535"/>
    </row>
    <row r="694">
      <c r="A694" s="552"/>
      <c r="B694" s="552"/>
      <c r="N694" s="535"/>
      <c r="O694" s="558"/>
      <c r="R694" s="535"/>
      <c r="S694" s="558"/>
      <c r="V694" s="535"/>
      <c r="W694" s="558"/>
      <c r="Z694" s="535"/>
      <c r="AA694" s="558"/>
      <c r="AD694" s="535"/>
      <c r="AE694" s="558"/>
      <c r="AH694" s="535"/>
      <c r="AI694" s="558"/>
      <c r="AL694" s="535"/>
      <c r="AP694" s="535"/>
    </row>
    <row r="695">
      <c r="A695" s="552"/>
      <c r="B695" s="552"/>
      <c r="N695" s="535"/>
      <c r="O695" s="558"/>
      <c r="R695" s="535"/>
      <c r="S695" s="558"/>
      <c r="V695" s="535"/>
      <c r="W695" s="558"/>
      <c r="Z695" s="535"/>
      <c r="AA695" s="558"/>
      <c r="AD695" s="535"/>
      <c r="AE695" s="558"/>
      <c r="AH695" s="535"/>
      <c r="AI695" s="558"/>
      <c r="AL695" s="535"/>
      <c r="AP695" s="535"/>
    </row>
    <row r="696">
      <c r="A696" s="552"/>
      <c r="B696" s="552"/>
      <c r="N696" s="535"/>
      <c r="O696" s="558"/>
      <c r="R696" s="535"/>
      <c r="S696" s="558"/>
      <c r="V696" s="535"/>
      <c r="W696" s="558"/>
      <c r="Z696" s="535"/>
      <c r="AA696" s="558"/>
      <c r="AD696" s="535"/>
      <c r="AE696" s="558"/>
      <c r="AH696" s="535"/>
      <c r="AI696" s="558"/>
      <c r="AL696" s="535"/>
      <c r="AP696" s="535"/>
    </row>
    <row r="697">
      <c r="A697" s="552"/>
      <c r="B697" s="552"/>
      <c r="N697" s="535"/>
      <c r="O697" s="558"/>
      <c r="R697" s="535"/>
      <c r="S697" s="558"/>
      <c r="V697" s="535"/>
      <c r="W697" s="558"/>
      <c r="Z697" s="535"/>
      <c r="AA697" s="558"/>
      <c r="AD697" s="535"/>
      <c r="AE697" s="558"/>
      <c r="AH697" s="535"/>
      <c r="AI697" s="558"/>
      <c r="AL697" s="535"/>
      <c r="AP697" s="535"/>
    </row>
    <row r="698">
      <c r="A698" s="552"/>
      <c r="B698" s="552"/>
      <c r="N698" s="535"/>
      <c r="O698" s="558"/>
      <c r="R698" s="535"/>
      <c r="S698" s="558"/>
      <c r="V698" s="535"/>
      <c r="W698" s="558"/>
      <c r="Z698" s="535"/>
      <c r="AA698" s="558"/>
      <c r="AD698" s="535"/>
      <c r="AE698" s="558"/>
      <c r="AH698" s="535"/>
      <c r="AI698" s="558"/>
      <c r="AL698" s="535"/>
      <c r="AP698" s="535"/>
    </row>
    <row r="699">
      <c r="A699" s="552"/>
      <c r="B699" s="552"/>
      <c r="N699" s="535"/>
      <c r="O699" s="558"/>
      <c r="R699" s="535"/>
      <c r="S699" s="558"/>
      <c r="V699" s="535"/>
      <c r="W699" s="558"/>
      <c r="Z699" s="535"/>
      <c r="AA699" s="558"/>
      <c r="AD699" s="535"/>
      <c r="AE699" s="558"/>
      <c r="AH699" s="535"/>
      <c r="AI699" s="558"/>
      <c r="AL699" s="535"/>
      <c r="AP699" s="535"/>
    </row>
    <row r="700">
      <c r="A700" s="552"/>
      <c r="B700" s="552"/>
      <c r="N700" s="535"/>
      <c r="O700" s="558"/>
      <c r="R700" s="535"/>
      <c r="S700" s="558"/>
      <c r="V700" s="535"/>
      <c r="W700" s="558"/>
      <c r="Z700" s="535"/>
      <c r="AA700" s="558"/>
      <c r="AD700" s="535"/>
      <c r="AE700" s="558"/>
      <c r="AH700" s="535"/>
      <c r="AI700" s="558"/>
      <c r="AL700" s="535"/>
      <c r="AP700" s="535"/>
    </row>
    <row r="701">
      <c r="A701" s="552"/>
      <c r="B701" s="552"/>
      <c r="N701" s="535"/>
      <c r="O701" s="558"/>
      <c r="R701" s="535"/>
      <c r="S701" s="558"/>
      <c r="V701" s="535"/>
      <c r="W701" s="558"/>
      <c r="Z701" s="535"/>
      <c r="AA701" s="558"/>
      <c r="AD701" s="535"/>
      <c r="AE701" s="558"/>
      <c r="AH701" s="535"/>
      <c r="AI701" s="558"/>
      <c r="AL701" s="535"/>
      <c r="AP701" s="535"/>
    </row>
    <row r="702">
      <c r="A702" s="552"/>
      <c r="B702" s="552"/>
      <c r="N702" s="535"/>
      <c r="O702" s="558"/>
      <c r="R702" s="535"/>
      <c r="S702" s="558"/>
      <c r="V702" s="535"/>
      <c r="W702" s="558"/>
      <c r="Z702" s="535"/>
      <c r="AA702" s="558"/>
      <c r="AD702" s="535"/>
      <c r="AE702" s="558"/>
      <c r="AH702" s="535"/>
      <c r="AI702" s="558"/>
      <c r="AL702" s="535"/>
      <c r="AP702" s="535"/>
    </row>
    <row r="703">
      <c r="A703" s="552"/>
      <c r="B703" s="552"/>
      <c r="N703" s="535"/>
      <c r="O703" s="558"/>
      <c r="R703" s="535"/>
      <c r="S703" s="558"/>
      <c r="V703" s="535"/>
      <c r="W703" s="558"/>
      <c r="Z703" s="535"/>
      <c r="AA703" s="558"/>
      <c r="AD703" s="535"/>
      <c r="AE703" s="558"/>
      <c r="AH703" s="535"/>
      <c r="AI703" s="558"/>
      <c r="AL703" s="535"/>
      <c r="AP703" s="535"/>
    </row>
    <row r="704">
      <c r="A704" s="552"/>
      <c r="B704" s="552"/>
      <c r="N704" s="535"/>
      <c r="O704" s="558"/>
      <c r="R704" s="535"/>
      <c r="S704" s="558"/>
      <c r="V704" s="535"/>
      <c r="W704" s="558"/>
      <c r="Z704" s="535"/>
      <c r="AA704" s="558"/>
      <c r="AD704" s="535"/>
      <c r="AE704" s="558"/>
      <c r="AH704" s="535"/>
      <c r="AI704" s="558"/>
      <c r="AL704" s="535"/>
      <c r="AP704" s="535"/>
    </row>
    <row r="705">
      <c r="A705" s="552"/>
      <c r="B705" s="552"/>
      <c r="N705" s="535"/>
      <c r="O705" s="558"/>
      <c r="R705" s="535"/>
      <c r="S705" s="558"/>
      <c r="V705" s="535"/>
      <c r="W705" s="558"/>
      <c r="Z705" s="535"/>
      <c r="AA705" s="558"/>
      <c r="AD705" s="535"/>
      <c r="AE705" s="558"/>
      <c r="AH705" s="535"/>
      <c r="AI705" s="558"/>
      <c r="AL705" s="535"/>
      <c r="AP705" s="535"/>
    </row>
    <row r="706">
      <c r="A706" s="552"/>
      <c r="B706" s="552"/>
      <c r="N706" s="535"/>
      <c r="O706" s="558"/>
      <c r="R706" s="535"/>
      <c r="S706" s="558"/>
      <c r="V706" s="535"/>
      <c r="W706" s="558"/>
      <c r="Z706" s="535"/>
      <c r="AA706" s="558"/>
      <c r="AD706" s="535"/>
      <c r="AE706" s="558"/>
      <c r="AH706" s="535"/>
      <c r="AI706" s="558"/>
      <c r="AL706" s="535"/>
      <c r="AP706" s="535"/>
    </row>
    <row r="707">
      <c r="A707" s="552"/>
      <c r="B707" s="552"/>
      <c r="N707" s="535"/>
      <c r="O707" s="558"/>
      <c r="R707" s="535"/>
      <c r="S707" s="558"/>
      <c r="V707" s="535"/>
      <c r="W707" s="558"/>
      <c r="Z707" s="535"/>
      <c r="AA707" s="558"/>
      <c r="AD707" s="535"/>
      <c r="AE707" s="558"/>
      <c r="AH707" s="535"/>
      <c r="AI707" s="558"/>
      <c r="AL707" s="535"/>
      <c r="AP707" s="535"/>
    </row>
    <row r="708">
      <c r="A708" s="552"/>
      <c r="B708" s="552"/>
      <c r="N708" s="535"/>
      <c r="O708" s="558"/>
      <c r="R708" s="535"/>
      <c r="S708" s="558"/>
      <c r="V708" s="535"/>
      <c r="W708" s="558"/>
      <c r="Z708" s="535"/>
      <c r="AA708" s="558"/>
      <c r="AD708" s="535"/>
      <c r="AE708" s="558"/>
      <c r="AH708" s="535"/>
      <c r="AI708" s="558"/>
      <c r="AL708" s="535"/>
      <c r="AP708" s="535"/>
    </row>
    <row r="709">
      <c r="A709" s="552"/>
      <c r="B709" s="552"/>
      <c r="N709" s="535"/>
      <c r="O709" s="558"/>
      <c r="R709" s="535"/>
      <c r="S709" s="558"/>
      <c r="V709" s="535"/>
      <c r="W709" s="558"/>
      <c r="Z709" s="535"/>
      <c r="AA709" s="558"/>
      <c r="AD709" s="535"/>
      <c r="AE709" s="558"/>
      <c r="AH709" s="535"/>
      <c r="AI709" s="558"/>
      <c r="AL709" s="535"/>
      <c r="AP709" s="535"/>
    </row>
    <row r="710">
      <c r="A710" s="552"/>
      <c r="B710" s="552"/>
      <c r="N710" s="535"/>
      <c r="O710" s="558"/>
      <c r="R710" s="535"/>
      <c r="S710" s="558"/>
      <c r="V710" s="535"/>
      <c r="W710" s="558"/>
      <c r="Z710" s="535"/>
      <c r="AA710" s="558"/>
      <c r="AD710" s="535"/>
      <c r="AE710" s="558"/>
      <c r="AH710" s="535"/>
      <c r="AI710" s="558"/>
      <c r="AL710" s="535"/>
      <c r="AP710" s="535"/>
    </row>
    <row r="711">
      <c r="A711" s="552"/>
      <c r="B711" s="552"/>
      <c r="N711" s="535"/>
      <c r="O711" s="558"/>
      <c r="R711" s="535"/>
      <c r="S711" s="558"/>
      <c r="V711" s="535"/>
      <c r="W711" s="558"/>
      <c r="Z711" s="535"/>
      <c r="AA711" s="558"/>
      <c r="AD711" s="535"/>
      <c r="AE711" s="558"/>
      <c r="AH711" s="535"/>
      <c r="AI711" s="558"/>
      <c r="AL711" s="535"/>
      <c r="AP711" s="535"/>
    </row>
    <row r="712">
      <c r="A712" s="552"/>
      <c r="B712" s="552"/>
      <c r="N712" s="535"/>
      <c r="O712" s="558"/>
      <c r="R712" s="535"/>
      <c r="S712" s="558"/>
      <c r="V712" s="535"/>
      <c r="W712" s="558"/>
      <c r="Z712" s="535"/>
      <c r="AA712" s="558"/>
      <c r="AD712" s="535"/>
      <c r="AE712" s="558"/>
      <c r="AH712" s="535"/>
      <c r="AI712" s="558"/>
      <c r="AL712" s="535"/>
      <c r="AP712" s="535"/>
    </row>
    <row r="713">
      <c r="A713" s="552"/>
      <c r="B713" s="552"/>
      <c r="N713" s="535"/>
      <c r="O713" s="558"/>
      <c r="R713" s="535"/>
      <c r="S713" s="558"/>
      <c r="V713" s="535"/>
      <c r="W713" s="558"/>
      <c r="Z713" s="535"/>
      <c r="AA713" s="558"/>
      <c r="AD713" s="535"/>
      <c r="AE713" s="558"/>
      <c r="AH713" s="535"/>
      <c r="AI713" s="558"/>
      <c r="AL713" s="535"/>
      <c r="AP713" s="535"/>
    </row>
    <row r="714">
      <c r="A714" s="552"/>
      <c r="B714" s="552"/>
      <c r="N714" s="535"/>
      <c r="O714" s="558"/>
      <c r="R714" s="535"/>
      <c r="S714" s="558"/>
      <c r="V714" s="535"/>
      <c r="W714" s="558"/>
      <c r="Z714" s="535"/>
      <c r="AA714" s="558"/>
      <c r="AD714" s="535"/>
      <c r="AE714" s="558"/>
      <c r="AH714" s="535"/>
      <c r="AI714" s="558"/>
      <c r="AL714" s="535"/>
      <c r="AP714" s="535"/>
    </row>
    <row r="715">
      <c r="A715" s="552"/>
      <c r="B715" s="552"/>
      <c r="N715" s="535"/>
      <c r="O715" s="558"/>
      <c r="R715" s="535"/>
      <c r="S715" s="558"/>
      <c r="V715" s="535"/>
      <c r="W715" s="558"/>
      <c r="Z715" s="535"/>
      <c r="AA715" s="558"/>
      <c r="AD715" s="535"/>
      <c r="AE715" s="558"/>
      <c r="AH715" s="535"/>
      <c r="AI715" s="558"/>
      <c r="AL715" s="535"/>
      <c r="AP715" s="535"/>
    </row>
    <row r="716">
      <c r="A716" s="552"/>
      <c r="B716" s="552"/>
      <c r="N716" s="535"/>
      <c r="O716" s="558"/>
      <c r="R716" s="535"/>
      <c r="S716" s="558"/>
      <c r="V716" s="535"/>
      <c r="W716" s="558"/>
      <c r="Z716" s="535"/>
      <c r="AA716" s="558"/>
      <c r="AD716" s="535"/>
      <c r="AE716" s="558"/>
      <c r="AH716" s="535"/>
      <c r="AI716" s="558"/>
      <c r="AL716" s="535"/>
      <c r="AP716" s="535"/>
    </row>
    <row r="717">
      <c r="A717" s="552"/>
      <c r="B717" s="552"/>
      <c r="N717" s="535"/>
      <c r="O717" s="558"/>
      <c r="R717" s="535"/>
      <c r="S717" s="558"/>
      <c r="V717" s="535"/>
      <c r="W717" s="558"/>
      <c r="Z717" s="535"/>
      <c r="AA717" s="558"/>
      <c r="AD717" s="535"/>
      <c r="AE717" s="558"/>
      <c r="AH717" s="535"/>
      <c r="AI717" s="558"/>
      <c r="AL717" s="535"/>
      <c r="AP717" s="535"/>
    </row>
    <row r="718">
      <c r="A718" s="552"/>
      <c r="B718" s="552"/>
      <c r="N718" s="535"/>
      <c r="O718" s="558"/>
      <c r="R718" s="535"/>
      <c r="S718" s="558"/>
      <c r="V718" s="535"/>
      <c r="W718" s="558"/>
      <c r="Z718" s="535"/>
      <c r="AA718" s="558"/>
      <c r="AD718" s="535"/>
      <c r="AE718" s="558"/>
      <c r="AH718" s="535"/>
      <c r="AI718" s="558"/>
      <c r="AL718" s="535"/>
      <c r="AP718" s="535"/>
    </row>
    <row r="719">
      <c r="A719" s="552"/>
      <c r="B719" s="552"/>
      <c r="N719" s="535"/>
      <c r="O719" s="558"/>
      <c r="R719" s="535"/>
      <c r="S719" s="558"/>
      <c r="V719" s="535"/>
      <c r="W719" s="558"/>
      <c r="Z719" s="535"/>
      <c r="AA719" s="558"/>
      <c r="AD719" s="535"/>
      <c r="AE719" s="558"/>
      <c r="AH719" s="535"/>
      <c r="AI719" s="558"/>
      <c r="AL719" s="535"/>
      <c r="AP719" s="535"/>
    </row>
    <row r="720">
      <c r="A720" s="552"/>
      <c r="B720" s="552"/>
      <c r="N720" s="535"/>
      <c r="O720" s="558"/>
      <c r="R720" s="535"/>
      <c r="S720" s="558"/>
      <c r="V720" s="535"/>
      <c r="W720" s="558"/>
      <c r="Z720" s="535"/>
      <c r="AA720" s="558"/>
      <c r="AD720" s="535"/>
      <c r="AE720" s="558"/>
      <c r="AH720" s="535"/>
      <c r="AI720" s="558"/>
      <c r="AL720" s="535"/>
      <c r="AP720" s="535"/>
    </row>
    <row r="721">
      <c r="A721" s="552"/>
      <c r="B721" s="552"/>
      <c r="N721" s="535"/>
      <c r="O721" s="558"/>
      <c r="R721" s="535"/>
      <c r="S721" s="558"/>
      <c r="V721" s="535"/>
      <c r="W721" s="558"/>
      <c r="Z721" s="535"/>
      <c r="AA721" s="558"/>
      <c r="AD721" s="535"/>
      <c r="AE721" s="558"/>
      <c r="AH721" s="535"/>
      <c r="AI721" s="558"/>
      <c r="AL721" s="535"/>
      <c r="AP721" s="535"/>
    </row>
    <row r="722">
      <c r="A722" s="552"/>
      <c r="B722" s="552"/>
      <c r="N722" s="535"/>
      <c r="O722" s="558"/>
      <c r="R722" s="535"/>
      <c r="S722" s="558"/>
      <c r="V722" s="535"/>
      <c r="W722" s="558"/>
      <c r="Z722" s="535"/>
      <c r="AA722" s="558"/>
      <c r="AD722" s="535"/>
      <c r="AE722" s="558"/>
      <c r="AH722" s="535"/>
      <c r="AI722" s="558"/>
      <c r="AL722" s="535"/>
      <c r="AP722" s="535"/>
    </row>
    <row r="723">
      <c r="A723" s="552"/>
      <c r="B723" s="552"/>
      <c r="N723" s="535"/>
      <c r="O723" s="558"/>
      <c r="R723" s="535"/>
      <c r="S723" s="558"/>
      <c r="V723" s="535"/>
      <c r="W723" s="558"/>
      <c r="Z723" s="535"/>
      <c r="AA723" s="558"/>
      <c r="AD723" s="535"/>
      <c r="AE723" s="558"/>
      <c r="AH723" s="535"/>
      <c r="AI723" s="558"/>
      <c r="AL723" s="535"/>
      <c r="AP723" s="535"/>
    </row>
    <row r="724">
      <c r="A724" s="552"/>
      <c r="B724" s="552"/>
      <c r="N724" s="535"/>
      <c r="O724" s="558"/>
      <c r="R724" s="535"/>
      <c r="S724" s="558"/>
      <c r="V724" s="535"/>
      <c r="W724" s="558"/>
      <c r="Z724" s="535"/>
      <c r="AA724" s="558"/>
      <c r="AD724" s="535"/>
      <c r="AE724" s="558"/>
      <c r="AH724" s="535"/>
      <c r="AI724" s="558"/>
      <c r="AL724" s="535"/>
      <c r="AP724" s="535"/>
    </row>
    <row r="725">
      <c r="A725" s="552"/>
      <c r="B725" s="552"/>
      <c r="N725" s="535"/>
      <c r="O725" s="558"/>
      <c r="R725" s="535"/>
      <c r="S725" s="558"/>
      <c r="V725" s="535"/>
      <c r="W725" s="558"/>
      <c r="Z725" s="535"/>
      <c r="AA725" s="558"/>
      <c r="AD725" s="535"/>
      <c r="AE725" s="558"/>
      <c r="AH725" s="535"/>
      <c r="AI725" s="558"/>
      <c r="AL725" s="535"/>
      <c r="AP725" s="535"/>
    </row>
    <row r="726">
      <c r="A726" s="552"/>
      <c r="B726" s="552"/>
      <c r="N726" s="535"/>
      <c r="O726" s="558"/>
      <c r="R726" s="535"/>
      <c r="S726" s="558"/>
      <c r="V726" s="535"/>
      <c r="W726" s="558"/>
      <c r="Z726" s="535"/>
      <c r="AA726" s="558"/>
      <c r="AD726" s="535"/>
      <c r="AE726" s="558"/>
      <c r="AH726" s="535"/>
      <c r="AI726" s="558"/>
      <c r="AL726" s="535"/>
      <c r="AP726" s="535"/>
    </row>
    <row r="727">
      <c r="A727" s="552"/>
      <c r="B727" s="552"/>
      <c r="N727" s="535"/>
      <c r="O727" s="558"/>
      <c r="R727" s="535"/>
      <c r="S727" s="558"/>
      <c r="V727" s="535"/>
      <c r="W727" s="558"/>
      <c r="Z727" s="535"/>
      <c r="AA727" s="558"/>
      <c r="AD727" s="535"/>
      <c r="AE727" s="558"/>
      <c r="AH727" s="535"/>
      <c r="AI727" s="558"/>
      <c r="AL727" s="535"/>
      <c r="AP727" s="535"/>
    </row>
    <row r="728">
      <c r="A728" s="552"/>
      <c r="B728" s="552"/>
      <c r="N728" s="535"/>
      <c r="O728" s="558"/>
      <c r="R728" s="535"/>
      <c r="S728" s="558"/>
      <c r="V728" s="535"/>
      <c r="W728" s="558"/>
      <c r="Z728" s="535"/>
      <c r="AA728" s="558"/>
      <c r="AD728" s="535"/>
      <c r="AE728" s="558"/>
      <c r="AH728" s="535"/>
      <c r="AI728" s="558"/>
      <c r="AL728" s="535"/>
      <c r="AP728" s="535"/>
    </row>
    <row r="729">
      <c r="A729" s="552"/>
      <c r="B729" s="552"/>
      <c r="N729" s="535"/>
      <c r="O729" s="558"/>
      <c r="R729" s="535"/>
      <c r="S729" s="558"/>
      <c r="V729" s="535"/>
      <c r="W729" s="558"/>
      <c r="Z729" s="535"/>
      <c r="AA729" s="558"/>
      <c r="AD729" s="535"/>
      <c r="AE729" s="558"/>
      <c r="AH729" s="535"/>
      <c r="AI729" s="558"/>
      <c r="AL729" s="535"/>
      <c r="AP729" s="535"/>
    </row>
    <row r="730">
      <c r="A730" s="552"/>
      <c r="B730" s="552"/>
      <c r="N730" s="535"/>
      <c r="O730" s="558"/>
      <c r="R730" s="535"/>
      <c r="S730" s="558"/>
      <c r="V730" s="535"/>
      <c r="W730" s="558"/>
      <c r="Z730" s="535"/>
      <c r="AA730" s="558"/>
      <c r="AD730" s="535"/>
      <c r="AE730" s="558"/>
      <c r="AH730" s="535"/>
      <c r="AI730" s="558"/>
      <c r="AL730" s="535"/>
      <c r="AP730" s="535"/>
    </row>
    <row r="731">
      <c r="A731" s="552"/>
      <c r="B731" s="552"/>
      <c r="N731" s="535"/>
      <c r="O731" s="558"/>
      <c r="R731" s="535"/>
      <c r="S731" s="558"/>
      <c r="V731" s="535"/>
      <c r="W731" s="558"/>
      <c r="Z731" s="535"/>
      <c r="AA731" s="558"/>
      <c r="AD731" s="535"/>
      <c r="AE731" s="558"/>
      <c r="AH731" s="535"/>
      <c r="AI731" s="558"/>
      <c r="AL731" s="535"/>
      <c r="AP731" s="535"/>
    </row>
    <row r="732">
      <c r="A732" s="552"/>
      <c r="B732" s="552"/>
      <c r="N732" s="535"/>
      <c r="O732" s="558"/>
      <c r="R732" s="535"/>
      <c r="S732" s="558"/>
      <c r="V732" s="535"/>
      <c r="W732" s="558"/>
      <c r="Z732" s="535"/>
      <c r="AA732" s="558"/>
      <c r="AD732" s="535"/>
      <c r="AE732" s="558"/>
      <c r="AH732" s="535"/>
      <c r="AI732" s="558"/>
      <c r="AL732" s="535"/>
      <c r="AP732" s="535"/>
    </row>
    <row r="733">
      <c r="A733" s="552"/>
      <c r="B733" s="552"/>
      <c r="N733" s="535"/>
      <c r="O733" s="558"/>
      <c r="R733" s="535"/>
      <c r="S733" s="558"/>
      <c r="V733" s="535"/>
      <c r="W733" s="558"/>
      <c r="Z733" s="535"/>
      <c r="AA733" s="558"/>
      <c r="AD733" s="535"/>
      <c r="AE733" s="558"/>
      <c r="AH733" s="535"/>
      <c r="AI733" s="558"/>
      <c r="AL733" s="535"/>
      <c r="AP733" s="535"/>
    </row>
    <row r="734">
      <c r="A734" s="552"/>
      <c r="B734" s="552"/>
      <c r="N734" s="535"/>
      <c r="O734" s="558"/>
      <c r="R734" s="535"/>
      <c r="S734" s="558"/>
      <c r="V734" s="535"/>
      <c r="W734" s="558"/>
      <c r="Z734" s="535"/>
      <c r="AA734" s="558"/>
      <c r="AD734" s="535"/>
      <c r="AE734" s="558"/>
      <c r="AH734" s="535"/>
      <c r="AI734" s="558"/>
      <c r="AL734" s="535"/>
      <c r="AP734" s="535"/>
    </row>
    <row r="735">
      <c r="A735" s="552"/>
      <c r="B735" s="552"/>
      <c r="N735" s="535"/>
      <c r="O735" s="558"/>
      <c r="R735" s="535"/>
      <c r="S735" s="558"/>
      <c r="V735" s="535"/>
      <c r="W735" s="558"/>
      <c r="Z735" s="535"/>
      <c r="AA735" s="558"/>
      <c r="AD735" s="535"/>
      <c r="AE735" s="558"/>
      <c r="AH735" s="535"/>
      <c r="AI735" s="558"/>
      <c r="AL735" s="535"/>
      <c r="AP735" s="535"/>
    </row>
    <row r="736">
      <c r="A736" s="552"/>
      <c r="B736" s="552"/>
      <c r="N736" s="535"/>
      <c r="O736" s="558"/>
      <c r="R736" s="535"/>
      <c r="S736" s="558"/>
      <c r="V736" s="535"/>
      <c r="W736" s="558"/>
      <c r="Z736" s="535"/>
      <c r="AA736" s="558"/>
      <c r="AD736" s="535"/>
      <c r="AE736" s="558"/>
      <c r="AH736" s="535"/>
      <c r="AI736" s="558"/>
      <c r="AL736" s="535"/>
      <c r="AP736" s="535"/>
    </row>
    <row r="737">
      <c r="A737" s="552"/>
      <c r="B737" s="552"/>
      <c r="N737" s="535"/>
      <c r="O737" s="558"/>
      <c r="R737" s="535"/>
      <c r="S737" s="558"/>
      <c r="V737" s="535"/>
      <c r="W737" s="558"/>
      <c r="Z737" s="535"/>
      <c r="AA737" s="558"/>
      <c r="AD737" s="535"/>
      <c r="AE737" s="558"/>
      <c r="AH737" s="535"/>
      <c r="AI737" s="558"/>
      <c r="AL737" s="535"/>
      <c r="AP737" s="535"/>
    </row>
    <row r="738">
      <c r="A738" s="552"/>
      <c r="B738" s="552"/>
      <c r="N738" s="535"/>
      <c r="O738" s="558"/>
      <c r="R738" s="535"/>
      <c r="S738" s="558"/>
      <c r="V738" s="535"/>
      <c r="W738" s="558"/>
      <c r="Z738" s="535"/>
      <c r="AA738" s="558"/>
      <c r="AD738" s="535"/>
      <c r="AE738" s="558"/>
      <c r="AH738" s="535"/>
      <c r="AI738" s="558"/>
      <c r="AL738" s="535"/>
      <c r="AP738" s="535"/>
    </row>
    <row r="739">
      <c r="A739" s="552"/>
      <c r="B739" s="552"/>
      <c r="N739" s="535"/>
      <c r="O739" s="558"/>
      <c r="R739" s="535"/>
      <c r="S739" s="558"/>
      <c r="V739" s="535"/>
      <c r="W739" s="558"/>
      <c r="Z739" s="535"/>
      <c r="AA739" s="558"/>
      <c r="AD739" s="535"/>
      <c r="AE739" s="558"/>
      <c r="AH739" s="535"/>
      <c r="AI739" s="558"/>
      <c r="AL739" s="535"/>
      <c r="AP739" s="535"/>
    </row>
    <row r="740">
      <c r="A740" s="552"/>
      <c r="B740" s="552"/>
      <c r="N740" s="535"/>
      <c r="O740" s="558"/>
      <c r="R740" s="535"/>
      <c r="S740" s="558"/>
      <c r="V740" s="535"/>
      <c r="W740" s="558"/>
      <c r="Z740" s="535"/>
      <c r="AA740" s="558"/>
      <c r="AD740" s="535"/>
      <c r="AE740" s="558"/>
      <c r="AH740" s="535"/>
      <c r="AI740" s="558"/>
      <c r="AL740" s="535"/>
      <c r="AP740" s="535"/>
    </row>
    <row r="741">
      <c r="A741" s="552"/>
      <c r="B741" s="552"/>
      <c r="N741" s="535"/>
      <c r="O741" s="558"/>
      <c r="R741" s="535"/>
      <c r="S741" s="558"/>
      <c r="V741" s="535"/>
      <c r="W741" s="558"/>
      <c r="Z741" s="535"/>
      <c r="AA741" s="558"/>
      <c r="AD741" s="535"/>
      <c r="AE741" s="558"/>
      <c r="AH741" s="535"/>
      <c r="AI741" s="558"/>
      <c r="AL741" s="535"/>
      <c r="AP741" s="535"/>
    </row>
    <row r="742">
      <c r="A742" s="552"/>
      <c r="B742" s="552"/>
      <c r="N742" s="535"/>
      <c r="O742" s="558"/>
      <c r="R742" s="535"/>
      <c r="S742" s="558"/>
      <c r="V742" s="535"/>
      <c r="W742" s="558"/>
      <c r="Z742" s="535"/>
      <c r="AA742" s="558"/>
      <c r="AD742" s="535"/>
      <c r="AE742" s="558"/>
      <c r="AH742" s="535"/>
      <c r="AI742" s="558"/>
      <c r="AL742" s="535"/>
      <c r="AP742" s="535"/>
    </row>
    <row r="743">
      <c r="A743" s="552"/>
      <c r="B743" s="552"/>
      <c r="N743" s="535"/>
      <c r="O743" s="558"/>
      <c r="R743" s="535"/>
      <c r="S743" s="558"/>
      <c r="V743" s="535"/>
      <c r="W743" s="558"/>
      <c r="Z743" s="535"/>
      <c r="AA743" s="558"/>
      <c r="AD743" s="535"/>
      <c r="AE743" s="558"/>
      <c r="AH743" s="535"/>
      <c r="AI743" s="558"/>
      <c r="AL743" s="535"/>
      <c r="AP743" s="535"/>
    </row>
    <row r="744">
      <c r="A744" s="552"/>
      <c r="B744" s="552"/>
      <c r="N744" s="535"/>
      <c r="O744" s="558"/>
      <c r="R744" s="535"/>
      <c r="S744" s="558"/>
      <c r="V744" s="535"/>
      <c r="W744" s="558"/>
      <c r="Z744" s="535"/>
      <c r="AA744" s="558"/>
      <c r="AD744" s="535"/>
      <c r="AE744" s="558"/>
      <c r="AH744" s="535"/>
      <c r="AI744" s="558"/>
      <c r="AL744" s="535"/>
      <c r="AP744" s="535"/>
    </row>
    <row r="745">
      <c r="A745" s="552"/>
      <c r="B745" s="552"/>
      <c r="N745" s="535"/>
      <c r="O745" s="558"/>
      <c r="R745" s="535"/>
      <c r="S745" s="558"/>
      <c r="V745" s="535"/>
      <c r="W745" s="558"/>
      <c r="Z745" s="535"/>
      <c r="AA745" s="558"/>
      <c r="AD745" s="535"/>
      <c r="AE745" s="558"/>
      <c r="AH745" s="535"/>
      <c r="AI745" s="558"/>
      <c r="AL745" s="535"/>
      <c r="AP745" s="535"/>
    </row>
    <row r="746">
      <c r="A746" s="552"/>
      <c r="B746" s="552"/>
      <c r="N746" s="535"/>
      <c r="O746" s="558"/>
      <c r="R746" s="535"/>
      <c r="S746" s="558"/>
      <c r="V746" s="535"/>
      <c r="W746" s="558"/>
      <c r="Z746" s="535"/>
      <c r="AA746" s="558"/>
      <c r="AD746" s="535"/>
      <c r="AE746" s="558"/>
      <c r="AH746" s="535"/>
      <c r="AI746" s="558"/>
      <c r="AL746" s="535"/>
      <c r="AP746" s="535"/>
    </row>
    <row r="747">
      <c r="A747" s="552"/>
      <c r="B747" s="552"/>
      <c r="N747" s="535"/>
      <c r="O747" s="558"/>
      <c r="R747" s="535"/>
      <c r="S747" s="558"/>
      <c r="V747" s="535"/>
      <c r="W747" s="558"/>
      <c r="Z747" s="535"/>
      <c r="AA747" s="558"/>
      <c r="AD747" s="535"/>
      <c r="AE747" s="558"/>
      <c r="AH747" s="535"/>
      <c r="AI747" s="558"/>
      <c r="AL747" s="535"/>
      <c r="AP747" s="535"/>
    </row>
    <row r="748">
      <c r="A748" s="552"/>
      <c r="B748" s="552"/>
      <c r="N748" s="535"/>
      <c r="O748" s="558"/>
      <c r="R748" s="535"/>
      <c r="S748" s="558"/>
      <c r="V748" s="535"/>
      <c r="W748" s="558"/>
      <c r="Z748" s="535"/>
      <c r="AA748" s="558"/>
      <c r="AD748" s="535"/>
      <c r="AE748" s="558"/>
      <c r="AH748" s="535"/>
      <c r="AI748" s="558"/>
      <c r="AL748" s="535"/>
      <c r="AP748" s="535"/>
    </row>
    <row r="749">
      <c r="A749" s="552"/>
      <c r="B749" s="552"/>
      <c r="N749" s="535"/>
      <c r="O749" s="558"/>
      <c r="R749" s="535"/>
      <c r="S749" s="558"/>
      <c r="V749" s="535"/>
      <c r="W749" s="558"/>
      <c r="Z749" s="535"/>
      <c r="AA749" s="558"/>
      <c r="AD749" s="535"/>
      <c r="AE749" s="558"/>
      <c r="AH749" s="535"/>
      <c r="AI749" s="558"/>
      <c r="AL749" s="535"/>
      <c r="AP749" s="535"/>
    </row>
    <row r="750">
      <c r="A750" s="552"/>
      <c r="B750" s="552"/>
      <c r="N750" s="535"/>
      <c r="O750" s="558"/>
      <c r="R750" s="535"/>
      <c r="S750" s="558"/>
      <c r="V750" s="535"/>
      <c r="W750" s="558"/>
      <c r="Z750" s="535"/>
      <c r="AA750" s="558"/>
      <c r="AD750" s="535"/>
      <c r="AE750" s="558"/>
      <c r="AH750" s="535"/>
      <c r="AI750" s="558"/>
      <c r="AL750" s="535"/>
      <c r="AP750" s="535"/>
    </row>
    <row r="751">
      <c r="A751" s="552"/>
      <c r="B751" s="552"/>
      <c r="N751" s="535"/>
      <c r="O751" s="558"/>
      <c r="R751" s="535"/>
      <c r="S751" s="558"/>
      <c r="V751" s="535"/>
      <c r="W751" s="558"/>
      <c r="Z751" s="535"/>
      <c r="AA751" s="558"/>
      <c r="AD751" s="535"/>
      <c r="AE751" s="558"/>
      <c r="AH751" s="535"/>
      <c r="AI751" s="558"/>
      <c r="AL751" s="535"/>
      <c r="AP751" s="535"/>
    </row>
    <row r="752">
      <c r="A752" s="552"/>
      <c r="B752" s="552"/>
      <c r="N752" s="535"/>
      <c r="O752" s="558"/>
      <c r="R752" s="535"/>
      <c r="S752" s="558"/>
      <c r="V752" s="535"/>
      <c r="W752" s="558"/>
      <c r="Z752" s="535"/>
      <c r="AA752" s="558"/>
      <c r="AD752" s="535"/>
      <c r="AE752" s="558"/>
      <c r="AH752" s="535"/>
      <c r="AI752" s="558"/>
      <c r="AL752" s="535"/>
      <c r="AP752" s="535"/>
    </row>
    <row r="753">
      <c r="A753" s="552"/>
      <c r="B753" s="552"/>
      <c r="N753" s="535"/>
      <c r="O753" s="558"/>
      <c r="R753" s="535"/>
      <c r="S753" s="558"/>
      <c r="V753" s="535"/>
      <c r="W753" s="558"/>
      <c r="Z753" s="535"/>
      <c r="AA753" s="558"/>
      <c r="AD753" s="535"/>
      <c r="AE753" s="558"/>
      <c r="AH753" s="535"/>
      <c r="AI753" s="558"/>
      <c r="AL753" s="535"/>
      <c r="AP753" s="535"/>
    </row>
    <row r="754">
      <c r="A754" s="552"/>
      <c r="B754" s="552"/>
      <c r="N754" s="535"/>
      <c r="O754" s="558"/>
      <c r="R754" s="535"/>
      <c r="S754" s="558"/>
      <c r="V754" s="535"/>
      <c r="W754" s="558"/>
      <c r="Z754" s="535"/>
      <c r="AA754" s="558"/>
      <c r="AD754" s="535"/>
      <c r="AE754" s="558"/>
      <c r="AH754" s="535"/>
      <c r="AI754" s="558"/>
      <c r="AL754" s="535"/>
      <c r="AP754" s="535"/>
    </row>
    <row r="755">
      <c r="A755" s="552"/>
      <c r="B755" s="552"/>
      <c r="N755" s="535"/>
      <c r="O755" s="558"/>
      <c r="R755" s="535"/>
      <c r="S755" s="558"/>
      <c r="V755" s="535"/>
      <c r="W755" s="558"/>
      <c r="Z755" s="535"/>
      <c r="AA755" s="558"/>
      <c r="AD755" s="535"/>
      <c r="AE755" s="558"/>
      <c r="AH755" s="535"/>
      <c r="AI755" s="558"/>
      <c r="AL755" s="535"/>
      <c r="AP755" s="535"/>
    </row>
    <row r="756">
      <c r="A756" s="552"/>
      <c r="B756" s="552"/>
      <c r="N756" s="535"/>
      <c r="O756" s="558"/>
      <c r="R756" s="535"/>
      <c r="S756" s="558"/>
      <c r="V756" s="535"/>
      <c r="W756" s="558"/>
      <c r="Z756" s="535"/>
      <c r="AA756" s="558"/>
      <c r="AD756" s="535"/>
      <c r="AE756" s="558"/>
      <c r="AH756" s="535"/>
      <c r="AI756" s="558"/>
      <c r="AL756" s="535"/>
      <c r="AP756" s="535"/>
    </row>
    <row r="757">
      <c r="A757" s="552"/>
      <c r="B757" s="552"/>
      <c r="N757" s="535"/>
      <c r="O757" s="558"/>
      <c r="R757" s="535"/>
      <c r="S757" s="558"/>
      <c r="V757" s="535"/>
      <c r="W757" s="558"/>
      <c r="Z757" s="535"/>
      <c r="AA757" s="558"/>
      <c r="AD757" s="535"/>
      <c r="AE757" s="558"/>
      <c r="AH757" s="535"/>
      <c r="AI757" s="558"/>
      <c r="AL757" s="535"/>
      <c r="AP757" s="535"/>
    </row>
    <row r="758">
      <c r="A758" s="552"/>
      <c r="B758" s="552"/>
      <c r="N758" s="535"/>
      <c r="O758" s="558"/>
      <c r="R758" s="535"/>
      <c r="S758" s="558"/>
      <c r="V758" s="535"/>
      <c r="W758" s="558"/>
      <c r="Z758" s="535"/>
      <c r="AA758" s="558"/>
      <c r="AD758" s="535"/>
      <c r="AE758" s="558"/>
      <c r="AH758" s="535"/>
      <c r="AI758" s="558"/>
      <c r="AL758" s="535"/>
      <c r="AP758" s="535"/>
    </row>
    <row r="759">
      <c r="A759" s="552"/>
      <c r="B759" s="552"/>
      <c r="N759" s="535"/>
      <c r="O759" s="558"/>
      <c r="R759" s="535"/>
      <c r="S759" s="558"/>
      <c r="V759" s="535"/>
      <c r="W759" s="558"/>
      <c r="Z759" s="535"/>
      <c r="AA759" s="558"/>
      <c r="AD759" s="535"/>
      <c r="AE759" s="558"/>
      <c r="AH759" s="535"/>
      <c r="AI759" s="558"/>
      <c r="AL759" s="535"/>
      <c r="AP759" s="535"/>
    </row>
    <row r="760">
      <c r="A760" s="552"/>
      <c r="B760" s="552"/>
      <c r="N760" s="535"/>
      <c r="O760" s="558"/>
      <c r="R760" s="535"/>
      <c r="S760" s="558"/>
      <c r="V760" s="535"/>
      <c r="W760" s="558"/>
      <c r="Z760" s="535"/>
      <c r="AA760" s="558"/>
      <c r="AD760" s="535"/>
      <c r="AE760" s="558"/>
      <c r="AH760" s="535"/>
      <c r="AI760" s="558"/>
      <c r="AL760" s="535"/>
      <c r="AP760" s="535"/>
    </row>
    <row r="761">
      <c r="A761" s="552"/>
      <c r="B761" s="552"/>
      <c r="N761" s="535"/>
      <c r="O761" s="558"/>
      <c r="R761" s="535"/>
      <c r="S761" s="558"/>
      <c r="V761" s="535"/>
      <c r="W761" s="558"/>
      <c r="Z761" s="535"/>
      <c r="AA761" s="558"/>
      <c r="AD761" s="535"/>
      <c r="AE761" s="558"/>
      <c r="AH761" s="535"/>
      <c r="AI761" s="558"/>
      <c r="AL761" s="535"/>
      <c r="AP761" s="535"/>
    </row>
    <row r="762">
      <c r="A762" s="552"/>
      <c r="B762" s="552"/>
      <c r="N762" s="535"/>
      <c r="O762" s="558"/>
      <c r="R762" s="535"/>
      <c r="S762" s="558"/>
      <c r="V762" s="535"/>
      <c r="W762" s="558"/>
      <c r="Z762" s="535"/>
      <c r="AA762" s="558"/>
      <c r="AD762" s="535"/>
      <c r="AE762" s="558"/>
      <c r="AH762" s="535"/>
      <c r="AI762" s="558"/>
      <c r="AL762" s="535"/>
      <c r="AP762" s="535"/>
    </row>
    <row r="763">
      <c r="A763" s="552"/>
      <c r="B763" s="552"/>
      <c r="N763" s="535"/>
      <c r="O763" s="558"/>
      <c r="R763" s="535"/>
      <c r="S763" s="558"/>
      <c r="V763" s="535"/>
      <c r="W763" s="558"/>
      <c r="Z763" s="535"/>
      <c r="AA763" s="558"/>
      <c r="AD763" s="535"/>
      <c r="AE763" s="558"/>
      <c r="AH763" s="535"/>
      <c r="AI763" s="558"/>
      <c r="AL763" s="535"/>
      <c r="AP763" s="535"/>
    </row>
    <row r="764">
      <c r="A764" s="552"/>
      <c r="B764" s="552"/>
      <c r="N764" s="535"/>
      <c r="O764" s="558"/>
      <c r="R764" s="535"/>
      <c r="S764" s="558"/>
      <c r="V764" s="535"/>
      <c r="W764" s="558"/>
      <c r="Z764" s="535"/>
      <c r="AA764" s="558"/>
      <c r="AD764" s="535"/>
      <c r="AE764" s="558"/>
      <c r="AH764" s="535"/>
      <c r="AI764" s="558"/>
      <c r="AL764" s="535"/>
      <c r="AP764" s="535"/>
    </row>
    <row r="765">
      <c r="A765" s="552"/>
      <c r="B765" s="552"/>
      <c r="N765" s="535"/>
      <c r="O765" s="558"/>
      <c r="R765" s="535"/>
      <c r="S765" s="558"/>
      <c r="V765" s="535"/>
      <c r="W765" s="558"/>
      <c r="Z765" s="535"/>
      <c r="AA765" s="558"/>
      <c r="AD765" s="535"/>
      <c r="AE765" s="558"/>
      <c r="AH765" s="535"/>
      <c r="AI765" s="558"/>
      <c r="AL765" s="535"/>
      <c r="AP765" s="535"/>
    </row>
    <row r="766">
      <c r="A766" s="552"/>
      <c r="B766" s="552"/>
      <c r="N766" s="535"/>
      <c r="O766" s="558"/>
      <c r="R766" s="535"/>
      <c r="S766" s="558"/>
      <c r="V766" s="535"/>
      <c r="W766" s="558"/>
      <c r="Z766" s="535"/>
      <c r="AA766" s="558"/>
      <c r="AD766" s="535"/>
      <c r="AE766" s="558"/>
      <c r="AH766" s="535"/>
      <c r="AI766" s="558"/>
      <c r="AL766" s="535"/>
      <c r="AP766" s="535"/>
    </row>
    <row r="767">
      <c r="A767" s="552"/>
      <c r="B767" s="552"/>
      <c r="N767" s="535"/>
      <c r="O767" s="558"/>
      <c r="R767" s="535"/>
      <c r="S767" s="558"/>
      <c r="V767" s="535"/>
      <c r="W767" s="558"/>
      <c r="Z767" s="535"/>
      <c r="AA767" s="558"/>
      <c r="AD767" s="535"/>
      <c r="AE767" s="558"/>
      <c r="AH767" s="535"/>
      <c r="AI767" s="558"/>
      <c r="AL767" s="535"/>
      <c r="AP767" s="535"/>
    </row>
    <row r="768">
      <c r="A768" s="552"/>
      <c r="B768" s="552"/>
      <c r="N768" s="535"/>
      <c r="O768" s="558"/>
      <c r="R768" s="535"/>
      <c r="S768" s="558"/>
      <c r="V768" s="535"/>
      <c r="W768" s="558"/>
      <c r="Z768" s="535"/>
      <c r="AA768" s="558"/>
      <c r="AD768" s="535"/>
      <c r="AE768" s="558"/>
      <c r="AH768" s="535"/>
      <c r="AI768" s="558"/>
      <c r="AL768" s="535"/>
      <c r="AP768" s="535"/>
    </row>
    <row r="769">
      <c r="A769" s="552"/>
      <c r="B769" s="552"/>
      <c r="N769" s="535"/>
      <c r="O769" s="558"/>
      <c r="R769" s="535"/>
      <c r="S769" s="558"/>
      <c r="V769" s="535"/>
      <c r="W769" s="558"/>
      <c r="Z769" s="535"/>
      <c r="AA769" s="558"/>
      <c r="AD769" s="535"/>
      <c r="AE769" s="558"/>
      <c r="AH769" s="535"/>
      <c r="AI769" s="558"/>
      <c r="AL769" s="535"/>
      <c r="AP769" s="535"/>
    </row>
    <row r="770">
      <c r="A770" s="552"/>
      <c r="B770" s="552"/>
      <c r="N770" s="535"/>
      <c r="O770" s="558"/>
      <c r="R770" s="535"/>
      <c r="S770" s="558"/>
      <c r="V770" s="535"/>
      <c r="W770" s="558"/>
      <c r="Z770" s="535"/>
      <c r="AA770" s="558"/>
      <c r="AD770" s="535"/>
      <c r="AE770" s="558"/>
      <c r="AH770" s="535"/>
      <c r="AI770" s="558"/>
      <c r="AL770" s="535"/>
      <c r="AP770" s="535"/>
    </row>
    <row r="771">
      <c r="A771" s="552"/>
      <c r="B771" s="552"/>
      <c r="N771" s="535"/>
      <c r="O771" s="558"/>
      <c r="R771" s="535"/>
      <c r="S771" s="558"/>
      <c r="V771" s="535"/>
      <c r="W771" s="558"/>
      <c r="Z771" s="535"/>
      <c r="AA771" s="558"/>
      <c r="AD771" s="535"/>
      <c r="AE771" s="558"/>
      <c r="AH771" s="535"/>
      <c r="AI771" s="558"/>
      <c r="AL771" s="535"/>
      <c r="AP771" s="535"/>
    </row>
    <row r="772">
      <c r="A772" s="552"/>
      <c r="B772" s="552"/>
      <c r="N772" s="535"/>
      <c r="O772" s="558"/>
      <c r="R772" s="535"/>
      <c r="S772" s="558"/>
      <c r="V772" s="535"/>
      <c r="W772" s="558"/>
      <c r="Z772" s="535"/>
      <c r="AA772" s="558"/>
      <c r="AD772" s="535"/>
      <c r="AE772" s="558"/>
      <c r="AH772" s="535"/>
      <c r="AI772" s="558"/>
      <c r="AL772" s="535"/>
      <c r="AP772" s="535"/>
    </row>
    <row r="773">
      <c r="A773" s="552"/>
      <c r="B773" s="552"/>
      <c r="N773" s="535"/>
      <c r="O773" s="558"/>
      <c r="R773" s="535"/>
      <c r="S773" s="558"/>
      <c r="V773" s="535"/>
      <c r="W773" s="558"/>
      <c r="Z773" s="535"/>
      <c r="AA773" s="558"/>
      <c r="AD773" s="535"/>
      <c r="AE773" s="558"/>
      <c r="AH773" s="535"/>
      <c r="AI773" s="558"/>
      <c r="AL773" s="535"/>
      <c r="AP773" s="535"/>
    </row>
    <row r="774">
      <c r="A774" s="552"/>
      <c r="B774" s="552"/>
      <c r="N774" s="535"/>
      <c r="O774" s="558"/>
      <c r="R774" s="535"/>
      <c r="S774" s="558"/>
      <c r="V774" s="535"/>
      <c r="W774" s="558"/>
      <c r="Z774" s="535"/>
      <c r="AA774" s="558"/>
      <c r="AD774" s="535"/>
      <c r="AE774" s="558"/>
      <c r="AH774" s="535"/>
      <c r="AI774" s="558"/>
      <c r="AL774" s="535"/>
      <c r="AP774" s="535"/>
    </row>
    <row r="775">
      <c r="A775" s="552"/>
      <c r="B775" s="552"/>
      <c r="N775" s="535"/>
      <c r="O775" s="558"/>
      <c r="R775" s="535"/>
      <c r="S775" s="558"/>
      <c r="V775" s="535"/>
      <c r="W775" s="558"/>
      <c r="Z775" s="535"/>
      <c r="AA775" s="558"/>
      <c r="AD775" s="535"/>
      <c r="AE775" s="558"/>
      <c r="AH775" s="535"/>
      <c r="AI775" s="558"/>
      <c r="AL775" s="535"/>
      <c r="AP775" s="535"/>
    </row>
    <row r="776">
      <c r="A776" s="552"/>
      <c r="B776" s="552"/>
      <c r="N776" s="535"/>
      <c r="O776" s="558"/>
      <c r="R776" s="535"/>
      <c r="S776" s="558"/>
      <c r="V776" s="535"/>
      <c r="W776" s="558"/>
      <c r="Z776" s="535"/>
      <c r="AA776" s="558"/>
      <c r="AD776" s="535"/>
      <c r="AE776" s="558"/>
      <c r="AH776" s="535"/>
      <c r="AI776" s="558"/>
      <c r="AL776" s="535"/>
      <c r="AP776" s="535"/>
    </row>
    <row r="777">
      <c r="A777" s="552"/>
      <c r="B777" s="552"/>
      <c r="N777" s="535"/>
      <c r="O777" s="558"/>
      <c r="R777" s="535"/>
      <c r="S777" s="558"/>
      <c r="V777" s="535"/>
      <c r="W777" s="558"/>
      <c r="Z777" s="535"/>
      <c r="AA777" s="558"/>
      <c r="AD777" s="535"/>
      <c r="AE777" s="558"/>
      <c r="AH777" s="535"/>
      <c r="AI777" s="558"/>
      <c r="AL777" s="535"/>
      <c r="AP777" s="535"/>
    </row>
    <row r="778">
      <c r="A778" s="552"/>
      <c r="B778" s="552"/>
      <c r="N778" s="535"/>
      <c r="O778" s="558"/>
      <c r="R778" s="535"/>
      <c r="S778" s="558"/>
      <c r="V778" s="535"/>
      <c r="W778" s="558"/>
      <c r="Z778" s="535"/>
      <c r="AA778" s="558"/>
      <c r="AD778" s="535"/>
      <c r="AE778" s="558"/>
      <c r="AH778" s="535"/>
      <c r="AI778" s="558"/>
      <c r="AL778" s="535"/>
      <c r="AP778" s="535"/>
    </row>
    <row r="779">
      <c r="A779" s="552"/>
      <c r="B779" s="552"/>
      <c r="N779" s="535"/>
      <c r="O779" s="558"/>
      <c r="R779" s="535"/>
      <c r="S779" s="558"/>
      <c r="V779" s="535"/>
      <c r="W779" s="558"/>
      <c r="Z779" s="535"/>
      <c r="AA779" s="558"/>
      <c r="AD779" s="535"/>
      <c r="AE779" s="558"/>
      <c r="AH779" s="535"/>
      <c r="AI779" s="558"/>
      <c r="AL779" s="535"/>
      <c r="AP779" s="535"/>
    </row>
    <row r="780">
      <c r="A780" s="552"/>
      <c r="B780" s="552"/>
      <c r="N780" s="535"/>
      <c r="O780" s="558"/>
      <c r="R780" s="535"/>
      <c r="S780" s="558"/>
      <c r="V780" s="535"/>
      <c r="W780" s="558"/>
      <c r="Z780" s="535"/>
      <c r="AA780" s="558"/>
      <c r="AD780" s="535"/>
      <c r="AE780" s="558"/>
      <c r="AH780" s="535"/>
      <c r="AI780" s="558"/>
      <c r="AL780" s="535"/>
      <c r="AP780" s="535"/>
    </row>
    <row r="781">
      <c r="A781" s="552"/>
      <c r="B781" s="552"/>
      <c r="N781" s="535"/>
      <c r="O781" s="558"/>
      <c r="R781" s="535"/>
      <c r="S781" s="558"/>
      <c r="V781" s="535"/>
      <c r="W781" s="558"/>
      <c r="Z781" s="535"/>
      <c r="AA781" s="558"/>
      <c r="AD781" s="535"/>
      <c r="AE781" s="558"/>
      <c r="AH781" s="535"/>
      <c r="AI781" s="558"/>
      <c r="AL781" s="535"/>
      <c r="AP781" s="535"/>
    </row>
    <row r="782">
      <c r="A782" s="552"/>
      <c r="B782" s="552"/>
      <c r="N782" s="535"/>
      <c r="O782" s="558"/>
      <c r="R782" s="535"/>
      <c r="S782" s="558"/>
      <c r="V782" s="535"/>
      <c r="W782" s="558"/>
      <c r="Z782" s="535"/>
      <c r="AA782" s="558"/>
      <c r="AD782" s="535"/>
      <c r="AE782" s="558"/>
      <c r="AH782" s="535"/>
      <c r="AI782" s="558"/>
      <c r="AL782" s="535"/>
      <c r="AP782" s="535"/>
    </row>
    <row r="783">
      <c r="A783" s="552"/>
      <c r="B783" s="552"/>
      <c r="N783" s="535"/>
      <c r="O783" s="558"/>
      <c r="R783" s="535"/>
      <c r="S783" s="558"/>
      <c r="V783" s="535"/>
      <c r="W783" s="558"/>
      <c r="Z783" s="535"/>
      <c r="AA783" s="558"/>
      <c r="AD783" s="535"/>
      <c r="AE783" s="558"/>
      <c r="AH783" s="535"/>
      <c r="AI783" s="558"/>
      <c r="AL783" s="535"/>
      <c r="AP783" s="535"/>
    </row>
    <row r="784">
      <c r="A784" s="552"/>
      <c r="B784" s="552"/>
      <c r="N784" s="535"/>
      <c r="O784" s="558"/>
      <c r="R784" s="535"/>
      <c r="S784" s="558"/>
      <c r="V784" s="535"/>
      <c r="W784" s="558"/>
      <c r="Z784" s="535"/>
      <c r="AA784" s="558"/>
      <c r="AD784" s="535"/>
      <c r="AE784" s="558"/>
      <c r="AH784" s="535"/>
      <c r="AI784" s="558"/>
      <c r="AL784" s="535"/>
      <c r="AP784" s="535"/>
    </row>
    <row r="785">
      <c r="A785" s="552"/>
      <c r="B785" s="552"/>
      <c r="N785" s="535"/>
      <c r="O785" s="558"/>
      <c r="R785" s="535"/>
      <c r="S785" s="558"/>
      <c r="V785" s="535"/>
      <c r="W785" s="558"/>
      <c r="Z785" s="535"/>
      <c r="AA785" s="558"/>
      <c r="AD785" s="535"/>
      <c r="AE785" s="558"/>
      <c r="AH785" s="535"/>
      <c r="AI785" s="558"/>
      <c r="AL785" s="535"/>
      <c r="AP785" s="535"/>
    </row>
    <row r="786">
      <c r="A786" s="552"/>
      <c r="B786" s="552"/>
      <c r="N786" s="535"/>
      <c r="O786" s="558"/>
      <c r="R786" s="535"/>
      <c r="S786" s="558"/>
      <c r="V786" s="535"/>
      <c r="W786" s="558"/>
      <c r="Z786" s="535"/>
      <c r="AA786" s="558"/>
      <c r="AD786" s="535"/>
      <c r="AE786" s="558"/>
      <c r="AH786" s="535"/>
      <c r="AI786" s="558"/>
      <c r="AL786" s="535"/>
      <c r="AP786" s="535"/>
    </row>
    <row r="787">
      <c r="A787" s="552"/>
      <c r="B787" s="552"/>
      <c r="N787" s="535"/>
      <c r="O787" s="558"/>
      <c r="R787" s="535"/>
      <c r="S787" s="558"/>
      <c r="V787" s="535"/>
      <c r="W787" s="558"/>
      <c r="Z787" s="535"/>
      <c r="AA787" s="558"/>
      <c r="AD787" s="535"/>
      <c r="AE787" s="558"/>
      <c r="AH787" s="535"/>
      <c r="AI787" s="558"/>
      <c r="AL787" s="535"/>
      <c r="AP787" s="535"/>
    </row>
    <row r="788">
      <c r="A788" s="552"/>
      <c r="B788" s="552"/>
      <c r="N788" s="535"/>
      <c r="O788" s="558"/>
      <c r="R788" s="535"/>
      <c r="S788" s="558"/>
      <c r="V788" s="535"/>
      <c r="W788" s="558"/>
      <c r="Z788" s="535"/>
      <c r="AA788" s="558"/>
      <c r="AD788" s="535"/>
      <c r="AE788" s="558"/>
      <c r="AH788" s="535"/>
      <c r="AI788" s="558"/>
      <c r="AL788" s="535"/>
      <c r="AP788" s="535"/>
    </row>
    <row r="789">
      <c r="A789" s="552"/>
      <c r="B789" s="552"/>
      <c r="N789" s="535"/>
      <c r="O789" s="558"/>
      <c r="R789" s="535"/>
      <c r="S789" s="558"/>
      <c r="V789" s="535"/>
      <c r="W789" s="558"/>
      <c r="Z789" s="535"/>
      <c r="AA789" s="558"/>
      <c r="AD789" s="535"/>
      <c r="AE789" s="558"/>
      <c r="AH789" s="535"/>
      <c r="AI789" s="558"/>
      <c r="AL789" s="535"/>
      <c r="AP789" s="535"/>
    </row>
    <row r="790">
      <c r="A790" s="552"/>
      <c r="B790" s="552"/>
      <c r="N790" s="535"/>
      <c r="O790" s="558"/>
      <c r="R790" s="535"/>
      <c r="S790" s="558"/>
      <c r="V790" s="535"/>
      <c r="W790" s="558"/>
      <c r="Z790" s="535"/>
      <c r="AA790" s="558"/>
      <c r="AD790" s="535"/>
      <c r="AE790" s="558"/>
      <c r="AH790" s="535"/>
      <c r="AI790" s="558"/>
      <c r="AL790" s="535"/>
      <c r="AP790" s="535"/>
    </row>
    <row r="791">
      <c r="A791" s="552"/>
      <c r="B791" s="552"/>
      <c r="N791" s="535"/>
      <c r="O791" s="558"/>
      <c r="R791" s="535"/>
      <c r="S791" s="558"/>
      <c r="V791" s="535"/>
      <c r="W791" s="558"/>
      <c r="Z791" s="535"/>
      <c r="AA791" s="558"/>
      <c r="AD791" s="535"/>
      <c r="AE791" s="558"/>
      <c r="AH791" s="535"/>
      <c r="AI791" s="558"/>
      <c r="AL791" s="535"/>
      <c r="AP791" s="535"/>
    </row>
    <row r="792">
      <c r="A792" s="552"/>
      <c r="B792" s="552"/>
      <c r="N792" s="535"/>
      <c r="O792" s="558"/>
      <c r="R792" s="535"/>
      <c r="S792" s="558"/>
      <c r="V792" s="535"/>
      <c r="W792" s="558"/>
      <c r="Z792" s="535"/>
      <c r="AA792" s="558"/>
      <c r="AD792" s="535"/>
      <c r="AE792" s="558"/>
      <c r="AH792" s="535"/>
      <c r="AI792" s="558"/>
      <c r="AL792" s="535"/>
      <c r="AP792" s="535"/>
    </row>
    <row r="793">
      <c r="A793" s="552"/>
      <c r="B793" s="552"/>
      <c r="N793" s="535"/>
      <c r="O793" s="558"/>
      <c r="R793" s="535"/>
      <c r="S793" s="558"/>
      <c r="V793" s="535"/>
      <c r="W793" s="558"/>
      <c r="Z793" s="535"/>
      <c r="AA793" s="558"/>
      <c r="AD793" s="535"/>
      <c r="AE793" s="558"/>
      <c r="AH793" s="535"/>
      <c r="AI793" s="558"/>
      <c r="AL793" s="535"/>
      <c r="AP793" s="535"/>
    </row>
    <row r="794">
      <c r="A794" s="552"/>
      <c r="B794" s="552"/>
      <c r="N794" s="535"/>
      <c r="O794" s="558"/>
      <c r="R794" s="535"/>
      <c r="S794" s="558"/>
      <c r="V794" s="535"/>
      <c r="W794" s="558"/>
      <c r="Z794" s="535"/>
      <c r="AA794" s="558"/>
      <c r="AD794" s="535"/>
      <c r="AE794" s="558"/>
      <c r="AH794" s="535"/>
      <c r="AI794" s="558"/>
      <c r="AL794" s="535"/>
      <c r="AP794" s="535"/>
    </row>
    <row r="795">
      <c r="A795" s="552"/>
      <c r="B795" s="552"/>
      <c r="N795" s="535"/>
      <c r="O795" s="558"/>
      <c r="R795" s="535"/>
      <c r="S795" s="558"/>
      <c r="V795" s="535"/>
      <c r="W795" s="558"/>
      <c r="Z795" s="535"/>
      <c r="AA795" s="558"/>
      <c r="AD795" s="535"/>
      <c r="AE795" s="558"/>
      <c r="AH795" s="535"/>
      <c r="AI795" s="558"/>
      <c r="AL795" s="535"/>
      <c r="AP795" s="535"/>
    </row>
    <row r="796">
      <c r="A796" s="552"/>
      <c r="B796" s="552"/>
      <c r="N796" s="535"/>
      <c r="O796" s="558"/>
      <c r="R796" s="535"/>
      <c r="S796" s="558"/>
      <c r="V796" s="535"/>
      <c r="W796" s="558"/>
      <c r="Z796" s="535"/>
      <c r="AA796" s="558"/>
      <c r="AD796" s="535"/>
      <c r="AE796" s="558"/>
      <c r="AH796" s="535"/>
      <c r="AI796" s="558"/>
      <c r="AL796" s="535"/>
      <c r="AP796" s="535"/>
    </row>
    <row r="797">
      <c r="A797" s="552"/>
      <c r="B797" s="552"/>
      <c r="N797" s="535"/>
      <c r="O797" s="558"/>
      <c r="R797" s="535"/>
      <c r="S797" s="558"/>
      <c r="V797" s="535"/>
      <c r="W797" s="558"/>
      <c r="Z797" s="535"/>
      <c r="AA797" s="558"/>
      <c r="AD797" s="535"/>
      <c r="AE797" s="558"/>
      <c r="AH797" s="535"/>
      <c r="AI797" s="558"/>
      <c r="AL797" s="535"/>
      <c r="AP797" s="535"/>
    </row>
    <row r="798">
      <c r="A798" s="552"/>
      <c r="B798" s="552"/>
      <c r="N798" s="535"/>
      <c r="O798" s="558"/>
      <c r="R798" s="535"/>
      <c r="S798" s="558"/>
      <c r="V798" s="535"/>
      <c r="W798" s="558"/>
      <c r="Z798" s="535"/>
      <c r="AA798" s="558"/>
      <c r="AD798" s="535"/>
      <c r="AE798" s="558"/>
      <c r="AH798" s="535"/>
      <c r="AI798" s="558"/>
      <c r="AL798" s="535"/>
      <c r="AP798" s="535"/>
    </row>
    <row r="799">
      <c r="A799" s="552"/>
      <c r="B799" s="552"/>
      <c r="N799" s="535"/>
      <c r="O799" s="558"/>
      <c r="R799" s="535"/>
      <c r="S799" s="558"/>
      <c r="V799" s="535"/>
      <c r="W799" s="558"/>
      <c r="Z799" s="535"/>
      <c r="AA799" s="558"/>
      <c r="AD799" s="535"/>
      <c r="AE799" s="558"/>
      <c r="AH799" s="535"/>
      <c r="AI799" s="558"/>
      <c r="AL799" s="535"/>
      <c r="AP799" s="535"/>
    </row>
    <row r="800">
      <c r="A800" s="552"/>
      <c r="B800" s="552"/>
      <c r="N800" s="535"/>
      <c r="O800" s="558"/>
      <c r="R800" s="535"/>
      <c r="S800" s="558"/>
      <c r="V800" s="535"/>
      <c r="W800" s="558"/>
      <c r="Z800" s="535"/>
      <c r="AA800" s="558"/>
      <c r="AD800" s="535"/>
      <c r="AE800" s="558"/>
      <c r="AH800" s="535"/>
      <c r="AI800" s="558"/>
      <c r="AL800" s="535"/>
      <c r="AP800" s="535"/>
    </row>
    <row r="801">
      <c r="A801" s="552"/>
      <c r="B801" s="552"/>
      <c r="N801" s="535"/>
      <c r="O801" s="558"/>
      <c r="R801" s="535"/>
      <c r="S801" s="558"/>
      <c r="V801" s="535"/>
      <c r="W801" s="558"/>
      <c r="Z801" s="535"/>
      <c r="AA801" s="558"/>
      <c r="AD801" s="535"/>
      <c r="AE801" s="558"/>
      <c r="AH801" s="535"/>
      <c r="AI801" s="558"/>
      <c r="AL801" s="535"/>
      <c r="AP801" s="535"/>
    </row>
    <row r="802">
      <c r="A802" s="552"/>
      <c r="B802" s="552"/>
      <c r="N802" s="535"/>
      <c r="O802" s="558"/>
      <c r="R802" s="535"/>
      <c r="S802" s="558"/>
      <c r="V802" s="535"/>
      <c r="W802" s="558"/>
      <c r="Z802" s="535"/>
      <c r="AA802" s="558"/>
      <c r="AD802" s="535"/>
      <c r="AE802" s="558"/>
      <c r="AH802" s="535"/>
      <c r="AI802" s="558"/>
      <c r="AL802" s="535"/>
      <c r="AP802" s="535"/>
    </row>
    <row r="803">
      <c r="A803" s="552"/>
      <c r="B803" s="552"/>
      <c r="N803" s="535"/>
      <c r="O803" s="558"/>
      <c r="R803" s="535"/>
      <c r="S803" s="558"/>
      <c r="V803" s="535"/>
      <c r="W803" s="558"/>
      <c r="Z803" s="535"/>
      <c r="AA803" s="558"/>
      <c r="AD803" s="535"/>
      <c r="AE803" s="558"/>
      <c r="AH803" s="535"/>
      <c r="AI803" s="558"/>
      <c r="AL803" s="535"/>
      <c r="AP803" s="535"/>
    </row>
    <row r="804">
      <c r="A804" s="552"/>
      <c r="B804" s="552"/>
      <c r="N804" s="535"/>
      <c r="O804" s="558"/>
      <c r="R804" s="535"/>
      <c r="S804" s="558"/>
      <c r="V804" s="535"/>
      <c r="W804" s="558"/>
      <c r="Z804" s="535"/>
      <c r="AA804" s="558"/>
      <c r="AD804" s="535"/>
      <c r="AE804" s="558"/>
      <c r="AH804" s="535"/>
      <c r="AI804" s="558"/>
      <c r="AL804" s="535"/>
      <c r="AP804" s="535"/>
    </row>
    <row r="805">
      <c r="A805" s="552"/>
      <c r="B805" s="552"/>
      <c r="N805" s="535"/>
      <c r="O805" s="558"/>
      <c r="R805" s="535"/>
      <c r="S805" s="558"/>
      <c r="V805" s="535"/>
      <c r="W805" s="558"/>
      <c r="Z805" s="535"/>
      <c r="AA805" s="558"/>
      <c r="AD805" s="535"/>
      <c r="AE805" s="558"/>
      <c r="AH805" s="535"/>
      <c r="AI805" s="558"/>
      <c r="AL805" s="535"/>
      <c r="AP805" s="535"/>
    </row>
    <row r="806">
      <c r="A806" s="552"/>
      <c r="B806" s="552"/>
      <c r="N806" s="535"/>
      <c r="O806" s="558"/>
      <c r="R806" s="535"/>
      <c r="S806" s="558"/>
      <c r="V806" s="535"/>
      <c r="W806" s="558"/>
      <c r="Z806" s="535"/>
      <c r="AA806" s="558"/>
      <c r="AD806" s="535"/>
      <c r="AE806" s="558"/>
      <c r="AH806" s="535"/>
      <c r="AI806" s="558"/>
      <c r="AL806" s="535"/>
      <c r="AP806" s="535"/>
    </row>
    <row r="807">
      <c r="A807" s="552"/>
      <c r="B807" s="552"/>
      <c r="N807" s="535"/>
      <c r="O807" s="558"/>
      <c r="R807" s="535"/>
      <c r="S807" s="558"/>
      <c r="V807" s="535"/>
      <c r="W807" s="558"/>
      <c r="Z807" s="535"/>
      <c r="AA807" s="558"/>
      <c r="AD807" s="535"/>
      <c r="AE807" s="558"/>
      <c r="AH807" s="535"/>
      <c r="AI807" s="558"/>
      <c r="AL807" s="535"/>
      <c r="AP807" s="535"/>
    </row>
    <row r="808">
      <c r="A808" s="552"/>
      <c r="B808" s="552"/>
      <c r="N808" s="535"/>
      <c r="O808" s="558"/>
      <c r="R808" s="535"/>
      <c r="S808" s="558"/>
      <c r="V808" s="535"/>
      <c r="W808" s="558"/>
      <c r="Z808" s="535"/>
      <c r="AA808" s="558"/>
      <c r="AD808" s="535"/>
      <c r="AE808" s="558"/>
      <c r="AH808" s="535"/>
      <c r="AI808" s="558"/>
      <c r="AL808" s="535"/>
      <c r="AP808" s="535"/>
    </row>
    <row r="809">
      <c r="A809" s="552"/>
      <c r="B809" s="552"/>
      <c r="N809" s="535"/>
      <c r="O809" s="558"/>
      <c r="R809" s="535"/>
      <c r="S809" s="558"/>
      <c r="V809" s="535"/>
      <c r="W809" s="558"/>
      <c r="Z809" s="535"/>
      <c r="AA809" s="558"/>
      <c r="AD809" s="535"/>
      <c r="AE809" s="558"/>
      <c r="AH809" s="535"/>
      <c r="AI809" s="558"/>
      <c r="AL809" s="535"/>
      <c r="AP809" s="535"/>
    </row>
    <row r="810">
      <c r="A810" s="552"/>
      <c r="B810" s="552"/>
      <c r="N810" s="535"/>
      <c r="O810" s="558"/>
      <c r="R810" s="535"/>
      <c r="S810" s="558"/>
      <c r="V810" s="535"/>
      <c r="W810" s="558"/>
      <c r="Z810" s="535"/>
      <c r="AA810" s="558"/>
      <c r="AD810" s="535"/>
      <c r="AE810" s="558"/>
      <c r="AH810" s="535"/>
      <c r="AI810" s="558"/>
      <c r="AL810" s="535"/>
      <c r="AP810" s="535"/>
    </row>
    <row r="811">
      <c r="A811" s="552"/>
      <c r="B811" s="552"/>
      <c r="N811" s="535"/>
      <c r="O811" s="558"/>
      <c r="R811" s="535"/>
      <c r="S811" s="558"/>
      <c r="V811" s="535"/>
      <c r="W811" s="558"/>
      <c r="Z811" s="535"/>
      <c r="AA811" s="558"/>
      <c r="AD811" s="535"/>
      <c r="AE811" s="558"/>
      <c r="AH811" s="535"/>
      <c r="AI811" s="558"/>
      <c r="AL811" s="535"/>
      <c r="AP811" s="535"/>
    </row>
    <row r="812">
      <c r="A812" s="552"/>
      <c r="B812" s="552"/>
      <c r="N812" s="535"/>
      <c r="O812" s="558"/>
      <c r="R812" s="535"/>
      <c r="S812" s="558"/>
      <c r="V812" s="535"/>
      <c r="W812" s="558"/>
      <c r="Z812" s="535"/>
      <c r="AA812" s="558"/>
      <c r="AD812" s="535"/>
      <c r="AE812" s="558"/>
      <c r="AH812" s="535"/>
      <c r="AI812" s="558"/>
      <c r="AL812" s="535"/>
      <c r="AP812" s="535"/>
    </row>
    <row r="813">
      <c r="A813" s="552"/>
      <c r="B813" s="552"/>
      <c r="N813" s="535"/>
      <c r="O813" s="558"/>
      <c r="R813" s="535"/>
      <c r="S813" s="558"/>
      <c r="V813" s="535"/>
      <c r="W813" s="558"/>
      <c r="Z813" s="535"/>
      <c r="AA813" s="558"/>
      <c r="AD813" s="535"/>
      <c r="AE813" s="558"/>
      <c r="AH813" s="535"/>
      <c r="AI813" s="558"/>
      <c r="AL813" s="535"/>
      <c r="AP813" s="535"/>
    </row>
    <row r="814">
      <c r="A814" s="552"/>
      <c r="B814" s="552"/>
      <c r="N814" s="535"/>
      <c r="O814" s="558"/>
      <c r="R814" s="535"/>
      <c r="S814" s="558"/>
      <c r="V814" s="535"/>
      <c r="W814" s="558"/>
      <c r="Z814" s="535"/>
      <c r="AA814" s="558"/>
      <c r="AD814" s="535"/>
      <c r="AE814" s="558"/>
      <c r="AH814" s="535"/>
      <c r="AI814" s="558"/>
      <c r="AL814" s="535"/>
      <c r="AP814" s="535"/>
    </row>
    <row r="815">
      <c r="A815" s="552"/>
      <c r="B815" s="552"/>
      <c r="N815" s="535"/>
      <c r="O815" s="558"/>
      <c r="R815" s="535"/>
      <c r="S815" s="558"/>
      <c r="V815" s="535"/>
      <c r="W815" s="558"/>
      <c r="Z815" s="535"/>
      <c r="AA815" s="558"/>
      <c r="AD815" s="535"/>
      <c r="AE815" s="558"/>
      <c r="AH815" s="535"/>
      <c r="AI815" s="558"/>
      <c r="AL815" s="535"/>
      <c r="AP815" s="535"/>
    </row>
    <row r="816">
      <c r="A816" s="552"/>
      <c r="B816" s="552"/>
      <c r="N816" s="535"/>
      <c r="O816" s="558"/>
      <c r="R816" s="535"/>
      <c r="S816" s="558"/>
      <c r="V816" s="535"/>
      <c r="W816" s="558"/>
      <c r="Z816" s="535"/>
      <c r="AA816" s="558"/>
      <c r="AD816" s="535"/>
      <c r="AE816" s="558"/>
      <c r="AH816" s="535"/>
      <c r="AI816" s="558"/>
      <c r="AL816" s="535"/>
      <c r="AP816" s="535"/>
    </row>
    <row r="817">
      <c r="A817" s="552"/>
      <c r="B817" s="552"/>
      <c r="N817" s="535"/>
      <c r="O817" s="558"/>
      <c r="R817" s="535"/>
      <c r="S817" s="558"/>
      <c r="V817" s="535"/>
      <c r="W817" s="558"/>
      <c r="Z817" s="535"/>
      <c r="AA817" s="558"/>
      <c r="AD817" s="535"/>
      <c r="AE817" s="558"/>
      <c r="AH817" s="535"/>
      <c r="AI817" s="558"/>
      <c r="AL817" s="535"/>
      <c r="AP817" s="535"/>
    </row>
    <row r="818">
      <c r="A818" s="552"/>
      <c r="B818" s="552"/>
      <c r="N818" s="535"/>
      <c r="O818" s="558"/>
      <c r="R818" s="535"/>
      <c r="S818" s="558"/>
      <c r="V818" s="535"/>
      <c r="W818" s="558"/>
      <c r="Z818" s="535"/>
      <c r="AA818" s="558"/>
      <c r="AD818" s="535"/>
      <c r="AE818" s="558"/>
      <c r="AH818" s="535"/>
      <c r="AI818" s="558"/>
      <c r="AL818" s="535"/>
      <c r="AP818" s="535"/>
    </row>
    <row r="819">
      <c r="A819" s="552"/>
      <c r="B819" s="552"/>
      <c r="N819" s="535"/>
      <c r="O819" s="558"/>
      <c r="R819" s="535"/>
      <c r="S819" s="558"/>
      <c r="V819" s="535"/>
      <c r="W819" s="558"/>
      <c r="Z819" s="535"/>
      <c r="AA819" s="558"/>
      <c r="AD819" s="535"/>
      <c r="AE819" s="558"/>
      <c r="AH819" s="535"/>
      <c r="AI819" s="558"/>
      <c r="AL819" s="535"/>
      <c r="AP819" s="535"/>
    </row>
    <row r="820">
      <c r="A820" s="552"/>
      <c r="B820" s="552"/>
      <c r="N820" s="535"/>
      <c r="O820" s="558"/>
      <c r="R820" s="535"/>
      <c r="S820" s="558"/>
      <c r="V820" s="535"/>
      <c r="W820" s="558"/>
      <c r="Z820" s="535"/>
      <c r="AA820" s="558"/>
      <c r="AD820" s="535"/>
      <c r="AE820" s="558"/>
      <c r="AH820" s="535"/>
      <c r="AI820" s="558"/>
      <c r="AL820" s="535"/>
      <c r="AP820" s="535"/>
    </row>
    <row r="821">
      <c r="A821" s="552"/>
      <c r="B821" s="552"/>
      <c r="N821" s="535"/>
      <c r="O821" s="558"/>
      <c r="R821" s="535"/>
      <c r="S821" s="558"/>
      <c r="V821" s="535"/>
      <c r="W821" s="558"/>
      <c r="Z821" s="535"/>
      <c r="AA821" s="558"/>
      <c r="AD821" s="535"/>
      <c r="AE821" s="558"/>
      <c r="AH821" s="535"/>
      <c r="AI821" s="558"/>
      <c r="AL821" s="535"/>
      <c r="AP821" s="535"/>
    </row>
    <row r="822">
      <c r="A822" s="552"/>
      <c r="B822" s="552"/>
      <c r="N822" s="535"/>
      <c r="O822" s="558"/>
      <c r="R822" s="535"/>
      <c r="S822" s="558"/>
      <c r="V822" s="535"/>
      <c r="W822" s="558"/>
      <c r="Z822" s="535"/>
      <c r="AA822" s="558"/>
      <c r="AD822" s="535"/>
      <c r="AE822" s="558"/>
      <c r="AH822" s="535"/>
      <c r="AI822" s="558"/>
      <c r="AL822" s="535"/>
      <c r="AP822" s="535"/>
    </row>
    <row r="823">
      <c r="A823" s="552"/>
      <c r="B823" s="552"/>
      <c r="N823" s="535"/>
      <c r="O823" s="558"/>
      <c r="R823" s="535"/>
      <c r="S823" s="558"/>
      <c r="V823" s="535"/>
      <c r="W823" s="558"/>
      <c r="Z823" s="535"/>
      <c r="AA823" s="558"/>
      <c r="AD823" s="535"/>
      <c r="AE823" s="558"/>
      <c r="AH823" s="535"/>
      <c r="AI823" s="558"/>
      <c r="AL823" s="535"/>
      <c r="AP823" s="535"/>
    </row>
    <row r="824">
      <c r="A824" s="552"/>
      <c r="B824" s="552"/>
      <c r="N824" s="535"/>
      <c r="O824" s="558"/>
      <c r="R824" s="535"/>
      <c r="S824" s="558"/>
      <c r="V824" s="535"/>
      <c r="W824" s="558"/>
      <c r="Z824" s="535"/>
      <c r="AA824" s="558"/>
      <c r="AD824" s="535"/>
      <c r="AE824" s="558"/>
      <c r="AH824" s="535"/>
      <c r="AI824" s="558"/>
      <c r="AL824" s="535"/>
      <c r="AP824" s="535"/>
    </row>
    <row r="825">
      <c r="A825" s="552"/>
      <c r="B825" s="552"/>
      <c r="N825" s="535"/>
      <c r="O825" s="558"/>
      <c r="R825" s="535"/>
      <c r="S825" s="558"/>
      <c r="V825" s="535"/>
      <c r="W825" s="558"/>
      <c r="Z825" s="535"/>
      <c r="AA825" s="558"/>
      <c r="AD825" s="535"/>
      <c r="AE825" s="558"/>
      <c r="AH825" s="535"/>
      <c r="AI825" s="558"/>
      <c r="AL825" s="535"/>
      <c r="AP825" s="535"/>
    </row>
    <row r="826">
      <c r="A826" s="552"/>
      <c r="B826" s="552"/>
      <c r="N826" s="535"/>
      <c r="O826" s="558"/>
      <c r="R826" s="535"/>
      <c r="S826" s="558"/>
      <c r="V826" s="535"/>
      <c r="W826" s="558"/>
      <c r="Z826" s="535"/>
      <c r="AA826" s="558"/>
      <c r="AD826" s="535"/>
      <c r="AE826" s="558"/>
      <c r="AH826" s="535"/>
      <c r="AI826" s="558"/>
      <c r="AL826" s="535"/>
      <c r="AP826" s="535"/>
    </row>
    <row r="827">
      <c r="A827" s="552"/>
      <c r="B827" s="552"/>
      <c r="N827" s="535"/>
      <c r="O827" s="558"/>
      <c r="R827" s="535"/>
      <c r="S827" s="558"/>
      <c r="V827" s="535"/>
      <c r="W827" s="558"/>
      <c r="Z827" s="535"/>
      <c r="AA827" s="558"/>
      <c r="AD827" s="535"/>
      <c r="AE827" s="558"/>
      <c r="AH827" s="535"/>
      <c r="AI827" s="558"/>
      <c r="AL827" s="535"/>
      <c r="AP827" s="535"/>
    </row>
    <row r="828">
      <c r="A828" s="552"/>
      <c r="B828" s="552"/>
      <c r="N828" s="535"/>
      <c r="O828" s="558"/>
      <c r="R828" s="535"/>
      <c r="S828" s="558"/>
      <c r="V828" s="535"/>
      <c r="W828" s="558"/>
      <c r="Z828" s="535"/>
      <c r="AA828" s="558"/>
      <c r="AD828" s="535"/>
      <c r="AE828" s="558"/>
      <c r="AH828" s="535"/>
      <c r="AI828" s="558"/>
      <c r="AL828" s="535"/>
      <c r="AP828" s="535"/>
    </row>
    <row r="829">
      <c r="A829" s="552"/>
      <c r="B829" s="552"/>
      <c r="N829" s="535"/>
      <c r="O829" s="558"/>
      <c r="R829" s="535"/>
      <c r="S829" s="558"/>
      <c r="V829" s="535"/>
      <c r="W829" s="558"/>
      <c r="Z829" s="535"/>
      <c r="AA829" s="558"/>
      <c r="AD829" s="535"/>
      <c r="AE829" s="558"/>
      <c r="AH829" s="535"/>
      <c r="AI829" s="558"/>
      <c r="AL829" s="535"/>
      <c r="AP829" s="535"/>
    </row>
    <row r="830">
      <c r="A830" s="552"/>
      <c r="B830" s="552"/>
      <c r="N830" s="535"/>
      <c r="O830" s="558"/>
      <c r="R830" s="535"/>
      <c r="S830" s="558"/>
      <c r="V830" s="535"/>
      <c r="W830" s="558"/>
      <c r="Z830" s="535"/>
      <c r="AA830" s="558"/>
      <c r="AD830" s="535"/>
      <c r="AE830" s="558"/>
      <c r="AH830" s="535"/>
      <c r="AI830" s="558"/>
      <c r="AL830" s="535"/>
      <c r="AP830" s="535"/>
    </row>
    <row r="831">
      <c r="A831" s="552"/>
      <c r="B831" s="552"/>
      <c r="N831" s="535"/>
      <c r="O831" s="558"/>
      <c r="R831" s="535"/>
      <c r="S831" s="558"/>
      <c r="V831" s="535"/>
      <c r="W831" s="558"/>
      <c r="Z831" s="535"/>
      <c r="AA831" s="558"/>
      <c r="AD831" s="535"/>
      <c r="AE831" s="558"/>
      <c r="AH831" s="535"/>
      <c r="AI831" s="558"/>
      <c r="AL831" s="535"/>
      <c r="AP831" s="535"/>
    </row>
    <row r="832">
      <c r="A832" s="552"/>
      <c r="B832" s="552"/>
      <c r="N832" s="535"/>
      <c r="O832" s="558"/>
      <c r="R832" s="535"/>
      <c r="S832" s="558"/>
      <c r="V832" s="535"/>
      <c r="W832" s="558"/>
      <c r="Z832" s="535"/>
      <c r="AA832" s="558"/>
      <c r="AD832" s="535"/>
      <c r="AE832" s="558"/>
      <c r="AH832" s="535"/>
      <c r="AI832" s="558"/>
      <c r="AL832" s="535"/>
      <c r="AP832" s="535"/>
    </row>
    <row r="833">
      <c r="A833" s="552"/>
      <c r="B833" s="552"/>
      <c r="N833" s="535"/>
      <c r="O833" s="558"/>
      <c r="R833" s="535"/>
      <c r="S833" s="558"/>
      <c r="V833" s="535"/>
      <c r="W833" s="558"/>
      <c r="Z833" s="535"/>
      <c r="AA833" s="558"/>
      <c r="AD833" s="535"/>
      <c r="AE833" s="558"/>
      <c r="AH833" s="535"/>
      <c r="AI833" s="558"/>
      <c r="AL833" s="535"/>
      <c r="AP833" s="535"/>
    </row>
    <row r="834">
      <c r="A834" s="552"/>
      <c r="B834" s="552"/>
      <c r="N834" s="535"/>
      <c r="O834" s="558"/>
      <c r="R834" s="535"/>
      <c r="S834" s="558"/>
      <c r="V834" s="535"/>
      <c r="W834" s="558"/>
      <c r="Z834" s="535"/>
      <c r="AA834" s="558"/>
      <c r="AD834" s="535"/>
      <c r="AE834" s="558"/>
      <c r="AH834" s="535"/>
      <c r="AI834" s="558"/>
      <c r="AL834" s="535"/>
      <c r="AP834" s="535"/>
    </row>
    <row r="835">
      <c r="A835" s="552"/>
      <c r="B835" s="552"/>
      <c r="N835" s="535"/>
      <c r="O835" s="558"/>
      <c r="R835" s="535"/>
      <c r="S835" s="558"/>
      <c r="V835" s="535"/>
      <c r="W835" s="558"/>
      <c r="Z835" s="535"/>
      <c r="AA835" s="558"/>
      <c r="AD835" s="535"/>
      <c r="AE835" s="558"/>
      <c r="AH835" s="535"/>
      <c r="AI835" s="558"/>
      <c r="AL835" s="535"/>
      <c r="AP835" s="535"/>
    </row>
    <row r="836">
      <c r="A836" s="552"/>
      <c r="B836" s="552"/>
      <c r="N836" s="535"/>
      <c r="O836" s="558"/>
      <c r="R836" s="535"/>
      <c r="S836" s="558"/>
      <c r="V836" s="535"/>
      <c r="W836" s="558"/>
      <c r="Z836" s="535"/>
      <c r="AA836" s="558"/>
      <c r="AD836" s="535"/>
      <c r="AE836" s="558"/>
      <c r="AH836" s="535"/>
      <c r="AI836" s="558"/>
      <c r="AL836" s="535"/>
      <c r="AP836" s="535"/>
    </row>
    <row r="837">
      <c r="A837" s="552"/>
      <c r="B837" s="552"/>
      <c r="N837" s="535"/>
      <c r="O837" s="558"/>
      <c r="R837" s="535"/>
      <c r="S837" s="558"/>
      <c r="V837" s="535"/>
      <c r="W837" s="558"/>
      <c r="Z837" s="535"/>
      <c r="AA837" s="558"/>
      <c r="AD837" s="535"/>
      <c r="AE837" s="558"/>
      <c r="AH837" s="535"/>
      <c r="AI837" s="558"/>
      <c r="AL837" s="535"/>
      <c r="AP837" s="535"/>
    </row>
    <row r="838">
      <c r="A838" s="552"/>
      <c r="B838" s="552"/>
      <c r="N838" s="535"/>
      <c r="O838" s="558"/>
      <c r="R838" s="535"/>
      <c r="S838" s="558"/>
      <c r="V838" s="535"/>
      <c r="W838" s="558"/>
      <c r="Z838" s="535"/>
      <c r="AA838" s="558"/>
      <c r="AD838" s="535"/>
      <c r="AE838" s="558"/>
      <c r="AH838" s="535"/>
      <c r="AI838" s="558"/>
      <c r="AL838" s="535"/>
      <c r="AP838" s="535"/>
    </row>
    <row r="839">
      <c r="A839" s="552"/>
      <c r="B839" s="552"/>
      <c r="N839" s="535"/>
      <c r="O839" s="558"/>
      <c r="R839" s="535"/>
      <c r="S839" s="558"/>
      <c r="V839" s="535"/>
      <c r="W839" s="558"/>
      <c r="Z839" s="535"/>
      <c r="AA839" s="558"/>
      <c r="AD839" s="535"/>
      <c r="AE839" s="558"/>
      <c r="AH839" s="535"/>
      <c r="AI839" s="558"/>
      <c r="AL839" s="535"/>
      <c r="AP839" s="535"/>
    </row>
    <row r="840">
      <c r="A840" s="552"/>
      <c r="B840" s="552"/>
      <c r="N840" s="535"/>
      <c r="O840" s="558"/>
      <c r="R840" s="535"/>
      <c r="S840" s="558"/>
      <c r="V840" s="535"/>
      <c r="W840" s="558"/>
      <c r="Z840" s="535"/>
      <c r="AA840" s="558"/>
      <c r="AD840" s="535"/>
      <c r="AE840" s="558"/>
      <c r="AH840" s="535"/>
      <c r="AI840" s="558"/>
      <c r="AL840" s="535"/>
      <c r="AP840" s="535"/>
    </row>
    <row r="841">
      <c r="A841" s="552"/>
      <c r="B841" s="552"/>
      <c r="N841" s="535"/>
      <c r="O841" s="558"/>
      <c r="R841" s="535"/>
      <c r="S841" s="558"/>
      <c r="V841" s="535"/>
      <c r="W841" s="558"/>
      <c r="Z841" s="535"/>
      <c r="AA841" s="558"/>
      <c r="AD841" s="535"/>
      <c r="AE841" s="558"/>
      <c r="AH841" s="535"/>
      <c r="AI841" s="558"/>
      <c r="AL841" s="535"/>
      <c r="AP841" s="535"/>
    </row>
    <row r="842">
      <c r="A842" s="552"/>
      <c r="B842" s="552"/>
      <c r="N842" s="535"/>
      <c r="O842" s="558"/>
      <c r="R842" s="535"/>
      <c r="S842" s="558"/>
      <c r="V842" s="535"/>
      <c r="W842" s="558"/>
      <c r="Z842" s="535"/>
      <c r="AA842" s="558"/>
      <c r="AD842" s="535"/>
      <c r="AE842" s="558"/>
      <c r="AH842" s="535"/>
      <c r="AI842" s="558"/>
      <c r="AL842" s="535"/>
      <c r="AP842" s="535"/>
    </row>
    <row r="843">
      <c r="A843" s="552"/>
      <c r="B843" s="552"/>
      <c r="N843" s="535"/>
      <c r="O843" s="558"/>
      <c r="R843" s="535"/>
      <c r="S843" s="558"/>
      <c r="V843" s="535"/>
      <c r="W843" s="558"/>
      <c r="Z843" s="535"/>
      <c r="AA843" s="558"/>
      <c r="AD843" s="535"/>
      <c r="AE843" s="558"/>
      <c r="AH843" s="535"/>
      <c r="AI843" s="558"/>
      <c r="AL843" s="535"/>
      <c r="AP843" s="535"/>
    </row>
    <row r="844">
      <c r="A844" s="552"/>
      <c r="B844" s="552"/>
      <c r="N844" s="535"/>
      <c r="O844" s="558"/>
      <c r="R844" s="535"/>
      <c r="S844" s="558"/>
      <c r="V844" s="535"/>
      <c r="W844" s="558"/>
      <c r="Z844" s="535"/>
      <c r="AA844" s="558"/>
      <c r="AD844" s="535"/>
      <c r="AE844" s="558"/>
      <c r="AH844" s="535"/>
      <c r="AI844" s="558"/>
      <c r="AL844" s="535"/>
      <c r="AP844" s="535"/>
    </row>
    <row r="845">
      <c r="A845" s="552"/>
      <c r="B845" s="552"/>
      <c r="N845" s="535"/>
      <c r="O845" s="558"/>
      <c r="R845" s="535"/>
      <c r="S845" s="558"/>
      <c r="V845" s="535"/>
      <c r="W845" s="558"/>
      <c r="Z845" s="535"/>
      <c r="AA845" s="558"/>
      <c r="AD845" s="535"/>
      <c r="AE845" s="558"/>
      <c r="AH845" s="535"/>
      <c r="AI845" s="558"/>
      <c r="AL845" s="535"/>
      <c r="AP845" s="535"/>
    </row>
    <row r="846">
      <c r="A846" s="552"/>
      <c r="B846" s="552"/>
      <c r="N846" s="535"/>
      <c r="O846" s="558"/>
      <c r="R846" s="535"/>
      <c r="S846" s="558"/>
      <c r="V846" s="535"/>
      <c r="W846" s="558"/>
      <c r="Z846" s="535"/>
      <c r="AA846" s="558"/>
      <c r="AD846" s="535"/>
      <c r="AE846" s="558"/>
      <c r="AH846" s="535"/>
      <c r="AI846" s="558"/>
      <c r="AL846" s="535"/>
      <c r="AP846" s="535"/>
    </row>
    <row r="847">
      <c r="A847" s="552"/>
      <c r="B847" s="552"/>
      <c r="N847" s="535"/>
      <c r="O847" s="558"/>
      <c r="R847" s="535"/>
      <c r="S847" s="558"/>
      <c r="V847" s="535"/>
      <c r="W847" s="558"/>
      <c r="Z847" s="535"/>
      <c r="AA847" s="558"/>
      <c r="AD847" s="535"/>
      <c r="AE847" s="558"/>
      <c r="AH847" s="535"/>
      <c r="AI847" s="558"/>
      <c r="AL847" s="535"/>
      <c r="AP847" s="535"/>
    </row>
    <row r="848">
      <c r="A848" s="552"/>
      <c r="B848" s="552"/>
      <c r="N848" s="535"/>
      <c r="O848" s="558"/>
      <c r="R848" s="535"/>
      <c r="S848" s="558"/>
      <c r="V848" s="535"/>
      <c r="W848" s="558"/>
      <c r="Z848" s="535"/>
      <c r="AA848" s="558"/>
      <c r="AD848" s="535"/>
      <c r="AE848" s="558"/>
      <c r="AH848" s="535"/>
      <c r="AI848" s="558"/>
      <c r="AL848" s="535"/>
      <c r="AP848" s="535"/>
    </row>
    <row r="849">
      <c r="A849" s="552"/>
      <c r="B849" s="552"/>
      <c r="N849" s="535"/>
      <c r="O849" s="558"/>
      <c r="R849" s="535"/>
      <c r="S849" s="558"/>
      <c r="V849" s="535"/>
      <c r="W849" s="558"/>
      <c r="Z849" s="535"/>
      <c r="AA849" s="558"/>
      <c r="AD849" s="535"/>
      <c r="AE849" s="558"/>
      <c r="AH849" s="535"/>
      <c r="AI849" s="558"/>
      <c r="AL849" s="535"/>
      <c r="AP849" s="535"/>
    </row>
    <row r="850">
      <c r="A850" s="552"/>
      <c r="B850" s="552"/>
      <c r="N850" s="535"/>
      <c r="O850" s="558"/>
      <c r="R850" s="535"/>
      <c r="S850" s="558"/>
      <c r="V850" s="535"/>
      <c r="W850" s="558"/>
      <c r="Z850" s="535"/>
      <c r="AA850" s="558"/>
      <c r="AD850" s="535"/>
      <c r="AE850" s="558"/>
      <c r="AH850" s="535"/>
      <c r="AI850" s="558"/>
      <c r="AL850" s="535"/>
      <c r="AP850" s="535"/>
    </row>
    <row r="851">
      <c r="A851" s="552"/>
      <c r="B851" s="552"/>
      <c r="N851" s="535"/>
      <c r="O851" s="558"/>
      <c r="R851" s="535"/>
      <c r="S851" s="558"/>
      <c r="V851" s="535"/>
      <c r="W851" s="558"/>
      <c r="Z851" s="535"/>
      <c r="AA851" s="558"/>
      <c r="AD851" s="535"/>
      <c r="AE851" s="558"/>
      <c r="AH851" s="535"/>
      <c r="AI851" s="558"/>
      <c r="AL851" s="535"/>
      <c r="AP851" s="535"/>
    </row>
    <row r="852">
      <c r="A852" s="552"/>
      <c r="B852" s="552"/>
      <c r="N852" s="535"/>
      <c r="O852" s="558"/>
      <c r="R852" s="535"/>
      <c r="S852" s="558"/>
      <c r="V852" s="535"/>
      <c r="W852" s="558"/>
      <c r="Z852" s="535"/>
      <c r="AA852" s="558"/>
      <c r="AD852" s="535"/>
      <c r="AE852" s="558"/>
      <c r="AH852" s="535"/>
      <c r="AI852" s="558"/>
      <c r="AL852" s="535"/>
      <c r="AP852" s="535"/>
    </row>
    <row r="853">
      <c r="A853" s="552"/>
      <c r="B853" s="552"/>
      <c r="N853" s="535"/>
      <c r="O853" s="558"/>
      <c r="R853" s="535"/>
      <c r="S853" s="558"/>
      <c r="V853" s="535"/>
      <c r="W853" s="558"/>
      <c r="Z853" s="535"/>
      <c r="AA853" s="558"/>
      <c r="AD853" s="535"/>
      <c r="AE853" s="558"/>
      <c r="AH853" s="535"/>
      <c r="AI853" s="558"/>
      <c r="AL853" s="535"/>
      <c r="AP853" s="535"/>
    </row>
    <row r="854">
      <c r="A854" s="552"/>
      <c r="B854" s="552"/>
      <c r="N854" s="535"/>
      <c r="O854" s="558"/>
      <c r="R854" s="535"/>
      <c r="S854" s="558"/>
      <c r="V854" s="535"/>
      <c r="W854" s="558"/>
      <c r="Z854" s="535"/>
      <c r="AA854" s="558"/>
      <c r="AD854" s="535"/>
      <c r="AE854" s="558"/>
      <c r="AH854" s="535"/>
      <c r="AI854" s="558"/>
      <c r="AL854" s="535"/>
      <c r="AP854" s="535"/>
    </row>
    <row r="855">
      <c r="A855" s="552"/>
      <c r="B855" s="552"/>
      <c r="N855" s="535"/>
      <c r="O855" s="558"/>
      <c r="R855" s="535"/>
      <c r="S855" s="558"/>
      <c r="V855" s="535"/>
      <c r="W855" s="558"/>
      <c r="Z855" s="535"/>
      <c r="AA855" s="558"/>
      <c r="AD855" s="535"/>
      <c r="AE855" s="558"/>
      <c r="AH855" s="535"/>
      <c r="AI855" s="558"/>
      <c r="AL855" s="535"/>
      <c r="AP855" s="535"/>
    </row>
    <row r="856">
      <c r="A856" s="552"/>
      <c r="B856" s="552"/>
      <c r="N856" s="535"/>
      <c r="O856" s="558"/>
      <c r="R856" s="535"/>
      <c r="S856" s="558"/>
      <c r="V856" s="535"/>
      <c r="W856" s="558"/>
      <c r="Z856" s="535"/>
      <c r="AA856" s="558"/>
      <c r="AD856" s="535"/>
      <c r="AE856" s="558"/>
      <c r="AH856" s="535"/>
      <c r="AI856" s="558"/>
      <c r="AL856" s="535"/>
      <c r="AP856" s="535"/>
    </row>
    <row r="857">
      <c r="A857" s="552"/>
      <c r="B857" s="552"/>
      <c r="N857" s="535"/>
      <c r="O857" s="558"/>
      <c r="R857" s="535"/>
      <c r="S857" s="558"/>
      <c r="V857" s="535"/>
      <c r="W857" s="558"/>
      <c r="Z857" s="535"/>
      <c r="AA857" s="558"/>
      <c r="AD857" s="535"/>
      <c r="AE857" s="558"/>
      <c r="AH857" s="535"/>
      <c r="AI857" s="558"/>
      <c r="AL857" s="535"/>
      <c r="AP857" s="535"/>
    </row>
    <row r="858">
      <c r="A858" s="552"/>
      <c r="B858" s="552"/>
      <c r="N858" s="535"/>
      <c r="O858" s="558"/>
      <c r="R858" s="535"/>
      <c r="S858" s="558"/>
      <c r="V858" s="535"/>
      <c r="W858" s="558"/>
      <c r="Z858" s="535"/>
      <c r="AA858" s="558"/>
      <c r="AD858" s="535"/>
      <c r="AE858" s="558"/>
      <c r="AH858" s="535"/>
      <c r="AI858" s="558"/>
      <c r="AL858" s="535"/>
      <c r="AP858" s="535"/>
    </row>
    <row r="859">
      <c r="A859" s="552"/>
      <c r="B859" s="552"/>
      <c r="N859" s="535"/>
      <c r="O859" s="558"/>
      <c r="R859" s="535"/>
      <c r="S859" s="558"/>
      <c r="V859" s="535"/>
      <c r="W859" s="558"/>
      <c r="Z859" s="535"/>
      <c r="AA859" s="558"/>
      <c r="AD859" s="535"/>
      <c r="AE859" s="558"/>
      <c r="AH859" s="535"/>
      <c r="AI859" s="558"/>
      <c r="AL859" s="535"/>
      <c r="AP859" s="535"/>
    </row>
    <row r="860">
      <c r="A860" s="552"/>
      <c r="B860" s="552"/>
      <c r="N860" s="535"/>
      <c r="O860" s="558"/>
      <c r="R860" s="535"/>
      <c r="S860" s="558"/>
      <c r="V860" s="535"/>
      <c r="W860" s="558"/>
      <c r="Z860" s="535"/>
      <c r="AA860" s="558"/>
      <c r="AD860" s="535"/>
      <c r="AE860" s="558"/>
      <c r="AH860" s="535"/>
      <c r="AI860" s="558"/>
      <c r="AL860" s="535"/>
      <c r="AP860" s="535"/>
    </row>
    <row r="861">
      <c r="A861" s="552"/>
      <c r="B861" s="552"/>
      <c r="N861" s="535"/>
      <c r="O861" s="558"/>
      <c r="R861" s="535"/>
      <c r="S861" s="558"/>
      <c r="V861" s="535"/>
      <c r="W861" s="558"/>
      <c r="Z861" s="535"/>
      <c r="AA861" s="558"/>
      <c r="AD861" s="535"/>
      <c r="AE861" s="558"/>
      <c r="AH861" s="535"/>
      <c r="AI861" s="558"/>
      <c r="AL861" s="535"/>
      <c r="AP861" s="535"/>
    </row>
    <row r="862">
      <c r="A862" s="552"/>
      <c r="B862" s="552"/>
      <c r="N862" s="535"/>
      <c r="O862" s="558"/>
      <c r="R862" s="535"/>
      <c r="S862" s="558"/>
      <c r="V862" s="535"/>
      <c r="W862" s="558"/>
      <c r="Z862" s="535"/>
      <c r="AA862" s="558"/>
      <c r="AD862" s="535"/>
      <c r="AE862" s="558"/>
      <c r="AH862" s="535"/>
      <c r="AI862" s="558"/>
      <c r="AL862" s="535"/>
      <c r="AP862" s="535"/>
    </row>
    <row r="863">
      <c r="A863" s="552"/>
      <c r="B863" s="552"/>
      <c r="N863" s="535"/>
      <c r="O863" s="558"/>
      <c r="R863" s="535"/>
      <c r="S863" s="558"/>
      <c r="V863" s="535"/>
      <c r="W863" s="558"/>
      <c r="Z863" s="535"/>
      <c r="AA863" s="558"/>
      <c r="AD863" s="535"/>
      <c r="AE863" s="558"/>
      <c r="AH863" s="535"/>
      <c r="AI863" s="558"/>
      <c r="AL863" s="535"/>
      <c r="AP863" s="535"/>
    </row>
    <row r="864">
      <c r="A864" s="552"/>
      <c r="B864" s="552"/>
      <c r="N864" s="535"/>
      <c r="O864" s="558"/>
      <c r="R864" s="535"/>
      <c r="S864" s="558"/>
      <c r="V864" s="535"/>
      <c r="W864" s="558"/>
      <c r="Z864" s="535"/>
      <c r="AA864" s="558"/>
      <c r="AD864" s="535"/>
      <c r="AE864" s="558"/>
      <c r="AH864" s="535"/>
      <c r="AI864" s="558"/>
      <c r="AL864" s="535"/>
      <c r="AP864" s="535"/>
    </row>
    <row r="865">
      <c r="A865" s="552"/>
      <c r="B865" s="552"/>
      <c r="N865" s="535"/>
      <c r="O865" s="558"/>
      <c r="R865" s="535"/>
      <c r="S865" s="558"/>
      <c r="V865" s="535"/>
      <c r="W865" s="558"/>
      <c r="Z865" s="535"/>
      <c r="AA865" s="558"/>
      <c r="AD865" s="535"/>
      <c r="AE865" s="558"/>
      <c r="AH865" s="535"/>
      <c r="AI865" s="558"/>
      <c r="AL865" s="535"/>
      <c r="AP865" s="535"/>
    </row>
    <row r="866">
      <c r="A866" s="552"/>
      <c r="B866" s="552"/>
      <c r="N866" s="535"/>
      <c r="O866" s="558"/>
      <c r="R866" s="535"/>
      <c r="S866" s="558"/>
      <c r="V866" s="535"/>
      <c r="W866" s="558"/>
      <c r="Z866" s="535"/>
      <c r="AA866" s="558"/>
      <c r="AD866" s="535"/>
      <c r="AE866" s="558"/>
      <c r="AH866" s="535"/>
      <c r="AI866" s="558"/>
      <c r="AL866" s="535"/>
      <c r="AP866" s="535"/>
    </row>
    <row r="867">
      <c r="A867" s="552"/>
      <c r="B867" s="552"/>
      <c r="N867" s="535"/>
      <c r="O867" s="558"/>
      <c r="R867" s="535"/>
      <c r="S867" s="558"/>
      <c r="V867" s="535"/>
      <c r="W867" s="558"/>
      <c r="Z867" s="535"/>
      <c r="AA867" s="558"/>
      <c r="AD867" s="535"/>
      <c r="AE867" s="558"/>
      <c r="AH867" s="535"/>
      <c r="AI867" s="558"/>
      <c r="AL867" s="535"/>
      <c r="AP867" s="535"/>
    </row>
    <row r="868">
      <c r="A868" s="552"/>
      <c r="B868" s="552"/>
      <c r="N868" s="535"/>
      <c r="O868" s="558"/>
      <c r="R868" s="535"/>
      <c r="S868" s="558"/>
      <c r="V868" s="535"/>
      <c r="W868" s="558"/>
      <c r="Z868" s="535"/>
      <c r="AA868" s="558"/>
      <c r="AD868" s="535"/>
      <c r="AE868" s="558"/>
      <c r="AH868" s="535"/>
      <c r="AI868" s="558"/>
      <c r="AL868" s="535"/>
      <c r="AP868" s="535"/>
    </row>
    <row r="869">
      <c r="A869" s="552"/>
      <c r="B869" s="552"/>
      <c r="N869" s="535"/>
      <c r="O869" s="558"/>
      <c r="R869" s="535"/>
      <c r="S869" s="558"/>
      <c r="V869" s="535"/>
      <c r="W869" s="558"/>
      <c r="Z869" s="535"/>
      <c r="AA869" s="558"/>
      <c r="AD869" s="535"/>
      <c r="AE869" s="558"/>
      <c r="AH869" s="535"/>
      <c r="AI869" s="558"/>
      <c r="AL869" s="535"/>
      <c r="AP869" s="535"/>
    </row>
    <row r="870">
      <c r="A870" s="552"/>
      <c r="B870" s="552"/>
      <c r="N870" s="535"/>
      <c r="O870" s="558"/>
      <c r="R870" s="535"/>
      <c r="S870" s="558"/>
      <c r="V870" s="535"/>
      <c r="W870" s="558"/>
      <c r="Z870" s="535"/>
      <c r="AA870" s="558"/>
      <c r="AD870" s="535"/>
      <c r="AE870" s="558"/>
      <c r="AH870" s="535"/>
      <c r="AI870" s="558"/>
      <c r="AL870" s="535"/>
      <c r="AP870" s="535"/>
    </row>
    <row r="871">
      <c r="A871" s="552"/>
      <c r="B871" s="552"/>
      <c r="N871" s="535"/>
      <c r="O871" s="558"/>
      <c r="R871" s="535"/>
      <c r="S871" s="558"/>
      <c r="V871" s="535"/>
      <c r="W871" s="558"/>
      <c r="Z871" s="535"/>
      <c r="AA871" s="558"/>
      <c r="AD871" s="535"/>
      <c r="AE871" s="558"/>
      <c r="AH871" s="535"/>
      <c r="AI871" s="558"/>
      <c r="AL871" s="535"/>
      <c r="AP871" s="535"/>
    </row>
    <row r="872">
      <c r="A872" s="552"/>
      <c r="B872" s="552"/>
      <c r="N872" s="535"/>
      <c r="O872" s="558"/>
      <c r="R872" s="535"/>
      <c r="S872" s="558"/>
      <c r="V872" s="535"/>
      <c r="W872" s="558"/>
      <c r="Z872" s="535"/>
      <c r="AA872" s="558"/>
      <c r="AD872" s="535"/>
      <c r="AE872" s="558"/>
      <c r="AH872" s="535"/>
      <c r="AI872" s="558"/>
      <c r="AL872" s="535"/>
      <c r="AP872" s="535"/>
    </row>
    <row r="873">
      <c r="A873" s="552"/>
      <c r="B873" s="552"/>
      <c r="N873" s="535"/>
      <c r="O873" s="558"/>
      <c r="R873" s="535"/>
      <c r="S873" s="558"/>
      <c r="V873" s="535"/>
      <c r="W873" s="558"/>
      <c r="Z873" s="535"/>
      <c r="AA873" s="558"/>
      <c r="AD873" s="535"/>
      <c r="AE873" s="558"/>
      <c r="AH873" s="535"/>
      <c r="AI873" s="558"/>
      <c r="AL873" s="535"/>
      <c r="AP873" s="535"/>
    </row>
    <row r="874">
      <c r="A874" s="552"/>
      <c r="B874" s="552"/>
      <c r="N874" s="535"/>
      <c r="O874" s="558"/>
      <c r="R874" s="535"/>
      <c r="S874" s="558"/>
      <c r="V874" s="535"/>
      <c r="W874" s="558"/>
      <c r="Z874" s="535"/>
      <c r="AA874" s="558"/>
      <c r="AD874" s="535"/>
      <c r="AE874" s="558"/>
      <c r="AH874" s="535"/>
      <c r="AI874" s="558"/>
      <c r="AL874" s="535"/>
      <c r="AP874" s="535"/>
    </row>
    <row r="875">
      <c r="A875" s="552"/>
      <c r="B875" s="552"/>
      <c r="N875" s="535"/>
      <c r="O875" s="558"/>
      <c r="R875" s="535"/>
      <c r="S875" s="558"/>
      <c r="V875" s="535"/>
      <c r="W875" s="558"/>
      <c r="Z875" s="535"/>
      <c r="AA875" s="558"/>
      <c r="AD875" s="535"/>
      <c r="AE875" s="558"/>
      <c r="AH875" s="535"/>
      <c r="AI875" s="558"/>
      <c r="AL875" s="535"/>
      <c r="AP875" s="535"/>
    </row>
    <row r="876">
      <c r="A876" s="552"/>
      <c r="B876" s="552"/>
      <c r="N876" s="535"/>
      <c r="O876" s="558"/>
      <c r="R876" s="535"/>
      <c r="S876" s="558"/>
      <c r="V876" s="535"/>
      <c r="W876" s="558"/>
      <c r="Z876" s="535"/>
      <c r="AA876" s="558"/>
      <c r="AD876" s="535"/>
      <c r="AE876" s="558"/>
      <c r="AH876" s="535"/>
      <c r="AI876" s="558"/>
      <c r="AL876" s="535"/>
      <c r="AP876" s="535"/>
    </row>
    <row r="877">
      <c r="A877" s="552"/>
      <c r="B877" s="552"/>
      <c r="N877" s="535"/>
      <c r="O877" s="558"/>
      <c r="R877" s="535"/>
      <c r="S877" s="558"/>
      <c r="V877" s="535"/>
      <c r="W877" s="558"/>
      <c r="Z877" s="535"/>
      <c r="AA877" s="558"/>
      <c r="AD877" s="535"/>
      <c r="AE877" s="558"/>
      <c r="AH877" s="535"/>
      <c r="AI877" s="558"/>
      <c r="AL877" s="535"/>
      <c r="AP877" s="535"/>
    </row>
    <row r="878">
      <c r="A878" s="552"/>
      <c r="B878" s="552"/>
      <c r="N878" s="535"/>
      <c r="O878" s="558"/>
      <c r="R878" s="535"/>
      <c r="S878" s="558"/>
      <c r="V878" s="535"/>
      <c r="W878" s="558"/>
      <c r="Z878" s="535"/>
      <c r="AA878" s="558"/>
      <c r="AD878" s="535"/>
      <c r="AE878" s="558"/>
      <c r="AH878" s="535"/>
      <c r="AI878" s="558"/>
      <c r="AL878" s="535"/>
      <c r="AP878" s="535"/>
    </row>
    <row r="879">
      <c r="A879" s="552"/>
      <c r="B879" s="552"/>
      <c r="N879" s="535"/>
      <c r="O879" s="558"/>
      <c r="R879" s="535"/>
      <c r="S879" s="558"/>
      <c r="V879" s="535"/>
      <c r="W879" s="558"/>
      <c r="Z879" s="535"/>
      <c r="AA879" s="558"/>
      <c r="AD879" s="535"/>
      <c r="AE879" s="558"/>
      <c r="AH879" s="535"/>
      <c r="AI879" s="558"/>
      <c r="AL879" s="535"/>
      <c r="AP879" s="535"/>
    </row>
    <row r="880">
      <c r="A880" s="552"/>
      <c r="B880" s="552"/>
      <c r="N880" s="535"/>
      <c r="O880" s="558"/>
      <c r="R880" s="535"/>
      <c r="S880" s="558"/>
      <c r="V880" s="535"/>
      <c r="W880" s="558"/>
      <c r="Z880" s="535"/>
      <c r="AA880" s="558"/>
      <c r="AD880" s="535"/>
      <c r="AE880" s="558"/>
      <c r="AH880" s="535"/>
      <c r="AI880" s="558"/>
      <c r="AL880" s="535"/>
      <c r="AP880" s="535"/>
    </row>
    <row r="881">
      <c r="A881" s="552"/>
      <c r="B881" s="552"/>
      <c r="N881" s="535"/>
      <c r="O881" s="558"/>
      <c r="R881" s="535"/>
      <c r="S881" s="558"/>
      <c r="V881" s="535"/>
      <c r="W881" s="558"/>
      <c r="Z881" s="535"/>
      <c r="AA881" s="558"/>
      <c r="AD881" s="535"/>
      <c r="AE881" s="558"/>
      <c r="AH881" s="535"/>
      <c r="AI881" s="558"/>
      <c r="AL881" s="535"/>
      <c r="AP881" s="535"/>
    </row>
    <row r="882">
      <c r="A882" s="552"/>
      <c r="B882" s="552"/>
      <c r="N882" s="535"/>
      <c r="O882" s="558"/>
      <c r="R882" s="535"/>
      <c r="S882" s="558"/>
      <c r="V882" s="535"/>
      <c r="W882" s="558"/>
      <c r="Z882" s="535"/>
      <c r="AA882" s="558"/>
      <c r="AD882" s="535"/>
      <c r="AE882" s="558"/>
      <c r="AH882" s="535"/>
      <c r="AI882" s="558"/>
      <c r="AL882" s="535"/>
      <c r="AP882" s="535"/>
    </row>
    <row r="883">
      <c r="A883" s="552"/>
      <c r="B883" s="552"/>
      <c r="N883" s="535"/>
      <c r="O883" s="558"/>
      <c r="R883" s="535"/>
      <c r="S883" s="558"/>
      <c r="V883" s="535"/>
      <c r="W883" s="558"/>
      <c r="Z883" s="535"/>
      <c r="AA883" s="558"/>
      <c r="AD883" s="535"/>
      <c r="AE883" s="558"/>
      <c r="AH883" s="535"/>
      <c r="AI883" s="558"/>
      <c r="AL883" s="535"/>
      <c r="AP883" s="535"/>
    </row>
    <row r="884">
      <c r="A884" s="552"/>
      <c r="B884" s="552"/>
      <c r="N884" s="535"/>
      <c r="O884" s="558"/>
      <c r="R884" s="535"/>
      <c r="S884" s="558"/>
      <c r="V884" s="535"/>
      <c r="W884" s="558"/>
      <c r="Z884" s="535"/>
      <c r="AA884" s="558"/>
      <c r="AD884" s="535"/>
      <c r="AE884" s="558"/>
      <c r="AH884" s="535"/>
      <c r="AI884" s="558"/>
      <c r="AL884" s="535"/>
      <c r="AP884" s="535"/>
    </row>
    <row r="885">
      <c r="A885" s="552"/>
      <c r="B885" s="552"/>
      <c r="N885" s="535"/>
      <c r="O885" s="558"/>
      <c r="R885" s="535"/>
      <c r="S885" s="558"/>
      <c r="V885" s="535"/>
      <c r="W885" s="558"/>
      <c r="Z885" s="535"/>
      <c r="AA885" s="558"/>
      <c r="AD885" s="535"/>
      <c r="AE885" s="558"/>
      <c r="AH885" s="535"/>
      <c r="AI885" s="558"/>
      <c r="AL885" s="535"/>
      <c r="AP885" s="535"/>
    </row>
    <row r="886">
      <c r="A886" s="552"/>
      <c r="B886" s="552"/>
      <c r="N886" s="535"/>
      <c r="O886" s="558"/>
      <c r="R886" s="535"/>
      <c r="S886" s="558"/>
      <c r="V886" s="535"/>
      <c r="W886" s="558"/>
      <c r="Z886" s="535"/>
      <c r="AA886" s="558"/>
      <c r="AD886" s="535"/>
      <c r="AE886" s="558"/>
      <c r="AH886" s="535"/>
      <c r="AI886" s="558"/>
      <c r="AL886" s="535"/>
      <c r="AP886" s="535"/>
    </row>
    <row r="887">
      <c r="A887" s="552"/>
      <c r="B887" s="552"/>
      <c r="N887" s="535"/>
      <c r="O887" s="558"/>
      <c r="R887" s="535"/>
      <c r="S887" s="558"/>
      <c r="V887" s="535"/>
      <c r="W887" s="558"/>
      <c r="Z887" s="535"/>
      <c r="AA887" s="558"/>
      <c r="AD887" s="535"/>
      <c r="AE887" s="558"/>
      <c r="AH887" s="535"/>
      <c r="AI887" s="558"/>
      <c r="AL887" s="535"/>
      <c r="AP887" s="535"/>
    </row>
    <row r="888">
      <c r="A888" s="552"/>
      <c r="B888" s="552"/>
      <c r="N888" s="535"/>
      <c r="O888" s="558"/>
      <c r="R888" s="535"/>
      <c r="S888" s="558"/>
      <c r="V888" s="535"/>
      <c r="W888" s="558"/>
      <c r="Z888" s="535"/>
      <c r="AA888" s="558"/>
      <c r="AD888" s="535"/>
      <c r="AE888" s="558"/>
      <c r="AH888" s="535"/>
      <c r="AI888" s="558"/>
      <c r="AL888" s="535"/>
      <c r="AP888" s="535"/>
    </row>
    <row r="889">
      <c r="A889" s="552"/>
      <c r="B889" s="552"/>
      <c r="N889" s="535"/>
      <c r="O889" s="558"/>
      <c r="R889" s="535"/>
      <c r="S889" s="558"/>
      <c r="V889" s="535"/>
      <c r="W889" s="558"/>
      <c r="Z889" s="535"/>
      <c r="AA889" s="558"/>
      <c r="AD889" s="535"/>
      <c r="AE889" s="558"/>
      <c r="AH889" s="535"/>
      <c r="AI889" s="558"/>
      <c r="AL889" s="535"/>
      <c r="AP889" s="535"/>
    </row>
    <row r="890">
      <c r="A890" s="552"/>
      <c r="B890" s="552"/>
      <c r="N890" s="535"/>
      <c r="O890" s="558"/>
      <c r="R890" s="535"/>
      <c r="S890" s="558"/>
      <c r="V890" s="535"/>
      <c r="W890" s="558"/>
      <c r="Z890" s="535"/>
      <c r="AA890" s="558"/>
      <c r="AD890" s="535"/>
      <c r="AE890" s="558"/>
      <c r="AH890" s="535"/>
      <c r="AI890" s="558"/>
      <c r="AL890" s="535"/>
      <c r="AP890" s="535"/>
    </row>
    <row r="891">
      <c r="A891" s="552"/>
      <c r="B891" s="552"/>
      <c r="N891" s="535"/>
      <c r="O891" s="558"/>
      <c r="R891" s="535"/>
      <c r="S891" s="558"/>
      <c r="V891" s="535"/>
      <c r="W891" s="558"/>
      <c r="Z891" s="535"/>
      <c r="AA891" s="558"/>
      <c r="AD891" s="535"/>
      <c r="AE891" s="558"/>
      <c r="AH891" s="535"/>
      <c r="AI891" s="558"/>
      <c r="AL891" s="535"/>
      <c r="AP891" s="535"/>
    </row>
    <row r="892">
      <c r="A892" s="552"/>
      <c r="B892" s="552"/>
      <c r="N892" s="535"/>
      <c r="O892" s="558"/>
      <c r="R892" s="535"/>
      <c r="S892" s="558"/>
      <c r="V892" s="535"/>
      <c r="W892" s="558"/>
      <c r="Z892" s="535"/>
      <c r="AA892" s="558"/>
      <c r="AD892" s="535"/>
      <c r="AE892" s="558"/>
      <c r="AH892" s="535"/>
      <c r="AI892" s="558"/>
      <c r="AL892" s="535"/>
      <c r="AP892" s="535"/>
    </row>
    <row r="893">
      <c r="A893" s="552"/>
      <c r="B893" s="552"/>
      <c r="N893" s="535"/>
      <c r="O893" s="558"/>
      <c r="R893" s="535"/>
      <c r="S893" s="558"/>
      <c r="V893" s="535"/>
      <c r="W893" s="558"/>
      <c r="Z893" s="535"/>
      <c r="AA893" s="558"/>
      <c r="AD893" s="535"/>
      <c r="AE893" s="558"/>
      <c r="AH893" s="535"/>
      <c r="AI893" s="558"/>
      <c r="AL893" s="535"/>
      <c r="AP893" s="535"/>
    </row>
    <row r="894">
      <c r="A894" s="552"/>
      <c r="B894" s="552"/>
      <c r="N894" s="535"/>
      <c r="O894" s="558"/>
      <c r="R894" s="535"/>
      <c r="S894" s="558"/>
      <c r="V894" s="535"/>
      <c r="W894" s="558"/>
      <c r="Z894" s="535"/>
      <c r="AA894" s="558"/>
      <c r="AD894" s="535"/>
      <c r="AE894" s="558"/>
      <c r="AH894" s="535"/>
      <c r="AI894" s="558"/>
      <c r="AL894" s="535"/>
      <c r="AP894" s="535"/>
    </row>
    <row r="895">
      <c r="A895" s="552"/>
      <c r="B895" s="552"/>
      <c r="N895" s="535"/>
      <c r="O895" s="558"/>
      <c r="R895" s="535"/>
      <c r="S895" s="558"/>
      <c r="V895" s="535"/>
      <c r="W895" s="558"/>
      <c r="Z895" s="535"/>
      <c r="AA895" s="558"/>
      <c r="AD895" s="535"/>
      <c r="AE895" s="558"/>
      <c r="AH895" s="535"/>
      <c r="AI895" s="558"/>
      <c r="AL895" s="535"/>
      <c r="AP895" s="535"/>
    </row>
    <row r="896">
      <c r="A896" s="552"/>
      <c r="B896" s="552"/>
      <c r="N896" s="535"/>
      <c r="O896" s="558"/>
      <c r="R896" s="535"/>
      <c r="S896" s="558"/>
      <c r="V896" s="535"/>
      <c r="W896" s="558"/>
      <c r="Z896" s="535"/>
      <c r="AA896" s="558"/>
      <c r="AD896" s="535"/>
      <c r="AE896" s="558"/>
      <c r="AH896" s="535"/>
      <c r="AI896" s="558"/>
      <c r="AL896" s="535"/>
      <c r="AP896" s="535"/>
    </row>
    <row r="897">
      <c r="A897" s="552"/>
      <c r="B897" s="552"/>
      <c r="N897" s="535"/>
      <c r="O897" s="558"/>
      <c r="R897" s="535"/>
      <c r="S897" s="558"/>
      <c r="V897" s="535"/>
      <c r="W897" s="558"/>
      <c r="Z897" s="535"/>
      <c r="AA897" s="558"/>
      <c r="AD897" s="535"/>
      <c r="AE897" s="558"/>
      <c r="AH897" s="535"/>
      <c r="AI897" s="558"/>
      <c r="AL897" s="535"/>
      <c r="AP897" s="535"/>
    </row>
    <row r="898">
      <c r="A898" s="552"/>
      <c r="B898" s="552"/>
      <c r="N898" s="535"/>
      <c r="O898" s="558"/>
      <c r="R898" s="535"/>
      <c r="S898" s="558"/>
      <c r="V898" s="535"/>
      <c r="W898" s="558"/>
      <c r="Z898" s="535"/>
      <c r="AA898" s="558"/>
      <c r="AD898" s="535"/>
      <c r="AE898" s="558"/>
      <c r="AH898" s="535"/>
      <c r="AI898" s="558"/>
      <c r="AL898" s="535"/>
      <c r="AP898" s="535"/>
    </row>
    <row r="899">
      <c r="A899" s="552"/>
      <c r="B899" s="552"/>
      <c r="N899" s="535"/>
      <c r="O899" s="558"/>
      <c r="R899" s="535"/>
      <c r="S899" s="558"/>
      <c r="V899" s="535"/>
      <c r="W899" s="558"/>
      <c r="Z899" s="535"/>
      <c r="AA899" s="558"/>
      <c r="AD899" s="535"/>
      <c r="AE899" s="558"/>
      <c r="AH899" s="535"/>
      <c r="AI899" s="558"/>
      <c r="AL899" s="535"/>
      <c r="AP899" s="535"/>
    </row>
    <row r="900">
      <c r="A900" s="552"/>
      <c r="B900" s="552"/>
      <c r="N900" s="535"/>
      <c r="O900" s="558"/>
      <c r="R900" s="535"/>
      <c r="S900" s="558"/>
      <c r="V900" s="535"/>
      <c r="W900" s="558"/>
      <c r="Z900" s="535"/>
      <c r="AA900" s="558"/>
      <c r="AD900" s="535"/>
      <c r="AE900" s="558"/>
      <c r="AH900" s="535"/>
      <c r="AI900" s="558"/>
      <c r="AL900" s="535"/>
      <c r="AP900" s="535"/>
    </row>
    <row r="901">
      <c r="A901" s="552"/>
      <c r="B901" s="552"/>
      <c r="N901" s="535"/>
      <c r="O901" s="558"/>
      <c r="R901" s="535"/>
      <c r="S901" s="558"/>
      <c r="V901" s="535"/>
      <c r="W901" s="558"/>
      <c r="Z901" s="535"/>
      <c r="AA901" s="558"/>
      <c r="AD901" s="535"/>
      <c r="AE901" s="558"/>
      <c r="AH901" s="535"/>
      <c r="AI901" s="558"/>
      <c r="AL901" s="535"/>
      <c r="AP901" s="535"/>
    </row>
    <row r="902">
      <c r="A902" s="552"/>
      <c r="B902" s="552"/>
      <c r="N902" s="535"/>
      <c r="O902" s="558"/>
      <c r="R902" s="535"/>
      <c r="S902" s="558"/>
      <c r="V902" s="535"/>
      <c r="W902" s="558"/>
      <c r="Z902" s="535"/>
      <c r="AA902" s="558"/>
      <c r="AD902" s="535"/>
      <c r="AE902" s="558"/>
      <c r="AH902" s="535"/>
      <c r="AI902" s="558"/>
      <c r="AL902" s="535"/>
      <c r="AP902" s="535"/>
    </row>
    <row r="903">
      <c r="A903" s="552"/>
      <c r="B903" s="552"/>
      <c r="N903" s="535"/>
      <c r="O903" s="558"/>
      <c r="R903" s="535"/>
      <c r="S903" s="558"/>
      <c r="V903" s="535"/>
      <c r="W903" s="558"/>
      <c r="Z903" s="535"/>
      <c r="AA903" s="558"/>
      <c r="AD903" s="535"/>
      <c r="AE903" s="558"/>
      <c r="AH903" s="535"/>
      <c r="AI903" s="558"/>
      <c r="AL903" s="535"/>
      <c r="AP903" s="535"/>
    </row>
    <row r="904">
      <c r="A904" s="552"/>
      <c r="B904" s="552"/>
      <c r="N904" s="535"/>
      <c r="O904" s="558"/>
      <c r="R904" s="535"/>
      <c r="S904" s="558"/>
      <c r="V904" s="535"/>
      <c r="W904" s="558"/>
      <c r="Z904" s="535"/>
      <c r="AA904" s="558"/>
      <c r="AD904" s="535"/>
      <c r="AE904" s="558"/>
      <c r="AH904" s="535"/>
      <c r="AI904" s="558"/>
      <c r="AL904" s="535"/>
      <c r="AP904" s="535"/>
    </row>
    <row r="905">
      <c r="A905" s="552"/>
      <c r="B905" s="552"/>
      <c r="N905" s="535"/>
      <c r="O905" s="558"/>
      <c r="R905" s="535"/>
      <c r="S905" s="558"/>
      <c r="V905" s="535"/>
      <c r="W905" s="558"/>
      <c r="Z905" s="535"/>
      <c r="AA905" s="558"/>
      <c r="AD905" s="535"/>
      <c r="AE905" s="558"/>
      <c r="AH905" s="535"/>
      <c r="AI905" s="558"/>
      <c r="AL905" s="535"/>
      <c r="AP905" s="535"/>
    </row>
    <row r="906">
      <c r="A906" s="552"/>
      <c r="B906" s="552"/>
      <c r="N906" s="535"/>
      <c r="O906" s="558"/>
      <c r="R906" s="535"/>
      <c r="S906" s="558"/>
      <c r="V906" s="535"/>
      <c r="W906" s="558"/>
      <c r="Z906" s="535"/>
      <c r="AA906" s="558"/>
      <c r="AD906" s="535"/>
      <c r="AE906" s="558"/>
      <c r="AH906" s="535"/>
      <c r="AI906" s="558"/>
      <c r="AL906" s="535"/>
      <c r="AP906" s="535"/>
    </row>
    <row r="907">
      <c r="A907" s="552"/>
      <c r="B907" s="552"/>
      <c r="N907" s="535"/>
      <c r="O907" s="558"/>
      <c r="R907" s="535"/>
      <c r="S907" s="558"/>
      <c r="V907" s="535"/>
      <c r="W907" s="558"/>
      <c r="Z907" s="535"/>
      <c r="AA907" s="558"/>
      <c r="AD907" s="535"/>
      <c r="AE907" s="558"/>
      <c r="AH907" s="535"/>
      <c r="AI907" s="558"/>
      <c r="AL907" s="535"/>
      <c r="AP907" s="535"/>
    </row>
    <row r="908">
      <c r="A908" s="552"/>
      <c r="B908" s="552"/>
      <c r="N908" s="535"/>
      <c r="O908" s="558"/>
      <c r="R908" s="535"/>
      <c r="S908" s="558"/>
      <c r="V908" s="535"/>
      <c r="W908" s="558"/>
      <c r="Z908" s="535"/>
      <c r="AA908" s="558"/>
      <c r="AD908" s="535"/>
      <c r="AE908" s="558"/>
      <c r="AH908" s="535"/>
      <c r="AI908" s="558"/>
      <c r="AL908" s="535"/>
      <c r="AP908" s="535"/>
    </row>
    <row r="909">
      <c r="A909" s="552"/>
      <c r="B909" s="552"/>
      <c r="N909" s="535"/>
      <c r="O909" s="558"/>
      <c r="R909" s="535"/>
      <c r="S909" s="558"/>
      <c r="V909" s="535"/>
      <c r="W909" s="558"/>
      <c r="Z909" s="535"/>
      <c r="AA909" s="558"/>
      <c r="AD909" s="535"/>
      <c r="AE909" s="558"/>
      <c r="AH909" s="535"/>
      <c r="AI909" s="558"/>
      <c r="AL909" s="535"/>
      <c r="AP909" s="535"/>
    </row>
    <row r="910">
      <c r="A910" s="552"/>
      <c r="B910" s="552"/>
      <c r="N910" s="535"/>
      <c r="O910" s="558"/>
      <c r="R910" s="535"/>
      <c r="S910" s="558"/>
      <c r="V910" s="535"/>
      <c r="W910" s="558"/>
      <c r="Z910" s="535"/>
      <c r="AA910" s="558"/>
      <c r="AD910" s="535"/>
      <c r="AE910" s="558"/>
      <c r="AH910" s="535"/>
      <c r="AI910" s="558"/>
      <c r="AL910" s="535"/>
      <c r="AP910" s="535"/>
    </row>
    <row r="911">
      <c r="A911" s="552"/>
      <c r="B911" s="552"/>
      <c r="N911" s="535"/>
      <c r="O911" s="558"/>
      <c r="R911" s="535"/>
      <c r="S911" s="558"/>
      <c r="V911" s="535"/>
      <c r="W911" s="558"/>
      <c r="Z911" s="535"/>
      <c r="AA911" s="558"/>
      <c r="AD911" s="535"/>
      <c r="AE911" s="558"/>
      <c r="AH911" s="535"/>
      <c r="AI911" s="558"/>
      <c r="AL911" s="535"/>
      <c r="AP911" s="535"/>
    </row>
    <row r="912">
      <c r="A912" s="552"/>
      <c r="B912" s="552"/>
      <c r="N912" s="535"/>
      <c r="O912" s="558"/>
      <c r="R912" s="535"/>
      <c r="S912" s="558"/>
      <c r="V912" s="535"/>
      <c r="W912" s="558"/>
      <c r="Z912" s="535"/>
      <c r="AA912" s="558"/>
      <c r="AD912" s="535"/>
      <c r="AE912" s="558"/>
      <c r="AH912" s="535"/>
      <c r="AI912" s="558"/>
      <c r="AL912" s="535"/>
      <c r="AP912" s="535"/>
    </row>
    <row r="913">
      <c r="A913" s="552"/>
      <c r="B913" s="552"/>
      <c r="N913" s="535"/>
      <c r="O913" s="558"/>
      <c r="R913" s="535"/>
      <c r="S913" s="558"/>
      <c r="V913" s="535"/>
      <c r="W913" s="558"/>
      <c r="Z913" s="535"/>
      <c r="AA913" s="558"/>
      <c r="AD913" s="535"/>
      <c r="AE913" s="558"/>
      <c r="AH913" s="535"/>
      <c r="AI913" s="558"/>
      <c r="AL913" s="535"/>
      <c r="AP913" s="535"/>
    </row>
    <row r="914">
      <c r="A914" s="552"/>
      <c r="B914" s="552"/>
      <c r="N914" s="535"/>
      <c r="O914" s="558"/>
      <c r="R914" s="535"/>
      <c r="S914" s="558"/>
      <c r="V914" s="535"/>
      <c r="W914" s="558"/>
      <c r="Z914" s="535"/>
      <c r="AA914" s="558"/>
      <c r="AD914" s="535"/>
      <c r="AE914" s="558"/>
      <c r="AH914" s="535"/>
      <c r="AI914" s="558"/>
      <c r="AL914" s="535"/>
      <c r="AP914" s="535"/>
    </row>
    <row r="915">
      <c r="A915" s="552"/>
      <c r="B915" s="552"/>
      <c r="N915" s="535"/>
      <c r="O915" s="558"/>
      <c r="R915" s="535"/>
      <c r="S915" s="558"/>
      <c r="V915" s="535"/>
      <c r="W915" s="558"/>
      <c r="Z915" s="535"/>
      <c r="AA915" s="558"/>
      <c r="AD915" s="535"/>
      <c r="AE915" s="558"/>
      <c r="AH915" s="535"/>
      <c r="AI915" s="558"/>
      <c r="AL915" s="535"/>
      <c r="AP915" s="535"/>
    </row>
    <row r="916">
      <c r="A916" s="552"/>
      <c r="B916" s="552"/>
      <c r="N916" s="535"/>
      <c r="O916" s="558"/>
      <c r="R916" s="535"/>
      <c r="S916" s="558"/>
      <c r="V916" s="535"/>
      <c r="W916" s="558"/>
      <c r="Z916" s="535"/>
      <c r="AA916" s="558"/>
      <c r="AD916" s="535"/>
      <c r="AE916" s="558"/>
      <c r="AH916" s="535"/>
      <c r="AI916" s="558"/>
      <c r="AL916" s="535"/>
      <c r="AP916" s="535"/>
    </row>
    <row r="917">
      <c r="A917" s="552"/>
      <c r="B917" s="552"/>
      <c r="N917" s="535"/>
      <c r="O917" s="558"/>
      <c r="R917" s="535"/>
      <c r="S917" s="558"/>
      <c r="V917" s="535"/>
      <c r="W917" s="558"/>
      <c r="Z917" s="535"/>
      <c r="AA917" s="558"/>
      <c r="AD917" s="535"/>
      <c r="AE917" s="558"/>
      <c r="AH917" s="535"/>
      <c r="AI917" s="558"/>
      <c r="AL917" s="535"/>
      <c r="AP917" s="535"/>
    </row>
    <row r="918">
      <c r="A918" s="552"/>
      <c r="B918" s="552"/>
      <c r="N918" s="535"/>
      <c r="O918" s="558"/>
      <c r="R918" s="535"/>
      <c r="S918" s="558"/>
      <c r="V918" s="535"/>
      <c r="W918" s="558"/>
      <c r="Z918" s="535"/>
      <c r="AA918" s="558"/>
      <c r="AD918" s="535"/>
      <c r="AE918" s="558"/>
      <c r="AH918" s="535"/>
      <c r="AI918" s="558"/>
      <c r="AL918" s="535"/>
      <c r="AP918" s="535"/>
    </row>
    <row r="919">
      <c r="A919" s="552"/>
      <c r="B919" s="552"/>
      <c r="N919" s="535"/>
      <c r="O919" s="558"/>
      <c r="R919" s="535"/>
      <c r="S919" s="558"/>
      <c r="V919" s="535"/>
      <c r="W919" s="558"/>
      <c r="Z919" s="535"/>
      <c r="AA919" s="558"/>
      <c r="AD919" s="535"/>
      <c r="AE919" s="558"/>
      <c r="AH919" s="535"/>
      <c r="AI919" s="558"/>
      <c r="AL919" s="535"/>
      <c r="AP919" s="535"/>
    </row>
    <row r="920">
      <c r="A920" s="552"/>
      <c r="B920" s="552"/>
      <c r="N920" s="535"/>
      <c r="O920" s="558"/>
      <c r="R920" s="535"/>
      <c r="S920" s="558"/>
      <c r="V920" s="535"/>
      <c r="W920" s="558"/>
      <c r="Z920" s="535"/>
      <c r="AA920" s="558"/>
      <c r="AD920" s="535"/>
      <c r="AE920" s="558"/>
      <c r="AH920" s="535"/>
      <c r="AI920" s="558"/>
      <c r="AL920" s="535"/>
      <c r="AP920" s="535"/>
    </row>
    <row r="921">
      <c r="A921" s="552"/>
      <c r="B921" s="552"/>
      <c r="N921" s="535"/>
      <c r="O921" s="558"/>
      <c r="R921" s="535"/>
      <c r="S921" s="558"/>
      <c r="V921" s="535"/>
      <c r="W921" s="558"/>
      <c r="Z921" s="535"/>
      <c r="AA921" s="558"/>
      <c r="AD921" s="535"/>
      <c r="AE921" s="558"/>
      <c r="AH921" s="535"/>
      <c r="AI921" s="558"/>
      <c r="AL921" s="535"/>
      <c r="AP921" s="535"/>
    </row>
    <row r="922">
      <c r="A922" s="552"/>
      <c r="B922" s="552"/>
      <c r="N922" s="535"/>
      <c r="O922" s="558"/>
      <c r="R922" s="535"/>
      <c r="S922" s="558"/>
      <c r="V922" s="535"/>
      <c r="W922" s="558"/>
      <c r="Z922" s="535"/>
      <c r="AA922" s="558"/>
      <c r="AD922" s="535"/>
      <c r="AE922" s="558"/>
      <c r="AH922" s="535"/>
      <c r="AI922" s="558"/>
      <c r="AL922" s="535"/>
      <c r="AP922" s="535"/>
    </row>
    <row r="923">
      <c r="A923" s="552"/>
      <c r="B923" s="552"/>
      <c r="N923" s="535"/>
      <c r="O923" s="558"/>
      <c r="R923" s="535"/>
      <c r="S923" s="558"/>
      <c r="V923" s="535"/>
      <c r="W923" s="558"/>
      <c r="Z923" s="535"/>
      <c r="AA923" s="558"/>
      <c r="AD923" s="535"/>
      <c r="AE923" s="558"/>
      <c r="AH923" s="535"/>
      <c r="AI923" s="558"/>
      <c r="AL923" s="535"/>
      <c r="AP923" s="535"/>
    </row>
    <row r="924">
      <c r="A924" s="552"/>
      <c r="B924" s="552"/>
      <c r="N924" s="535"/>
      <c r="O924" s="558"/>
      <c r="R924" s="535"/>
      <c r="S924" s="558"/>
      <c r="V924" s="535"/>
      <c r="W924" s="558"/>
      <c r="Z924" s="535"/>
      <c r="AA924" s="558"/>
      <c r="AD924" s="535"/>
      <c r="AE924" s="558"/>
      <c r="AH924" s="535"/>
      <c r="AI924" s="558"/>
      <c r="AL924" s="535"/>
      <c r="AP924" s="535"/>
    </row>
    <row r="925">
      <c r="A925" s="552"/>
      <c r="B925" s="552"/>
      <c r="N925" s="535"/>
      <c r="O925" s="558"/>
      <c r="R925" s="535"/>
      <c r="S925" s="558"/>
      <c r="V925" s="535"/>
      <c r="W925" s="558"/>
      <c r="Z925" s="535"/>
      <c r="AA925" s="558"/>
      <c r="AD925" s="535"/>
      <c r="AE925" s="558"/>
      <c r="AH925" s="535"/>
      <c r="AI925" s="558"/>
      <c r="AL925" s="535"/>
      <c r="AP925" s="535"/>
    </row>
    <row r="926">
      <c r="A926" s="552"/>
      <c r="B926" s="552"/>
      <c r="N926" s="535"/>
      <c r="O926" s="558"/>
      <c r="R926" s="535"/>
      <c r="S926" s="558"/>
      <c r="V926" s="535"/>
      <c r="W926" s="558"/>
      <c r="Z926" s="535"/>
      <c r="AA926" s="558"/>
      <c r="AD926" s="535"/>
      <c r="AE926" s="558"/>
      <c r="AH926" s="535"/>
      <c r="AI926" s="558"/>
      <c r="AL926" s="535"/>
      <c r="AP926" s="535"/>
    </row>
    <row r="927">
      <c r="A927" s="552"/>
      <c r="B927" s="552"/>
      <c r="N927" s="535"/>
      <c r="O927" s="558"/>
      <c r="R927" s="535"/>
      <c r="S927" s="558"/>
      <c r="V927" s="535"/>
      <c r="W927" s="558"/>
      <c r="Z927" s="535"/>
      <c r="AA927" s="558"/>
      <c r="AD927" s="535"/>
      <c r="AE927" s="558"/>
      <c r="AH927" s="535"/>
      <c r="AI927" s="558"/>
      <c r="AL927" s="535"/>
      <c r="AP927" s="535"/>
    </row>
    <row r="928">
      <c r="A928" s="552"/>
      <c r="B928" s="552"/>
      <c r="N928" s="535"/>
      <c r="O928" s="558"/>
      <c r="R928" s="535"/>
      <c r="S928" s="558"/>
      <c r="V928" s="535"/>
      <c r="W928" s="558"/>
      <c r="Z928" s="535"/>
      <c r="AA928" s="558"/>
      <c r="AD928" s="535"/>
      <c r="AE928" s="558"/>
      <c r="AH928" s="535"/>
      <c r="AI928" s="558"/>
      <c r="AL928" s="535"/>
      <c r="AP928" s="535"/>
    </row>
    <row r="929">
      <c r="A929" s="552"/>
      <c r="B929" s="552"/>
      <c r="N929" s="535"/>
      <c r="O929" s="558"/>
      <c r="R929" s="535"/>
      <c r="S929" s="558"/>
      <c r="V929" s="535"/>
      <c r="W929" s="558"/>
      <c r="Z929" s="535"/>
      <c r="AA929" s="558"/>
      <c r="AD929" s="535"/>
      <c r="AE929" s="558"/>
      <c r="AH929" s="535"/>
      <c r="AI929" s="558"/>
      <c r="AL929" s="535"/>
      <c r="AP929" s="535"/>
    </row>
    <row r="930">
      <c r="A930" s="552"/>
      <c r="B930" s="552"/>
      <c r="N930" s="535"/>
      <c r="O930" s="558"/>
      <c r="R930" s="535"/>
      <c r="S930" s="558"/>
      <c r="V930" s="535"/>
      <c r="W930" s="558"/>
      <c r="Z930" s="535"/>
      <c r="AA930" s="558"/>
      <c r="AD930" s="535"/>
      <c r="AE930" s="558"/>
      <c r="AH930" s="535"/>
      <c r="AI930" s="558"/>
      <c r="AL930" s="535"/>
      <c r="AP930" s="535"/>
    </row>
    <row r="931">
      <c r="A931" s="552"/>
      <c r="B931" s="552"/>
      <c r="N931" s="535"/>
      <c r="O931" s="558"/>
      <c r="R931" s="535"/>
      <c r="S931" s="558"/>
      <c r="V931" s="535"/>
      <c r="W931" s="558"/>
      <c r="Z931" s="535"/>
      <c r="AA931" s="558"/>
      <c r="AD931" s="535"/>
      <c r="AE931" s="558"/>
      <c r="AH931" s="535"/>
      <c r="AI931" s="558"/>
      <c r="AL931" s="535"/>
      <c r="AP931" s="535"/>
    </row>
    <row r="932">
      <c r="A932" s="552"/>
      <c r="B932" s="552"/>
      <c r="N932" s="535"/>
      <c r="O932" s="558"/>
      <c r="R932" s="535"/>
      <c r="S932" s="558"/>
      <c r="V932" s="535"/>
      <c r="W932" s="558"/>
      <c r="Z932" s="535"/>
      <c r="AA932" s="558"/>
      <c r="AD932" s="535"/>
      <c r="AE932" s="558"/>
      <c r="AH932" s="535"/>
      <c r="AI932" s="558"/>
      <c r="AL932" s="535"/>
      <c r="AP932" s="535"/>
    </row>
    <row r="933">
      <c r="A933" s="552"/>
      <c r="B933" s="552"/>
      <c r="N933" s="535"/>
      <c r="O933" s="558"/>
      <c r="R933" s="535"/>
      <c r="S933" s="558"/>
      <c r="V933" s="535"/>
      <c r="W933" s="558"/>
      <c r="Z933" s="535"/>
      <c r="AA933" s="558"/>
      <c r="AD933" s="535"/>
      <c r="AE933" s="558"/>
      <c r="AH933" s="535"/>
      <c r="AI933" s="558"/>
      <c r="AL933" s="535"/>
      <c r="AP933" s="535"/>
    </row>
    <row r="934">
      <c r="A934" s="552"/>
      <c r="B934" s="552"/>
      <c r="N934" s="535"/>
      <c r="O934" s="558"/>
      <c r="R934" s="535"/>
      <c r="S934" s="558"/>
      <c r="V934" s="535"/>
      <c r="W934" s="558"/>
      <c r="Z934" s="535"/>
      <c r="AA934" s="558"/>
      <c r="AD934" s="535"/>
      <c r="AE934" s="558"/>
      <c r="AH934" s="535"/>
      <c r="AI934" s="558"/>
      <c r="AL934" s="535"/>
      <c r="AP934" s="535"/>
    </row>
    <row r="935">
      <c r="A935" s="552"/>
      <c r="B935" s="552"/>
      <c r="N935" s="535"/>
      <c r="O935" s="558"/>
      <c r="R935" s="535"/>
      <c r="S935" s="558"/>
      <c r="V935" s="535"/>
      <c r="W935" s="558"/>
      <c r="Z935" s="535"/>
      <c r="AA935" s="558"/>
      <c r="AD935" s="535"/>
      <c r="AE935" s="558"/>
      <c r="AH935" s="535"/>
      <c r="AI935" s="558"/>
      <c r="AL935" s="535"/>
      <c r="AP935" s="535"/>
    </row>
    <row r="936">
      <c r="A936" s="552"/>
      <c r="B936" s="552"/>
      <c r="N936" s="535"/>
      <c r="O936" s="558"/>
      <c r="R936" s="535"/>
      <c r="S936" s="558"/>
      <c r="V936" s="535"/>
      <c r="W936" s="558"/>
      <c r="Z936" s="535"/>
      <c r="AA936" s="558"/>
      <c r="AD936" s="535"/>
      <c r="AE936" s="558"/>
      <c r="AH936" s="535"/>
      <c r="AI936" s="558"/>
      <c r="AL936" s="535"/>
      <c r="AP936" s="535"/>
    </row>
    <row r="937">
      <c r="A937" s="552"/>
      <c r="B937" s="552"/>
      <c r="N937" s="535"/>
      <c r="O937" s="558"/>
      <c r="R937" s="535"/>
      <c r="S937" s="558"/>
      <c r="V937" s="535"/>
      <c r="W937" s="558"/>
      <c r="Z937" s="535"/>
      <c r="AA937" s="558"/>
      <c r="AD937" s="535"/>
      <c r="AE937" s="558"/>
      <c r="AH937" s="535"/>
      <c r="AI937" s="558"/>
      <c r="AL937" s="535"/>
      <c r="AP937" s="535"/>
    </row>
    <row r="938">
      <c r="A938" s="552"/>
      <c r="B938" s="552"/>
      <c r="N938" s="535"/>
      <c r="O938" s="558"/>
      <c r="R938" s="535"/>
      <c r="S938" s="558"/>
      <c r="V938" s="535"/>
      <c r="W938" s="558"/>
      <c r="Z938" s="535"/>
      <c r="AA938" s="558"/>
      <c r="AD938" s="535"/>
      <c r="AE938" s="558"/>
      <c r="AH938" s="535"/>
      <c r="AI938" s="558"/>
      <c r="AL938" s="535"/>
      <c r="AP938" s="535"/>
    </row>
    <row r="939">
      <c r="A939" s="552"/>
      <c r="B939" s="552"/>
      <c r="N939" s="535"/>
      <c r="O939" s="558"/>
      <c r="R939" s="535"/>
      <c r="S939" s="558"/>
      <c r="V939" s="535"/>
      <c r="W939" s="558"/>
      <c r="Z939" s="535"/>
      <c r="AA939" s="558"/>
      <c r="AD939" s="535"/>
      <c r="AE939" s="558"/>
      <c r="AH939" s="535"/>
      <c r="AI939" s="558"/>
      <c r="AL939" s="535"/>
      <c r="AP939" s="535"/>
    </row>
    <row r="940">
      <c r="A940" s="552"/>
      <c r="B940" s="552"/>
      <c r="N940" s="535"/>
      <c r="O940" s="558"/>
      <c r="R940" s="535"/>
      <c r="S940" s="558"/>
      <c r="V940" s="535"/>
      <c r="W940" s="558"/>
      <c r="Z940" s="535"/>
      <c r="AA940" s="558"/>
      <c r="AD940" s="535"/>
      <c r="AE940" s="558"/>
      <c r="AH940" s="535"/>
      <c r="AI940" s="558"/>
      <c r="AL940" s="535"/>
      <c r="AP940" s="535"/>
    </row>
    <row r="941">
      <c r="A941" s="552"/>
      <c r="B941" s="552"/>
      <c r="N941" s="535"/>
      <c r="O941" s="558"/>
      <c r="R941" s="535"/>
      <c r="S941" s="558"/>
      <c r="V941" s="535"/>
      <c r="W941" s="558"/>
      <c r="Z941" s="535"/>
      <c r="AA941" s="558"/>
      <c r="AD941" s="535"/>
      <c r="AE941" s="558"/>
      <c r="AH941" s="535"/>
      <c r="AI941" s="558"/>
      <c r="AL941" s="535"/>
      <c r="AP941" s="535"/>
    </row>
    <row r="942">
      <c r="A942" s="552"/>
      <c r="B942" s="552"/>
      <c r="N942" s="535"/>
      <c r="O942" s="558"/>
      <c r="R942" s="535"/>
      <c r="S942" s="558"/>
      <c r="V942" s="535"/>
      <c r="W942" s="558"/>
      <c r="Z942" s="535"/>
      <c r="AA942" s="558"/>
      <c r="AD942" s="535"/>
      <c r="AE942" s="558"/>
      <c r="AH942" s="535"/>
      <c r="AI942" s="558"/>
      <c r="AL942" s="535"/>
      <c r="AP942" s="535"/>
    </row>
    <row r="943">
      <c r="A943" s="552"/>
      <c r="B943" s="552"/>
      <c r="N943" s="535"/>
      <c r="O943" s="558"/>
      <c r="R943" s="535"/>
      <c r="S943" s="558"/>
      <c r="V943" s="535"/>
      <c r="W943" s="558"/>
      <c r="Z943" s="535"/>
      <c r="AA943" s="558"/>
      <c r="AD943" s="535"/>
      <c r="AE943" s="558"/>
      <c r="AH943" s="535"/>
      <c r="AI943" s="558"/>
      <c r="AL943" s="535"/>
      <c r="AP943" s="535"/>
    </row>
    <row r="944">
      <c r="A944" s="552"/>
      <c r="B944" s="552"/>
      <c r="N944" s="535"/>
      <c r="O944" s="558"/>
      <c r="R944" s="535"/>
      <c r="S944" s="558"/>
      <c r="V944" s="535"/>
      <c r="W944" s="558"/>
      <c r="Z944" s="535"/>
      <c r="AA944" s="558"/>
      <c r="AD944" s="535"/>
      <c r="AE944" s="558"/>
      <c r="AH944" s="535"/>
      <c r="AI944" s="558"/>
      <c r="AL944" s="535"/>
      <c r="AP944" s="535"/>
    </row>
    <row r="945">
      <c r="A945" s="552"/>
      <c r="B945" s="552"/>
      <c r="N945" s="535"/>
      <c r="O945" s="558"/>
      <c r="R945" s="535"/>
      <c r="S945" s="558"/>
      <c r="V945" s="535"/>
      <c r="W945" s="558"/>
      <c r="Z945" s="535"/>
      <c r="AA945" s="558"/>
      <c r="AD945" s="535"/>
      <c r="AE945" s="558"/>
      <c r="AH945" s="535"/>
      <c r="AI945" s="558"/>
      <c r="AL945" s="535"/>
      <c r="AP945" s="535"/>
    </row>
    <row r="946">
      <c r="A946" s="552"/>
      <c r="B946" s="552"/>
      <c r="N946" s="535"/>
      <c r="O946" s="558"/>
      <c r="R946" s="535"/>
      <c r="S946" s="558"/>
      <c r="V946" s="535"/>
      <c r="W946" s="558"/>
      <c r="Z946" s="535"/>
      <c r="AA946" s="558"/>
      <c r="AD946" s="535"/>
      <c r="AE946" s="558"/>
      <c r="AH946" s="535"/>
      <c r="AI946" s="558"/>
      <c r="AL946" s="535"/>
      <c r="AP946" s="535"/>
    </row>
    <row r="947">
      <c r="A947" s="552"/>
      <c r="B947" s="552"/>
      <c r="N947" s="535"/>
      <c r="O947" s="558"/>
      <c r="R947" s="535"/>
      <c r="S947" s="558"/>
      <c r="V947" s="535"/>
      <c r="W947" s="558"/>
      <c r="Z947" s="535"/>
      <c r="AA947" s="558"/>
      <c r="AD947" s="535"/>
      <c r="AE947" s="558"/>
      <c r="AH947" s="535"/>
      <c r="AI947" s="558"/>
      <c r="AL947" s="535"/>
      <c r="AP947" s="535"/>
    </row>
    <row r="948">
      <c r="A948" s="552"/>
      <c r="B948" s="552"/>
      <c r="N948" s="535"/>
      <c r="O948" s="558"/>
      <c r="R948" s="535"/>
      <c r="S948" s="558"/>
      <c r="V948" s="535"/>
      <c r="W948" s="558"/>
      <c r="Z948" s="535"/>
      <c r="AA948" s="558"/>
      <c r="AD948" s="535"/>
      <c r="AE948" s="558"/>
      <c r="AH948" s="535"/>
      <c r="AI948" s="558"/>
      <c r="AL948" s="535"/>
      <c r="AP948" s="535"/>
    </row>
    <row r="949">
      <c r="A949" s="552"/>
      <c r="B949" s="552"/>
      <c r="N949" s="535"/>
      <c r="O949" s="558"/>
      <c r="R949" s="535"/>
      <c r="S949" s="558"/>
      <c r="V949" s="535"/>
      <c r="W949" s="558"/>
      <c r="Z949" s="535"/>
      <c r="AA949" s="558"/>
      <c r="AD949" s="535"/>
      <c r="AE949" s="558"/>
      <c r="AH949" s="535"/>
      <c r="AI949" s="558"/>
      <c r="AL949" s="535"/>
      <c r="AP949" s="535"/>
    </row>
    <row r="950">
      <c r="A950" s="552"/>
      <c r="B950" s="552"/>
      <c r="N950" s="535"/>
      <c r="O950" s="558"/>
      <c r="R950" s="535"/>
      <c r="S950" s="558"/>
      <c r="V950" s="535"/>
      <c r="W950" s="558"/>
      <c r="Z950" s="535"/>
      <c r="AA950" s="558"/>
      <c r="AD950" s="535"/>
      <c r="AE950" s="558"/>
      <c r="AH950" s="535"/>
      <c r="AI950" s="558"/>
      <c r="AL950" s="535"/>
      <c r="AP950" s="535"/>
    </row>
    <row r="951">
      <c r="A951" s="552"/>
      <c r="B951" s="552"/>
      <c r="N951" s="535"/>
      <c r="O951" s="558"/>
      <c r="R951" s="535"/>
      <c r="S951" s="558"/>
      <c r="V951" s="535"/>
      <c r="W951" s="558"/>
      <c r="Z951" s="535"/>
      <c r="AA951" s="558"/>
      <c r="AD951" s="535"/>
      <c r="AE951" s="558"/>
      <c r="AH951" s="535"/>
      <c r="AI951" s="558"/>
      <c r="AL951" s="535"/>
      <c r="AP951" s="535"/>
    </row>
    <row r="952">
      <c r="A952" s="552"/>
      <c r="B952" s="552"/>
      <c r="N952" s="535"/>
      <c r="O952" s="558"/>
      <c r="R952" s="535"/>
      <c r="S952" s="558"/>
      <c r="V952" s="535"/>
      <c r="W952" s="558"/>
      <c r="Z952" s="535"/>
      <c r="AA952" s="558"/>
      <c r="AD952" s="535"/>
      <c r="AE952" s="558"/>
      <c r="AH952" s="535"/>
      <c r="AI952" s="558"/>
      <c r="AL952" s="535"/>
      <c r="AP952" s="535"/>
    </row>
    <row r="953">
      <c r="A953" s="552"/>
      <c r="B953" s="552"/>
      <c r="N953" s="535"/>
      <c r="O953" s="558"/>
      <c r="R953" s="535"/>
      <c r="S953" s="558"/>
      <c r="V953" s="535"/>
      <c r="W953" s="558"/>
      <c r="Z953" s="535"/>
      <c r="AA953" s="558"/>
      <c r="AD953" s="535"/>
      <c r="AE953" s="558"/>
      <c r="AH953" s="535"/>
      <c r="AI953" s="558"/>
      <c r="AL953" s="535"/>
      <c r="AP953" s="535"/>
    </row>
    <row r="954">
      <c r="A954" s="552"/>
      <c r="B954" s="552"/>
      <c r="N954" s="535"/>
      <c r="O954" s="558"/>
      <c r="R954" s="535"/>
      <c r="S954" s="558"/>
      <c r="V954" s="535"/>
      <c r="W954" s="558"/>
      <c r="Z954" s="535"/>
      <c r="AA954" s="558"/>
      <c r="AD954" s="535"/>
      <c r="AE954" s="558"/>
      <c r="AH954" s="535"/>
      <c r="AI954" s="558"/>
      <c r="AL954" s="535"/>
      <c r="AP954" s="535"/>
    </row>
    <row r="955">
      <c r="A955" s="552"/>
      <c r="B955" s="552"/>
      <c r="N955" s="535"/>
      <c r="O955" s="558"/>
      <c r="R955" s="535"/>
      <c r="S955" s="558"/>
      <c r="V955" s="535"/>
      <c r="W955" s="558"/>
      <c r="Z955" s="535"/>
      <c r="AA955" s="558"/>
      <c r="AD955" s="535"/>
      <c r="AE955" s="558"/>
      <c r="AH955" s="535"/>
      <c r="AI955" s="558"/>
      <c r="AL955" s="535"/>
      <c r="AP955" s="535"/>
    </row>
    <row r="956">
      <c r="A956" s="552"/>
      <c r="B956" s="552"/>
      <c r="N956" s="535"/>
      <c r="O956" s="558"/>
      <c r="R956" s="535"/>
      <c r="S956" s="558"/>
      <c r="V956" s="535"/>
      <c r="W956" s="558"/>
      <c r="Z956" s="535"/>
      <c r="AA956" s="558"/>
      <c r="AD956" s="535"/>
      <c r="AE956" s="558"/>
      <c r="AH956" s="535"/>
      <c r="AI956" s="558"/>
      <c r="AL956" s="535"/>
      <c r="AP956" s="535"/>
    </row>
    <row r="957">
      <c r="A957" s="552"/>
      <c r="B957" s="552"/>
      <c r="N957" s="535"/>
      <c r="O957" s="558"/>
      <c r="R957" s="535"/>
      <c r="S957" s="558"/>
      <c r="V957" s="535"/>
      <c r="W957" s="558"/>
      <c r="Z957" s="535"/>
      <c r="AA957" s="558"/>
      <c r="AD957" s="535"/>
      <c r="AE957" s="558"/>
      <c r="AH957" s="535"/>
      <c r="AI957" s="558"/>
      <c r="AL957" s="535"/>
      <c r="AP957" s="535"/>
    </row>
    <row r="958">
      <c r="A958" s="552"/>
      <c r="B958" s="552"/>
      <c r="N958" s="535"/>
      <c r="O958" s="558"/>
      <c r="R958" s="535"/>
      <c r="S958" s="558"/>
      <c r="V958" s="535"/>
      <c r="W958" s="558"/>
      <c r="Z958" s="535"/>
      <c r="AA958" s="558"/>
      <c r="AD958" s="535"/>
      <c r="AE958" s="558"/>
      <c r="AH958" s="535"/>
      <c r="AI958" s="558"/>
      <c r="AL958" s="535"/>
      <c r="AP958" s="535"/>
    </row>
    <row r="959">
      <c r="A959" s="552"/>
      <c r="B959" s="552"/>
      <c r="N959" s="535"/>
      <c r="O959" s="558"/>
      <c r="R959" s="535"/>
      <c r="S959" s="558"/>
      <c r="V959" s="535"/>
      <c r="W959" s="558"/>
      <c r="Z959" s="535"/>
      <c r="AA959" s="558"/>
      <c r="AD959" s="535"/>
      <c r="AE959" s="558"/>
      <c r="AH959" s="535"/>
      <c r="AI959" s="558"/>
      <c r="AL959" s="535"/>
      <c r="AP959" s="535"/>
    </row>
    <row r="960">
      <c r="A960" s="552"/>
      <c r="B960" s="552"/>
      <c r="N960" s="535"/>
      <c r="O960" s="558"/>
      <c r="R960" s="535"/>
      <c r="S960" s="558"/>
      <c r="V960" s="535"/>
      <c r="W960" s="558"/>
      <c r="Z960" s="535"/>
      <c r="AA960" s="558"/>
      <c r="AD960" s="535"/>
      <c r="AE960" s="558"/>
      <c r="AH960" s="535"/>
      <c r="AI960" s="558"/>
      <c r="AL960" s="535"/>
      <c r="AP960" s="535"/>
    </row>
    <row r="961">
      <c r="A961" s="552"/>
      <c r="B961" s="552"/>
      <c r="N961" s="535"/>
      <c r="O961" s="558"/>
      <c r="R961" s="535"/>
      <c r="S961" s="558"/>
      <c r="V961" s="535"/>
      <c r="W961" s="558"/>
      <c r="Z961" s="535"/>
      <c r="AA961" s="558"/>
      <c r="AD961" s="535"/>
      <c r="AE961" s="558"/>
      <c r="AH961" s="535"/>
      <c r="AI961" s="558"/>
      <c r="AL961" s="535"/>
      <c r="AP961" s="535"/>
    </row>
    <row r="962">
      <c r="A962" s="552"/>
      <c r="B962" s="552"/>
      <c r="N962" s="535"/>
      <c r="O962" s="558"/>
      <c r="R962" s="535"/>
      <c r="S962" s="558"/>
      <c r="V962" s="535"/>
      <c r="W962" s="558"/>
      <c r="Z962" s="535"/>
      <c r="AA962" s="558"/>
      <c r="AD962" s="535"/>
      <c r="AE962" s="558"/>
      <c r="AH962" s="535"/>
      <c r="AI962" s="558"/>
      <c r="AL962" s="535"/>
      <c r="AP962" s="535"/>
    </row>
    <row r="963">
      <c r="A963" s="552"/>
      <c r="B963" s="552"/>
      <c r="N963" s="535"/>
      <c r="O963" s="558"/>
      <c r="R963" s="535"/>
      <c r="S963" s="558"/>
      <c r="V963" s="535"/>
      <c r="W963" s="558"/>
      <c r="Z963" s="535"/>
      <c r="AA963" s="558"/>
      <c r="AD963" s="535"/>
      <c r="AE963" s="558"/>
      <c r="AH963" s="535"/>
      <c r="AI963" s="558"/>
      <c r="AL963" s="535"/>
      <c r="AP963" s="535"/>
    </row>
    <row r="964">
      <c r="A964" s="552"/>
      <c r="B964" s="552"/>
      <c r="N964" s="535"/>
      <c r="O964" s="558"/>
      <c r="R964" s="535"/>
      <c r="S964" s="558"/>
      <c r="V964" s="535"/>
      <c r="W964" s="558"/>
      <c r="Z964" s="535"/>
      <c r="AA964" s="558"/>
      <c r="AD964" s="535"/>
      <c r="AE964" s="558"/>
      <c r="AH964" s="535"/>
      <c r="AI964" s="558"/>
      <c r="AL964" s="535"/>
      <c r="AP964" s="535"/>
    </row>
    <row r="965">
      <c r="A965" s="552"/>
      <c r="B965" s="552"/>
      <c r="N965" s="535"/>
      <c r="O965" s="558"/>
      <c r="R965" s="535"/>
      <c r="S965" s="558"/>
      <c r="V965" s="535"/>
      <c r="W965" s="558"/>
      <c r="Z965" s="535"/>
      <c r="AA965" s="558"/>
      <c r="AD965" s="535"/>
      <c r="AE965" s="558"/>
      <c r="AH965" s="535"/>
      <c r="AI965" s="558"/>
      <c r="AL965" s="535"/>
      <c r="AP965" s="535"/>
    </row>
    <row r="966">
      <c r="A966" s="552"/>
      <c r="B966" s="552"/>
      <c r="N966" s="535"/>
      <c r="O966" s="558"/>
      <c r="R966" s="535"/>
      <c r="S966" s="558"/>
      <c r="V966" s="535"/>
      <c r="W966" s="558"/>
      <c r="Z966" s="535"/>
      <c r="AA966" s="558"/>
      <c r="AD966" s="535"/>
      <c r="AE966" s="558"/>
      <c r="AH966" s="535"/>
      <c r="AI966" s="558"/>
      <c r="AL966" s="535"/>
      <c r="AP966" s="535"/>
    </row>
    <row r="967">
      <c r="A967" s="552"/>
      <c r="B967" s="552"/>
      <c r="N967" s="535"/>
      <c r="O967" s="558"/>
      <c r="R967" s="535"/>
      <c r="S967" s="558"/>
      <c r="V967" s="535"/>
      <c r="W967" s="558"/>
      <c r="Z967" s="535"/>
      <c r="AA967" s="558"/>
      <c r="AD967" s="535"/>
      <c r="AE967" s="558"/>
      <c r="AH967" s="535"/>
      <c r="AI967" s="558"/>
      <c r="AL967" s="535"/>
      <c r="AP967" s="535"/>
    </row>
    <row r="968">
      <c r="A968" s="552"/>
      <c r="B968" s="552"/>
      <c r="N968" s="535"/>
      <c r="O968" s="558"/>
      <c r="R968" s="535"/>
      <c r="S968" s="558"/>
      <c r="V968" s="535"/>
      <c r="W968" s="558"/>
      <c r="Z968" s="535"/>
      <c r="AA968" s="558"/>
      <c r="AD968" s="535"/>
      <c r="AE968" s="558"/>
      <c r="AH968" s="535"/>
      <c r="AI968" s="558"/>
      <c r="AL968" s="535"/>
      <c r="AP968" s="535"/>
    </row>
    <row r="969">
      <c r="A969" s="552"/>
      <c r="B969" s="552"/>
      <c r="N969" s="535"/>
      <c r="O969" s="558"/>
      <c r="R969" s="535"/>
      <c r="S969" s="558"/>
      <c r="V969" s="535"/>
      <c r="W969" s="558"/>
      <c r="Z969" s="535"/>
      <c r="AA969" s="558"/>
      <c r="AD969" s="535"/>
      <c r="AE969" s="558"/>
      <c r="AH969" s="535"/>
      <c r="AI969" s="558"/>
      <c r="AL969" s="535"/>
      <c r="AP969" s="535"/>
    </row>
    <row r="970">
      <c r="A970" s="552"/>
      <c r="B970" s="552"/>
      <c r="N970" s="535"/>
      <c r="O970" s="558"/>
      <c r="R970" s="535"/>
      <c r="S970" s="558"/>
      <c r="V970" s="535"/>
      <c r="W970" s="558"/>
      <c r="Z970" s="535"/>
      <c r="AA970" s="558"/>
      <c r="AD970" s="535"/>
      <c r="AE970" s="558"/>
      <c r="AH970" s="535"/>
      <c r="AI970" s="558"/>
      <c r="AL970" s="535"/>
      <c r="AP970" s="535"/>
    </row>
    <row r="971">
      <c r="A971" s="552"/>
      <c r="B971" s="552"/>
      <c r="N971" s="535"/>
      <c r="O971" s="558"/>
      <c r="R971" s="535"/>
      <c r="S971" s="558"/>
      <c r="V971" s="535"/>
      <c r="W971" s="558"/>
      <c r="Z971" s="535"/>
      <c r="AA971" s="558"/>
      <c r="AD971" s="535"/>
      <c r="AE971" s="558"/>
      <c r="AH971" s="535"/>
      <c r="AI971" s="558"/>
      <c r="AL971" s="535"/>
      <c r="AP971" s="535"/>
    </row>
    <row r="972">
      <c r="A972" s="552"/>
      <c r="B972" s="552"/>
      <c r="N972" s="535"/>
      <c r="O972" s="558"/>
      <c r="R972" s="535"/>
      <c r="S972" s="558"/>
      <c r="V972" s="535"/>
      <c r="W972" s="558"/>
      <c r="Z972" s="535"/>
      <c r="AA972" s="558"/>
      <c r="AD972" s="535"/>
      <c r="AE972" s="558"/>
      <c r="AH972" s="535"/>
      <c r="AI972" s="558"/>
      <c r="AL972" s="535"/>
      <c r="AP972" s="535"/>
    </row>
    <row r="973">
      <c r="A973" s="552"/>
      <c r="B973" s="552"/>
      <c r="N973" s="535"/>
      <c r="O973" s="558"/>
      <c r="R973" s="535"/>
      <c r="S973" s="558"/>
      <c r="V973" s="535"/>
      <c r="W973" s="558"/>
      <c r="Z973" s="535"/>
      <c r="AA973" s="558"/>
      <c r="AD973" s="535"/>
      <c r="AE973" s="558"/>
      <c r="AH973" s="535"/>
      <c r="AI973" s="558"/>
      <c r="AL973" s="535"/>
      <c r="AP973" s="535"/>
    </row>
    <row r="974">
      <c r="A974" s="552"/>
      <c r="B974" s="552"/>
      <c r="N974" s="535"/>
      <c r="O974" s="558"/>
      <c r="R974" s="535"/>
      <c r="S974" s="558"/>
      <c r="V974" s="535"/>
      <c r="W974" s="558"/>
      <c r="Z974" s="535"/>
      <c r="AA974" s="558"/>
      <c r="AD974" s="535"/>
      <c r="AE974" s="558"/>
      <c r="AH974" s="535"/>
      <c r="AI974" s="558"/>
      <c r="AL974" s="535"/>
      <c r="AP974" s="535"/>
    </row>
    <row r="975">
      <c r="A975" s="552"/>
      <c r="B975" s="552"/>
      <c r="N975" s="535"/>
      <c r="O975" s="558"/>
      <c r="R975" s="535"/>
      <c r="S975" s="558"/>
      <c r="V975" s="535"/>
      <c r="W975" s="558"/>
      <c r="Z975" s="535"/>
      <c r="AA975" s="558"/>
      <c r="AD975" s="535"/>
      <c r="AE975" s="558"/>
      <c r="AH975" s="535"/>
      <c r="AI975" s="558"/>
      <c r="AL975" s="535"/>
      <c r="AP975" s="535"/>
    </row>
    <row r="976">
      <c r="A976" s="552"/>
      <c r="B976" s="552"/>
      <c r="N976" s="535"/>
      <c r="O976" s="558"/>
      <c r="R976" s="535"/>
      <c r="S976" s="558"/>
      <c r="V976" s="535"/>
      <c r="W976" s="558"/>
      <c r="Z976" s="535"/>
      <c r="AA976" s="558"/>
      <c r="AD976" s="535"/>
      <c r="AE976" s="558"/>
      <c r="AH976" s="535"/>
      <c r="AI976" s="558"/>
      <c r="AL976" s="535"/>
      <c r="AP976" s="535"/>
    </row>
    <row r="977">
      <c r="A977" s="552"/>
      <c r="B977" s="552"/>
      <c r="N977" s="535"/>
      <c r="O977" s="558"/>
      <c r="R977" s="535"/>
      <c r="S977" s="558"/>
      <c r="V977" s="535"/>
      <c r="W977" s="558"/>
      <c r="Z977" s="535"/>
      <c r="AA977" s="558"/>
      <c r="AD977" s="535"/>
      <c r="AE977" s="558"/>
      <c r="AH977" s="535"/>
      <c r="AI977" s="558"/>
      <c r="AL977" s="535"/>
      <c r="AP977" s="535"/>
    </row>
    <row r="978">
      <c r="A978" s="552"/>
      <c r="B978" s="552"/>
      <c r="N978" s="535"/>
      <c r="O978" s="558"/>
      <c r="R978" s="535"/>
      <c r="S978" s="558"/>
      <c r="V978" s="535"/>
      <c r="W978" s="558"/>
      <c r="Z978" s="535"/>
      <c r="AA978" s="558"/>
      <c r="AD978" s="535"/>
      <c r="AE978" s="558"/>
      <c r="AH978" s="535"/>
      <c r="AI978" s="558"/>
      <c r="AL978" s="535"/>
      <c r="AP978" s="535"/>
    </row>
    <row r="979">
      <c r="A979" s="552"/>
      <c r="B979" s="552"/>
      <c r="N979" s="535"/>
      <c r="O979" s="558"/>
      <c r="R979" s="535"/>
      <c r="S979" s="558"/>
      <c r="V979" s="535"/>
      <c r="W979" s="558"/>
      <c r="Z979" s="535"/>
      <c r="AA979" s="558"/>
      <c r="AD979" s="535"/>
      <c r="AE979" s="558"/>
      <c r="AH979" s="535"/>
      <c r="AI979" s="558"/>
      <c r="AL979" s="535"/>
      <c r="AP979" s="535"/>
    </row>
    <row r="980">
      <c r="A980" s="552"/>
      <c r="B980" s="552"/>
      <c r="N980" s="535"/>
      <c r="O980" s="558"/>
      <c r="R980" s="535"/>
      <c r="S980" s="558"/>
      <c r="V980" s="535"/>
      <c r="W980" s="558"/>
      <c r="Z980" s="535"/>
      <c r="AA980" s="558"/>
      <c r="AD980" s="535"/>
      <c r="AE980" s="558"/>
      <c r="AH980" s="535"/>
      <c r="AI980" s="558"/>
      <c r="AL980" s="535"/>
      <c r="AP980" s="535"/>
    </row>
    <row r="981">
      <c r="A981" s="552"/>
      <c r="B981" s="552"/>
      <c r="N981" s="535"/>
      <c r="O981" s="558"/>
      <c r="R981" s="535"/>
      <c r="S981" s="558"/>
      <c r="V981" s="535"/>
      <c r="W981" s="558"/>
      <c r="Z981" s="535"/>
      <c r="AA981" s="558"/>
      <c r="AD981" s="535"/>
      <c r="AE981" s="558"/>
      <c r="AH981" s="535"/>
      <c r="AI981" s="558"/>
      <c r="AL981" s="535"/>
      <c r="AP981" s="535"/>
    </row>
    <row r="982">
      <c r="A982" s="552"/>
      <c r="B982" s="552"/>
      <c r="N982" s="535"/>
      <c r="O982" s="558"/>
      <c r="R982" s="535"/>
      <c r="S982" s="558"/>
      <c r="V982" s="535"/>
      <c r="W982" s="558"/>
      <c r="Z982" s="535"/>
      <c r="AA982" s="558"/>
      <c r="AD982" s="535"/>
      <c r="AE982" s="558"/>
      <c r="AH982" s="535"/>
      <c r="AI982" s="558"/>
      <c r="AL982" s="535"/>
      <c r="AP982" s="535"/>
    </row>
    <row r="983">
      <c r="A983" s="552"/>
      <c r="B983" s="552"/>
      <c r="N983" s="535"/>
      <c r="O983" s="558"/>
      <c r="R983" s="535"/>
      <c r="S983" s="558"/>
      <c r="V983" s="535"/>
      <c r="W983" s="558"/>
      <c r="Z983" s="535"/>
      <c r="AA983" s="558"/>
      <c r="AD983" s="535"/>
      <c r="AE983" s="558"/>
      <c r="AH983" s="535"/>
      <c r="AI983" s="558"/>
      <c r="AL983" s="535"/>
      <c r="AP983" s="535"/>
    </row>
    <row r="984">
      <c r="A984" s="552"/>
      <c r="B984" s="552"/>
      <c r="N984" s="535"/>
      <c r="O984" s="558"/>
      <c r="R984" s="535"/>
      <c r="S984" s="558"/>
      <c r="V984" s="535"/>
      <c r="W984" s="558"/>
      <c r="Z984" s="535"/>
      <c r="AA984" s="558"/>
      <c r="AD984" s="535"/>
      <c r="AE984" s="558"/>
      <c r="AH984" s="535"/>
      <c r="AI984" s="558"/>
      <c r="AL984" s="535"/>
      <c r="AP984" s="535"/>
    </row>
    <row r="985">
      <c r="A985" s="552"/>
      <c r="B985" s="552"/>
      <c r="N985" s="535"/>
      <c r="O985" s="558"/>
      <c r="R985" s="535"/>
      <c r="S985" s="558"/>
      <c r="V985" s="535"/>
      <c r="W985" s="558"/>
      <c r="Z985" s="535"/>
      <c r="AA985" s="558"/>
      <c r="AD985" s="535"/>
      <c r="AE985" s="558"/>
      <c r="AH985" s="535"/>
      <c r="AI985" s="558"/>
      <c r="AL985" s="535"/>
      <c r="AP985" s="535"/>
    </row>
    <row r="986">
      <c r="A986" s="552"/>
      <c r="B986" s="552"/>
      <c r="N986" s="535"/>
      <c r="O986" s="558"/>
      <c r="R986" s="535"/>
      <c r="S986" s="558"/>
      <c r="V986" s="535"/>
      <c r="W986" s="558"/>
      <c r="Z986" s="535"/>
      <c r="AA986" s="558"/>
      <c r="AD986" s="535"/>
      <c r="AE986" s="558"/>
      <c r="AH986" s="535"/>
      <c r="AI986" s="558"/>
      <c r="AL986" s="535"/>
      <c r="AP986" s="535"/>
    </row>
    <row r="987">
      <c r="A987" s="552"/>
      <c r="B987" s="552"/>
      <c r="N987" s="535"/>
      <c r="O987" s="558"/>
      <c r="R987" s="535"/>
      <c r="S987" s="558"/>
      <c r="V987" s="535"/>
      <c r="W987" s="558"/>
      <c r="Z987" s="535"/>
      <c r="AA987" s="558"/>
      <c r="AD987" s="535"/>
      <c r="AE987" s="558"/>
      <c r="AH987" s="535"/>
      <c r="AI987" s="558"/>
      <c r="AL987" s="535"/>
      <c r="AP987" s="535"/>
    </row>
    <row r="988">
      <c r="A988" s="552"/>
      <c r="B988" s="552"/>
      <c r="N988" s="535"/>
      <c r="O988" s="558"/>
      <c r="R988" s="535"/>
      <c r="S988" s="558"/>
      <c r="V988" s="535"/>
      <c r="W988" s="558"/>
      <c r="Z988" s="535"/>
      <c r="AA988" s="558"/>
      <c r="AD988" s="535"/>
      <c r="AE988" s="558"/>
      <c r="AH988" s="535"/>
      <c r="AI988" s="558"/>
      <c r="AL988" s="535"/>
      <c r="AP988" s="535"/>
    </row>
    <row r="989">
      <c r="A989" s="552"/>
      <c r="B989" s="552"/>
      <c r="N989" s="535"/>
      <c r="O989" s="558"/>
      <c r="R989" s="535"/>
      <c r="S989" s="558"/>
      <c r="V989" s="535"/>
      <c r="W989" s="558"/>
      <c r="Z989" s="535"/>
      <c r="AA989" s="558"/>
      <c r="AD989" s="535"/>
      <c r="AE989" s="558"/>
      <c r="AH989" s="535"/>
      <c r="AI989" s="558"/>
      <c r="AL989" s="535"/>
      <c r="AP989" s="535"/>
    </row>
    <row r="990">
      <c r="A990" s="552"/>
      <c r="B990" s="552"/>
      <c r="N990" s="535"/>
      <c r="O990" s="558"/>
      <c r="R990" s="535"/>
      <c r="S990" s="558"/>
      <c r="V990" s="535"/>
      <c r="W990" s="558"/>
      <c r="Z990" s="535"/>
      <c r="AA990" s="558"/>
      <c r="AD990" s="535"/>
      <c r="AE990" s="558"/>
      <c r="AH990" s="535"/>
      <c r="AI990" s="558"/>
      <c r="AL990" s="535"/>
      <c r="AP990" s="535"/>
    </row>
    <row r="991">
      <c r="A991" s="552"/>
      <c r="B991" s="552"/>
      <c r="N991" s="535"/>
      <c r="O991" s="558"/>
      <c r="R991" s="535"/>
      <c r="S991" s="558"/>
      <c r="V991" s="535"/>
      <c r="W991" s="558"/>
      <c r="Z991" s="535"/>
      <c r="AA991" s="558"/>
      <c r="AD991" s="535"/>
      <c r="AE991" s="558"/>
      <c r="AH991" s="535"/>
      <c r="AI991" s="558"/>
      <c r="AL991" s="535"/>
      <c r="AP991" s="535"/>
    </row>
    <row r="992">
      <c r="A992" s="552"/>
      <c r="B992" s="552"/>
      <c r="N992" s="535"/>
      <c r="O992" s="558"/>
      <c r="R992" s="535"/>
      <c r="S992" s="558"/>
      <c r="V992" s="535"/>
      <c r="W992" s="558"/>
      <c r="Z992" s="535"/>
      <c r="AA992" s="558"/>
      <c r="AD992" s="535"/>
      <c r="AE992" s="558"/>
      <c r="AH992" s="535"/>
      <c r="AI992" s="558"/>
      <c r="AL992" s="535"/>
      <c r="AP992" s="535"/>
    </row>
    <row r="993">
      <c r="A993" s="552"/>
      <c r="B993" s="552"/>
      <c r="N993" s="535"/>
      <c r="O993" s="558"/>
      <c r="R993" s="535"/>
      <c r="S993" s="558"/>
      <c r="V993" s="535"/>
      <c r="W993" s="558"/>
      <c r="Z993" s="535"/>
      <c r="AA993" s="558"/>
      <c r="AD993" s="535"/>
      <c r="AE993" s="558"/>
      <c r="AH993" s="535"/>
      <c r="AI993" s="558"/>
      <c r="AL993" s="535"/>
      <c r="AP993" s="535"/>
    </row>
    <row r="994">
      <c r="A994" s="552"/>
      <c r="B994" s="552"/>
      <c r="N994" s="535"/>
      <c r="O994" s="558"/>
      <c r="R994" s="535"/>
      <c r="S994" s="558"/>
      <c r="V994" s="535"/>
      <c r="W994" s="558"/>
      <c r="Z994" s="535"/>
      <c r="AA994" s="558"/>
      <c r="AD994" s="535"/>
      <c r="AE994" s="558"/>
      <c r="AH994" s="535"/>
      <c r="AI994" s="558"/>
      <c r="AL994" s="535"/>
      <c r="AP994" s="535"/>
    </row>
    <row r="995">
      <c r="A995" s="552"/>
      <c r="B995" s="552"/>
      <c r="N995" s="535"/>
      <c r="O995" s="558"/>
      <c r="R995" s="535"/>
      <c r="S995" s="558"/>
      <c r="V995" s="535"/>
      <c r="W995" s="558"/>
      <c r="Z995" s="535"/>
      <c r="AA995" s="558"/>
      <c r="AD995" s="535"/>
      <c r="AE995" s="558"/>
      <c r="AH995" s="535"/>
      <c r="AI995" s="558"/>
      <c r="AL995" s="535"/>
      <c r="AP995" s="535"/>
    </row>
    <row r="996">
      <c r="A996" s="552"/>
      <c r="B996" s="552"/>
      <c r="N996" s="535"/>
      <c r="O996" s="558"/>
      <c r="R996" s="535"/>
      <c r="S996" s="558"/>
      <c r="V996" s="535"/>
      <c r="W996" s="558"/>
      <c r="Z996" s="535"/>
      <c r="AA996" s="558"/>
      <c r="AD996" s="535"/>
      <c r="AE996" s="558"/>
      <c r="AH996" s="535"/>
      <c r="AI996" s="558"/>
      <c r="AL996" s="535"/>
      <c r="AP996" s="535"/>
    </row>
    <row r="997">
      <c r="A997" s="552"/>
      <c r="B997" s="552"/>
      <c r="N997" s="535"/>
      <c r="O997" s="558"/>
      <c r="R997" s="535"/>
      <c r="S997" s="558"/>
      <c r="V997" s="535"/>
      <c r="W997" s="558"/>
      <c r="Z997" s="535"/>
      <c r="AA997" s="558"/>
      <c r="AD997" s="535"/>
      <c r="AE997" s="558"/>
      <c r="AH997" s="535"/>
      <c r="AI997" s="558"/>
      <c r="AL997" s="535"/>
      <c r="AP997" s="535"/>
    </row>
    <row r="998">
      <c r="A998" s="552"/>
      <c r="B998" s="552"/>
      <c r="N998" s="535"/>
      <c r="O998" s="558"/>
      <c r="R998" s="535"/>
      <c r="S998" s="558"/>
      <c r="V998" s="535"/>
      <c r="W998" s="558"/>
      <c r="Z998" s="535"/>
      <c r="AA998" s="558"/>
      <c r="AD998" s="535"/>
      <c r="AE998" s="558"/>
      <c r="AH998" s="535"/>
      <c r="AI998" s="558"/>
      <c r="AL998" s="535"/>
      <c r="AP998" s="535"/>
    </row>
    <row r="999">
      <c r="A999" s="552"/>
      <c r="B999" s="552"/>
      <c r="N999" s="535"/>
      <c r="O999" s="558"/>
      <c r="R999" s="535"/>
      <c r="S999" s="558"/>
      <c r="V999" s="535"/>
      <c r="W999" s="558"/>
      <c r="Z999" s="535"/>
      <c r="AA999" s="558"/>
      <c r="AD999" s="535"/>
      <c r="AE999" s="558"/>
      <c r="AH999" s="535"/>
      <c r="AI999" s="558"/>
      <c r="AL999" s="535"/>
      <c r="AP999" s="535"/>
    </row>
    <row r="1000">
      <c r="A1000" s="552"/>
      <c r="B1000" s="552"/>
      <c r="N1000" s="535"/>
      <c r="O1000" s="558"/>
      <c r="R1000" s="535"/>
      <c r="S1000" s="558"/>
      <c r="V1000" s="535"/>
      <c r="W1000" s="558"/>
      <c r="Z1000" s="535"/>
      <c r="AA1000" s="558"/>
      <c r="AD1000" s="535"/>
      <c r="AE1000" s="558"/>
      <c r="AH1000" s="535"/>
      <c r="AI1000" s="558"/>
      <c r="AL1000" s="535"/>
      <c r="AP1000" s="535"/>
    </row>
    <row r="1001">
      <c r="A1001" s="552"/>
      <c r="B1001" s="552"/>
      <c r="N1001" s="535"/>
      <c r="O1001" s="558"/>
      <c r="R1001" s="535"/>
      <c r="S1001" s="558"/>
      <c r="V1001" s="535"/>
      <c r="W1001" s="558"/>
      <c r="Z1001" s="535"/>
      <c r="AA1001" s="558"/>
      <c r="AD1001" s="535"/>
      <c r="AE1001" s="558"/>
      <c r="AH1001" s="535"/>
      <c r="AI1001" s="558"/>
      <c r="AL1001" s="535"/>
      <c r="AP1001" s="535"/>
    </row>
    <row r="1002">
      <c r="A1002" s="552"/>
      <c r="B1002" s="552"/>
      <c r="N1002" s="535"/>
      <c r="O1002" s="558"/>
      <c r="R1002" s="535"/>
      <c r="S1002" s="558"/>
      <c r="V1002" s="535"/>
      <c r="W1002" s="558"/>
      <c r="Z1002" s="535"/>
      <c r="AA1002" s="558"/>
      <c r="AD1002" s="535"/>
      <c r="AE1002" s="558"/>
      <c r="AH1002" s="535"/>
      <c r="AI1002" s="558"/>
      <c r="AL1002" s="535"/>
      <c r="AP1002" s="535"/>
    </row>
    <row r="1003">
      <c r="A1003" s="552"/>
      <c r="B1003" s="552"/>
      <c r="N1003" s="535"/>
      <c r="O1003" s="558"/>
      <c r="R1003" s="535"/>
      <c r="S1003" s="558"/>
      <c r="V1003" s="535"/>
      <c r="W1003" s="558"/>
      <c r="Z1003" s="535"/>
      <c r="AA1003" s="558"/>
      <c r="AD1003" s="535"/>
      <c r="AE1003" s="558"/>
      <c r="AH1003" s="535"/>
      <c r="AI1003" s="558"/>
      <c r="AL1003" s="535"/>
      <c r="AP1003" s="535"/>
    </row>
    <row r="1004">
      <c r="A1004" s="552"/>
      <c r="B1004" s="552"/>
      <c r="N1004" s="535"/>
      <c r="O1004" s="558"/>
      <c r="R1004" s="535"/>
      <c r="S1004" s="558"/>
      <c r="V1004" s="535"/>
      <c r="W1004" s="558"/>
      <c r="Z1004" s="535"/>
      <c r="AA1004" s="558"/>
      <c r="AD1004" s="535"/>
      <c r="AE1004" s="558"/>
      <c r="AH1004" s="535"/>
      <c r="AI1004" s="558"/>
      <c r="AL1004" s="535"/>
      <c r="AP1004" s="535"/>
    </row>
    <row r="1005">
      <c r="A1005" s="552"/>
      <c r="B1005" s="552"/>
      <c r="N1005" s="535"/>
      <c r="O1005" s="558"/>
      <c r="R1005" s="535"/>
      <c r="S1005" s="558"/>
      <c r="V1005" s="535"/>
      <c r="W1005" s="558"/>
      <c r="Z1005" s="535"/>
      <c r="AA1005" s="558"/>
      <c r="AD1005" s="535"/>
      <c r="AE1005" s="558"/>
      <c r="AH1005" s="535"/>
      <c r="AI1005" s="558"/>
      <c r="AL1005" s="535"/>
      <c r="AP1005" s="535"/>
    </row>
    <row r="1006">
      <c r="A1006" s="552"/>
      <c r="B1006" s="552"/>
      <c r="N1006" s="535"/>
      <c r="O1006" s="558"/>
      <c r="R1006" s="535"/>
      <c r="S1006" s="558"/>
      <c r="V1006" s="535"/>
      <c r="W1006" s="558"/>
      <c r="Z1006" s="535"/>
      <c r="AA1006" s="558"/>
      <c r="AD1006" s="535"/>
      <c r="AE1006" s="558"/>
      <c r="AH1006" s="535"/>
      <c r="AI1006" s="558"/>
      <c r="AL1006" s="535"/>
      <c r="AP1006" s="535"/>
    </row>
    <row r="1007">
      <c r="A1007" s="552"/>
      <c r="B1007" s="552"/>
      <c r="N1007" s="535"/>
      <c r="O1007" s="558"/>
      <c r="R1007" s="535"/>
      <c r="S1007" s="558"/>
      <c r="V1007" s="535"/>
      <c r="W1007" s="558"/>
      <c r="Z1007" s="535"/>
      <c r="AA1007" s="558"/>
      <c r="AD1007" s="535"/>
      <c r="AE1007" s="558"/>
      <c r="AH1007" s="535"/>
      <c r="AI1007" s="558"/>
      <c r="AL1007" s="535"/>
      <c r="AP1007" s="535"/>
    </row>
    <row r="1008">
      <c r="A1008" s="552"/>
      <c r="B1008" s="552"/>
      <c r="N1008" s="535"/>
      <c r="O1008" s="558"/>
      <c r="R1008" s="535"/>
      <c r="S1008" s="558"/>
      <c r="V1008" s="535"/>
      <c r="W1008" s="558"/>
      <c r="Z1008" s="535"/>
      <c r="AA1008" s="558"/>
      <c r="AD1008" s="535"/>
      <c r="AE1008" s="558"/>
      <c r="AH1008" s="535"/>
      <c r="AI1008" s="558"/>
      <c r="AL1008" s="535"/>
      <c r="AP1008" s="535"/>
    </row>
    <row r="1009">
      <c r="A1009" s="552"/>
      <c r="B1009" s="552"/>
      <c r="N1009" s="535"/>
      <c r="O1009" s="558"/>
      <c r="R1009" s="535"/>
      <c r="S1009" s="558"/>
      <c r="V1009" s="535"/>
      <c r="W1009" s="558"/>
      <c r="Z1009" s="535"/>
      <c r="AA1009" s="558"/>
      <c r="AD1009" s="535"/>
      <c r="AE1009" s="558"/>
      <c r="AH1009" s="535"/>
      <c r="AI1009" s="558"/>
      <c r="AL1009" s="535"/>
      <c r="AP1009" s="535"/>
    </row>
    <row r="1010">
      <c r="A1010" s="552"/>
      <c r="B1010" s="552"/>
      <c r="N1010" s="535"/>
      <c r="O1010" s="558"/>
      <c r="R1010" s="535"/>
      <c r="S1010" s="558"/>
      <c r="V1010" s="535"/>
      <c r="W1010" s="558"/>
      <c r="Z1010" s="535"/>
      <c r="AA1010" s="558"/>
      <c r="AD1010" s="535"/>
      <c r="AE1010" s="558"/>
      <c r="AH1010" s="535"/>
      <c r="AI1010" s="558"/>
      <c r="AL1010" s="535"/>
      <c r="AP1010" s="5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1.0" topLeftCell="C12" activePane="bottomRight" state="frozen"/>
      <selection activeCell="C1" sqref="C1" pane="topRight"/>
      <selection activeCell="A12" sqref="A12" pane="bottomLeft"/>
      <selection activeCell="C12" sqref="C12" pane="bottomRight"/>
    </sheetView>
  </sheetViews>
  <sheetFormatPr customHeight="1" defaultColWidth="14.43" defaultRowHeight="15.75"/>
  <cols>
    <col customWidth="1" min="3" max="3" width="21.86"/>
    <col hidden="1" min="6" max="13" width="14.43"/>
    <col customWidth="1" min="14" max="14" width="3.0"/>
    <col customWidth="1" min="18" max="18" width="3.0"/>
    <col customWidth="1" min="22" max="22" width="3.0"/>
    <col customWidth="1" min="26" max="26" width="3.0"/>
    <col customWidth="1" min="30" max="30" width="3.0"/>
    <col customWidth="1" min="34" max="34" width="3.0"/>
    <col customWidth="1" min="38" max="38" width="3.0"/>
    <col customWidth="1" min="42" max="42" width="3.0"/>
  </cols>
  <sheetData>
    <row r="1">
      <c r="A1" s="532" t="s">
        <v>1519</v>
      </c>
      <c r="B1" s="532" t="s">
        <v>1522</v>
      </c>
      <c r="C1" s="533"/>
      <c r="D1" s="534"/>
      <c r="E1" s="533" t="s">
        <v>1524</v>
      </c>
      <c r="F1" s="534"/>
      <c r="G1" s="533"/>
      <c r="H1" s="534"/>
      <c r="I1" s="534"/>
      <c r="J1" s="534"/>
      <c r="K1" s="534"/>
      <c r="L1" s="534"/>
      <c r="M1" s="534"/>
      <c r="N1" s="535"/>
      <c r="O1" s="536"/>
      <c r="P1" s="533"/>
      <c r="Q1" s="537" t="s">
        <v>519</v>
      </c>
      <c r="R1" s="535"/>
      <c r="S1" s="538"/>
      <c r="T1" s="539"/>
      <c r="U1" s="537" t="s">
        <v>455</v>
      </c>
      <c r="V1" s="535"/>
      <c r="W1" s="538"/>
      <c r="X1" s="540"/>
      <c r="Y1" s="537" t="s">
        <v>1280</v>
      </c>
      <c r="Z1" s="535"/>
      <c r="AA1" s="538"/>
      <c r="AB1" s="540"/>
      <c r="AC1" s="537" t="s">
        <v>812</v>
      </c>
      <c r="AD1" s="535"/>
      <c r="AE1" s="538"/>
      <c r="AF1" s="540"/>
      <c r="AG1" s="537" t="s">
        <v>770</v>
      </c>
      <c r="AH1" s="535"/>
      <c r="AI1" s="538"/>
      <c r="AJ1" s="534"/>
      <c r="AK1" s="537" t="s">
        <v>933</v>
      </c>
      <c r="AL1" s="535"/>
      <c r="AM1" s="534"/>
      <c r="AN1" s="534"/>
      <c r="AO1" s="537" t="s">
        <v>789</v>
      </c>
      <c r="AP1" s="535"/>
      <c r="AQ1" s="534"/>
      <c r="AR1" s="534"/>
      <c r="AS1" s="541" t="s">
        <v>286</v>
      </c>
      <c r="AT1" s="534"/>
    </row>
    <row r="2">
      <c r="A2" s="542" t="s">
        <v>369</v>
      </c>
      <c r="B2" s="542" t="s">
        <v>1718</v>
      </c>
      <c r="C2" s="533"/>
      <c r="D2" s="534"/>
      <c r="E2" s="534">
        <f t="shared" ref="E2:E4" si="1">COUNTIF(E$12:E$202, $B2)</f>
        <v>37</v>
      </c>
      <c r="F2" s="534"/>
      <c r="G2" s="533"/>
      <c r="H2" s="534"/>
      <c r="I2" s="534"/>
      <c r="J2" s="534"/>
      <c r="K2" s="534"/>
      <c r="L2" s="534"/>
      <c r="M2" s="534"/>
      <c r="N2" s="535"/>
      <c r="O2" s="536"/>
      <c r="P2" s="534"/>
      <c r="Q2" s="534">
        <f t="shared" ref="Q2:Q4" si="2">COUNTIF(Q$12:Q$202, $B2)</f>
        <v>1</v>
      </c>
      <c r="R2" s="535"/>
      <c r="S2" s="538"/>
      <c r="T2" s="534"/>
      <c r="U2" s="534">
        <f t="shared" ref="U2:U4" si="3">COUNTIF(U$12:U$202, $B2)</f>
        <v>2</v>
      </c>
      <c r="V2" s="535"/>
      <c r="W2" s="538"/>
      <c r="X2" s="534"/>
      <c r="Y2" s="534">
        <f t="shared" ref="Y2:Y4" si="4">COUNTIF(Y$12:Y$202, $B2)</f>
        <v>4</v>
      </c>
      <c r="Z2" s="535"/>
      <c r="AA2" s="538"/>
      <c r="AB2" s="534"/>
      <c r="AC2" s="534">
        <f t="shared" ref="AC2:AC4" si="5">COUNTIF(AC$12:AC$202, $B2)</f>
        <v>5</v>
      </c>
      <c r="AD2" s="535"/>
      <c r="AE2" s="538"/>
      <c r="AF2" s="534"/>
      <c r="AG2" s="534">
        <f t="shared" ref="AG2:AG4" si="6">COUNTIF(AG$12:AG$202, $B2)</f>
        <v>2</v>
      </c>
      <c r="AH2" s="535"/>
      <c r="AI2" s="538"/>
      <c r="AJ2" s="534"/>
      <c r="AK2" s="534">
        <f t="shared" ref="AK2:AK4" si="7">COUNTIF(AK$12:AK$202, $B2)</f>
        <v>9</v>
      </c>
      <c r="AL2" s="535"/>
      <c r="AM2" s="534"/>
      <c r="AN2" s="534"/>
      <c r="AO2" s="534">
        <f t="shared" ref="AO2:AO4" si="8">COUNTIF(AO$12:AO$202, $B2)</f>
        <v>6</v>
      </c>
      <c r="AP2" s="535"/>
      <c r="AQ2" s="534"/>
      <c r="AR2" s="534"/>
      <c r="AS2" s="534">
        <f t="shared" ref="AS2:AS4" si="9">COUNTIF(AS$12:AS$202, $B2)</f>
        <v>6</v>
      </c>
      <c r="AT2" s="534"/>
    </row>
    <row r="3">
      <c r="A3" s="542" t="s">
        <v>282</v>
      </c>
      <c r="B3" s="542" t="s">
        <v>1720</v>
      </c>
      <c r="C3" s="533"/>
      <c r="D3" s="534"/>
      <c r="E3" s="534">
        <f t="shared" si="1"/>
        <v>6</v>
      </c>
      <c r="F3" s="534"/>
      <c r="G3" s="533"/>
      <c r="H3" s="534"/>
      <c r="I3" s="534"/>
      <c r="J3" s="534"/>
      <c r="K3" s="534"/>
      <c r="L3" s="534"/>
      <c r="M3" s="534"/>
      <c r="N3" s="535"/>
      <c r="O3" s="536"/>
      <c r="P3" s="534"/>
      <c r="Q3" s="534">
        <f t="shared" si="2"/>
        <v>1</v>
      </c>
      <c r="R3" s="535"/>
      <c r="S3" s="538"/>
      <c r="T3" s="534"/>
      <c r="U3" s="534">
        <f t="shared" si="3"/>
        <v>0</v>
      </c>
      <c r="V3" s="535"/>
      <c r="W3" s="538"/>
      <c r="X3" s="534"/>
      <c r="Y3" s="534">
        <f t="shared" si="4"/>
        <v>0</v>
      </c>
      <c r="Z3" s="535"/>
      <c r="AA3" s="538"/>
      <c r="AB3" s="534"/>
      <c r="AC3" s="534">
        <f t="shared" si="5"/>
        <v>1</v>
      </c>
      <c r="AD3" s="535"/>
      <c r="AE3" s="538"/>
      <c r="AF3" s="534"/>
      <c r="AG3" s="534">
        <f t="shared" si="6"/>
        <v>0</v>
      </c>
      <c r="AH3" s="535"/>
      <c r="AI3" s="538"/>
      <c r="AJ3" s="534"/>
      <c r="AK3" s="534">
        <f t="shared" si="7"/>
        <v>0</v>
      </c>
      <c r="AL3" s="535"/>
      <c r="AM3" s="534"/>
      <c r="AN3" s="534"/>
      <c r="AO3" s="534">
        <f t="shared" si="8"/>
        <v>2</v>
      </c>
      <c r="AP3" s="535"/>
      <c r="AQ3" s="534"/>
      <c r="AR3" s="534"/>
      <c r="AS3" s="534">
        <f t="shared" si="9"/>
        <v>0</v>
      </c>
      <c r="AT3" s="534"/>
    </row>
    <row r="4">
      <c r="A4" s="542" t="s">
        <v>315</v>
      </c>
      <c r="B4" s="542" t="s">
        <v>1533</v>
      </c>
      <c r="C4" s="533"/>
      <c r="D4" s="534"/>
      <c r="E4" s="534">
        <f t="shared" si="1"/>
        <v>128</v>
      </c>
      <c r="F4" s="534"/>
      <c r="G4" s="533"/>
      <c r="H4" s="534"/>
      <c r="I4" s="534"/>
      <c r="J4" s="534"/>
      <c r="K4" s="534"/>
      <c r="L4" s="534"/>
      <c r="M4" s="534"/>
      <c r="N4" s="535"/>
      <c r="O4" s="536"/>
      <c r="P4" s="534"/>
      <c r="Q4" s="534">
        <f t="shared" si="2"/>
        <v>18</v>
      </c>
      <c r="R4" s="535"/>
      <c r="S4" s="538"/>
      <c r="T4" s="534"/>
      <c r="U4" s="534">
        <f t="shared" si="3"/>
        <v>18</v>
      </c>
      <c r="V4" s="535"/>
      <c r="W4" s="538"/>
      <c r="X4" s="534"/>
      <c r="Y4" s="534">
        <f t="shared" si="4"/>
        <v>16</v>
      </c>
      <c r="Z4" s="535"/>
      <c r="AA4" s="538"/>
      <c r="AB4" s="534"/>
      <c r="AC4" s="534">
        <f t="shared" si="5"/>
        <v>14</v>
      </c>
      <c r="AD4" s="535"/>
      <c r="AE4" s="538"/>
      <c r="AF4" s="534"/>
      <c r="AG4" s="534">
        <f t="shared" si="6"/>
        <v>18</v>
      </c>
      <c r="AH4" s="535"/>
      <c r="AI4" s="538"/>
      <c r="AJ4" s="534"/>
      <c r="AK4" s="534">
        <f t="shared" si="7"/>
        <v>11</v>
      </c>
      <c r="AL4" s="535"/>
      <c r="AM4" s="534"/>
      <c r="AN4" s="534"/>
      <c r="AO4" s="534">
        <f t="shared" si="8"/>
        <v>12</v>
      </c>
      <c r="AP4" s="535"/>
      <c r="AQ4" s="534"/>
      <c r="AR4" s="534"/>
      <c r="AS4" s="534">
        <f t="shared" si="9"/>
        <v>14</v>
      </c>
      <c r="AT4" s="534"/>
    </row>
    <row r="5">
      <c r="A5" s="542"/>
      <c r="B5" s="542"/>
      <c r="C5" s="533"/>
      <c r="D5" s="534"/>
      <c r="E5" s="534"/>
      <c r="F5" s="534"/>
      <c r="G5" s="533"/>
      <c r="H5" s="534"/>
      <c r="I5" s="534"/>
      <c r="J5" s="534"/>
      <c r="K5" s="534"/>
      <c r="L5" s="534"/>
      <c r="M5" s="534"/>
      <c r="N5" s="535"/>
      <c r="O5" s="536"/>
      <c r="P5" s="534"/>
      <c r="Q5" s="534"/>
      <c r="R5" s="535"/>
      <c r="S5" s="538"/>
      <c r="T5" s="534"/>
      <c r="U5" s="534"/>
      <c r="V5" s="535"/>
      <c r="W5" s="538"/>
      <c r="X5" s="534"/>
      <c r="Y5" s="534"/>
      <c r="Z5" s="535"/>
      <c r="AA5" s="538"/>
      <c r="AB5" s="534"/>
      <c r="AC5" s="534"/>
      <c r="AD5" s="535"/>
      <c r="AE5" s="538"/>
      <c r="AF5" s="534"/>
      <c r="AG5" s="534"/>
      <c r="AH5" s="535"/>
      <c r="AI5" s="538"/>
      <c r="AJ5" s="534"/>
      <c r="AK5" s="534"/>
      <c r="AL5" s="535"/>
      <c r="AM5" s="534"/>
      <c r="AN5" s="534"/>
      <c r="AO5" s="534"/>
      <c r="AP5" s="535"/>
      <c r="AQ5" s="534"/>
      <c r="AR5" s="534"/>
      <c r="AS5" s="534"/>
      <c r="AT5" s="534"/>
    </row>
    <row r="6">
      <c r="A6" s="542"/>
      <c r="B6" s="542"/>
      <c r="C6" s="533"/>
      <c r="D6" s="534"/>
      <c r="E6" s="534"/>
      <c r="F6" s="534"/>
      <c r="G6" s="533"/>
      <c r="H6" s="534"/>
      <c r="I6" s="534"/>
      <c r="J6" s="534"/>
      <c r="K6" s="534"/>
      <c r="L6" s="534"/>
      <c r="M6" s="534"/>
      <c r="N6" s="535"/>
      <c r="O6" s="536"/>
      <c r="P6" s="534"/>
      <c r="Q6" s="534"/>
      <c r="R6" s="535"/>
      <c r="S6" s="538"/>
      <c r="T6" s="534"/>
      <c r="U6" s="534"/>
      <c r="V6" s="535"/>
      <c r="W6" s="538"/>
      <c r="X6" s="534"/>
      <c r="Y6" s="534"/>
      <c r="Z6" s="535"/>
      <c r="AA6" s="538"/>
      <c r="AB6" s="534"/>
      <c r="AC6" s="534"/>
      <c r="AD6" s="535"/>
      <c r="AE6" s="538"/>
      <c r="AF6" s="534"/>
      <c r="AG6" s="534"/>
      <c r="AH6" s="535"/>
      <c r="AI6" s="538"/>
      <c r="AJ6" s="534"/>
      <c r="AK6" s="534"/>
      <c r="AL6" s="535"/>
      <c r="AM6" s="534"/>
      <c r="AN6" s="534"/>
      <c r="AO6" s="534"/>
      <c r="AP6" s="535"/>
      <c r="AQ6" s="534"/>
      <c r="AR6" s="534"/>
      <c r="AS6" s="534"/>
      <c r="AT6" s="534"/>
    </row>
    <row r="7">
      <c r="A7" s="542"/>
      <c r="B7" s="542"/>
      <c r="C7" s="533"/>
      <c r="D7" s="534"/>
      <c r="E7" s="534"/>
      <c r="F7" s="534"/>
      <c r="G7" s="533"/>
      <c r="H7" s="534"/>
      <c r="I7" s="534"/>
      <c r="J7" s="534"/>
      <c r="K7" s="534"/>
      <c r="L7" s="534"/>
      <c r="M7" s="534"/>
      <c r="N7" s="535"/>
      <c r="O7" s="536"/>
      <c r="P7" s="534"/>
      <c r="Q7" s="534"/>
      <c r="R7" s="535"/>
      <c r="S7" s="538"/>
      <c r="T7" s="534"/>
      <c r="U7" s="534"/>
      <c r="V7" s="535"/>
      <c r="W7" s="538"/>
      <c r="X7" s="534"/>
      <c r="Y7" s="534"/>
      <c r="Z7" s="535"/>
      <c r="AA7" s="538"/>
      <c r="AB7" s="534"/>
      <c r="AC7" s="534"/>
      <c r="AD7" s="535"/>
      <c r="AE7" s="538"/>
      <c r="AF7" s="534"/>
      <c r="AG7" s="534"/>
      <c r="AH7" s="535"/>
      <c r="AI7" s="538"/>
      <c r="AJ7" s="534"/>
      <c r="AK7" s="534"/>
      <c r="AL7" s="535"/>
      <c r="AM7" s="534"/>
      <c r="AN7" s="534"/>
      <c r="AO7" s="534"/>
      <c r="AP7" s="535"/>
      <c r="AQ7" s="534"/>
      <c r="AR7" s="534"/>
      <c r="AS7" s="534"/>
      <c r="AT7" s="534"/>
    </row>
    <row r="8">
      <c r="A8" s="542"/>
      <c r="B8" s="542"/>
      <c r="C8" s="533"/>
      <c r="D8" s="534"/>
      <c r="E8" s="534"/>
      <c r="F8" s="534"/>
      <c r="G8" s="533"/>
      <c r="H8" s="534"/>
      <c r="I8" s="534"/>
      <c r="J8" s="534"/>
      <c r="K8" s="534"/>
      <c r="L8" s="534"/>
      <c r="M8" s="534"/>
      <c r="N8" s="535"/>
      <c r="O8" s="536"/>
      <c r="P8" s="534"/>
      <c r="Q8" s="534"/>
      <c r="R8" s="535"/>
      <c r="S8" s="538"/>
      <c r="T8" s="534"/>
      <c r="U8" s="534"/>
      <c r="V8" s="535"/>
      <c r="W8" s="538"/>
      <c r="X8" s="534"/>
      <c r="Y8" s="534"/>
      <c r="Z8" s="535"/>
      <c r="AA8" s="538"/>
      <c r="AB8" s="534"/>
      <c r="AC8" s="534"/>
      <c r="AD8" s="535"/>
      <c r="AE8" s="538"/>
      <c r="AF8" s="534"/>
      <c r="AG8" s="534"/>
      <c r="AH8" s="535"/>
      <c r="AI8" s="538"/>
      <c r="AJ8" s="534"/>
      <c r="AK8" s="534"/>
      <c r="AL8" s="535"/>
      <c r="AM8" s="534"/>
      <c r="AN8" s="534"/>
      <c r="AO8" s="534"/>
      <c r="AP8" s="535"/>
      <c r="AQ8" s="534"/>
      <c r="AR8" s="534"/>
      <c r="AS8" s="534"/>
      <c r="AT8" s="534"/>
    </row>
    <row r="9">
      <c r="A9" s="542" t="s">
        <v>1537</v>
      </c>
      <c r="B9" s="542"/>
      <c r="C9" s="533"/>
      <c r="D9" s="534"/>
      <c r="E9" s="534">
        <f>COUNTA(E$12:E$202)</f>
        <v>171</v>
      </c>
      <c r="F9" s="534"/>
      <c r="G9" s="533"/>
      <c r="H9" s="534"/>
      <c r="I9" s="534"/>
      <c r="J9" s="534"/>
      <c r="K9" s="534"/>
      <c r="L9" s="534"/>
      <c r="M9" s="534"/>
      <c r="N9" s="535"/>
      <c r="O9" s="536"/>
      <c r="P9" s="534"/>
      <c r="Q9" s="534">
        <f>COUNTA(Q$12:Q$202)</f>
        <v>20</v>
      </c>
      <c r="R9" s="535"/>
      <c r="S9" s="538"/>
      <c r="T9" s="534"/>
      <c r="U9" s="534">
        <f>COUNTA(U$12:U$202)</f>
        <v>20</v>
      </c>
      <c r="V9" s="535"/>
      <c r="W9" s="538"/>
      <c r="X9" s="534"/>
      <c r="Y9" s="534">
        <f>COUNTA(Y$12:Y$202)</f>
        <v>20</v>
      </c>
      <c r="Z9" s="535"/>
      <c r="AA9" s="538"/>
      <c r="AB9" s="534"/>
      <c r="AC9" s="534">
        <f>COUNTA(AC$12:AC$202)</f>
        <v>20</v>
      </c>
      <c r="AD9" s="535"/>
      <c r="AE9" s="538"/>
      <c r="AF9" s="534"/>
      <c r="AG9" s="534">
        <f>COUNTA(AG$12:AG$202)</f>
        <v>20</v>
      </c>
      <c r="AH9" s="535"/>
      <c r="AI9" s="538"/>
      <c r="AJ9" s="534"/>
      <c r="AK9" s="534">
        <f>COUNTA(AK$12:AK$202)</f>
        <v>20</v>
      </c>
      <c r="AL9" s="535"/>
      <c r="AM9" s="534"/>
      <c r="AN9" s="534"/>
      <c r="AO9" s="534">
        <f>COUNTA(AO$12:AO$202)</f>
        <v>20</v>
      </c>
      <c r="AP9" s="535"/>
      <c r="AQ9" s="534"/>
      <c r="AR9" s="534"/>
      <c r="AS9" s="534">
        <f>COUNTA(AS$12:AS$202)</f>
        <v>20</v>
      </c>
      <c r="AT9" s="534"/>
    </row>
    <row r="10">
      <c r="A10" s="542"/>
      <c r="B10" s="542"/>
      <c r="C10" s="533"/>
      <c r="D10" s="533" t="s">
        <v>1540</v>
      </c>
      <c r="E10" s="534">
        <f>sum(E2:E8)</f>
        <v>171</v>
      </c>
      <c r="F10" s="534"/>
      <c r="G10" s="533"/>
      <c r="H10" s="534"/>
      <c r="I10" s="534"/>
      <c r="J10" s="534"/>
      <c r="K10" s="534"/>
      <c r="L10" s="534"/>
      <c r="M10" s="534"/>
      <c r="N10" s="535"/>
      <c r="O10" s="536"/>
      <c r="P10" s="533" t="s">
        <v>1540</v>
      </c>
      <c r="Q10" s="534">
        <f>sum(Q2:Q8)</f>
        <v>20</v>
      </c>
      <c r="R10" s="535"/>
      <c r="S10" s="538"/>
      <c r="T10" s="533" t="s">
        <v>1540</v>
      </c>
      <c r="U10" s="534">
        <f>sum(U2:U8)</f>
        <v>20</v>
      </c>
      <c r="V10" s="535"/>
      <c r="W10" s="538"/>
      <c r="X10" s="533" t="s">
        <v>1540</v>
      </c>
      <c r="Y10" s="534">
        <f>sum(Y2:Y8)</f>
        <v>20</v>
      </c>
      <c r="Z10" s="535"/>
      <c r="AA10" s="538"/>
      <c r="AB10" s="533" t="s">
        <v>1540</v>
      </c>
      <c r="AC10" s="534">
        <f>sum(AC2:AC8)</f>
        <v>20</v>
      </c>
      <c r="AD10" s="535"/>
      <c r="AE10" s="538"/>
      <c r="AF10" s="533" t="s">
        <v>1540</v>
      </c>
      <c r="AG10" s="534">
        <f>sum(AG2:AG8)</f>
        <v>20</v>
      </c>
      <c r="AH10" s="535"/>
      <c r="AI10" s="538"/>
      <c r="AJ10" s="533" t="s">
        <v>1540</v>
      </c>
      <c r="AK10" s="534">
        <f>sum(AK2:AK8)</f>
        <v>20</v>
      </c>
      <c r="AL10" s="535"/>
      <c r="AM10" s="534"/>
      <c r="AN10" s="533" t="s">
        <v>1540</v>
      </c>
      <c r="AO10" s="534">
        <f>sum(AO2:AO8)</f>
        <v>20</v>
      </c>
      <c r="AP10" s="535"/>
      <c r="AQ10" s="534"/>
      <c r="AR10" s="533" t="s">
        <v>1540</v>
      </c>
      <c r="AS10" s="534">
        <f>sum(AS2:AS8)</f>
        <v>20</v>
      </c>
      <c r="AT10" s="534"/>
    </row>
    <row r="11">
      <c r="A11" s="546"/>
      <c r="B11" s="546"/>
      <c r="C11" s="548" t="str">
        <f>Filtered!I1</f>
        <v>title</v>
      </c>
      <c r="D11" s="548" t="str">
        <f>Filtered!J1</f>
        <v>Top journals in</v>
      </c>
      <c r="E11" s="541" t="s">
        <v>1728</v>
      </c>
      <c r="F11" s="537" t="s">
        <v>519</v>
      </c>
      <c r="G11" s="537" t="s">
        <v>455</v>
      </c>
      <c r="H11" s="537" t="s">
        <v>1280</v>
      </c>
      <c r="I11" s="537" t="s">
        <v>812</v>
      </c>
      <c r="J11" s="537" t="s">
        <v>770</v>
      </c>
      <c r="K11" s="537" t="s">
        <v>933</v>
      </c>
      <c r="L11" s="537" t="s">
        <v>789</v>
      </c>
      <c r="M11" s="541" t="s">
        <v>286</v>
      </c>
      <c r="N11" s="549"/>
      <c r="O11" s="537" t="s">
        <v>519</v>
      </c>
      <c r="P11" s="548"/>
      <c r="Q11" s="548"/>
      <c r="R11" s="549"/>
      <c r="S11" s="537" t="s">
        <v>455</v>
      </c>
      <c r="T11" s="548"/>
      <c r="U11" s="548"/>
      <c r="V11" s="549"/>
      <c r="W11" s="537" t="s">
        <v>1280</v>
      </c>
      <c r="X11" s="548"/>
      <c r="Y11" s="537"/>
      <c r="Z11" s="549"/>
      <c r="AA11" s="537" t="s">
        <v>812</v>
      </c>
      <c r="AB11" s="548"/>
      <c r="AC11" s="548"/>
      <c r="AD11" s="549"/>
      <c r="AE11" s="537" t="s">
        <v>770</v>
      </c>
      <c r="AF11" s="537"/>
      <c r="AG11" s="537"/>
      <c r="AH11" s="550"/>
      <c r="AI11" s="537" t="s">
        <v>933</v>
      </c>
      <c r="AJ11" s="537"/>
      <c r="AK11" s="537"/>
      <c r="AL11" s="550"/>
      <c r="AM11" s="537" t="s">
        <v>789</v>
      </c>
      <c r="AN11" s="537"/>
      <c r="AO11" s="537"/>
      <c r="AP11" s="550"/>
      <c r="AQ11" s="541" t="s">
        <v>286</v>
      </c>
      <c r="AR11" s="537"/>
      <c r="AS11" s="537"/>
      <c r="AT11" s="537"/>
    </row>
    <row r="12">
      <c r="A12" s="552"/>
      <c r="B12" s="552"/>
      <c r="C12" t="str">
        <f>Filtered!I2</f>
        <v>Academic Medicine</v>
      </c>
      <c r="D12" t="str">
        <f>Filtered!J2</f>
        <v>Social Sciences</v>
      </c>
      <c r="E12" t="str">
        <f>Filtered!AD2</f>
        <v>Yes</v>
      </c>
      <c r="F12" t="b">
        <f t="shared" ref="F12:F182" si="10">if(iserror(search("bus",$D12)),FALSE,TRUE)</f>
        <v>0</v>
      </c>
      <c r="G12" t="b">
        <f t="shared" ref="G12:G182" si="11">if(iserror(search("chem",$D12)),FALSE,TRUE)</f>
        <v>0</v>
      </c>
      <c r="H12" t="b">
        <f t="shared" ref="H12:H182" si="12">if(iserror(search("computer",$D12)),FALSE,TRUE)</f>
        <v>0</v>
      </c>
      <c r="I12" t="b">
        <f t="shared" ref="I12:I182" si="13">if(iserror(search("health",$D12)),FALSE,TRUE)</f>
        <v>0</v>
      </c>
      <c r="J12" t="b">
        <f t="shared" ref="J12:J182" si="14">if(iserror(search("humanities",$D12)),FALSE,TRUE)</f>
        <v>0</v>
      </c>
      <c r="K12" t="b">
        <f t="shared" ref="K12:K182" si="15">if(iserror(search("life",$D12)),FALSE,TRUE)</f>
        <v>0</v>
      </c>
      <c r="L12" t="b">
        <f t="shared" ref="L12:L182" si="16">if(iserror(search("physics",$D12)),FALSE,TRUE)</f>
        <v>0</v>
      </c>
      <c r="M12" t="b">
        <f t="shared" ref="M12:M182" si="17">if(iserror(search("social",$D12)),FALSE,TRUE)</f>
        <v>1</v>
      </c>
      <c r="N12" s="535"/>
      <c r="O12" s="558" t="str">
        <f>IFERROR(__xludf.DUMMYFUNCTION("filter($C:$E,F:F)"),"Academy of Management Journal")</f>
        <v>Academy of Management Journal</v>
      </c>
      <c r="P12" t="str">
        <f>IFERROR(__xludf.DUMMYFUNCTION("""COMPUTED_VALUE"""),"Business, Economics &amp; Management")</f>
        <v>Business, Economics &amp; Management</v>
      </c>
      <c r="Q12" t="str">
        <f>IFERROR(__xludf.DUMMYFUNCTION("""COMPUTED_VALUE"""),"No")</f>
        <v>No</v>
      </c>
      <c r="R12" s="535"/>
      <c r="S12" s="558" t="str">
        <f>IFERROR(__xludf.DUMMYFUNCTION("filter($C:$E,G:G)"),"ACS Applied Materials &amp; Interfaces")</f>
        <v>ACS Applied Materials &amp; Interfaces</v>
      </c>
      <c r="T12" t="str">
        <f>IFERROR(__xludf.DUMMYFUNCTION("""COMPUTED_VALUE"""),"Chemical &amp; Materials Sciences, Engineering &amp; Computer Science")</f>
        <v>Chemical &amp; Materials Sciences, Engineering &amp; Computer Science</v>
      </c>
      <c r="U12" t="str">
        <f>IFERROR(__xludf.DUMMYFUNCTION("""COMPUTED_VALUE"""),"Unsure")</f>
        <v>Unsure</v>
      </c>
      <c r="V12" s="535"/>
      <c r="W12" s="558" t="str">
        <f>IFERROR(__xludf.DUMMYFUNCTION("filter($C:$E,H:H)"),"ACS Applied Materials &amp; Interfaces")</f>
        <v>ACS Applied Materials &amp; Interfaces</v>
      </c>
      <c r="X12" t="str">
        <f>IFERROR(__xludf.DUMMYFUNCTION("""COMPUTED_VALUE"""),"Chemical &amp; Materials Sciences, Engineering &amp; Computer Science")</f>
        <v>Chemical &amp; Materials Sciences, Engineering &amp; Computer Science</v>
      </c>
      <c r="Y12" t="str">
        <f>IFERROR(__xludf.DUMMYFUNCTION("""COMPUTED_VALUE"""),"Unsure")</f>
        <v>Unsure</v>
      </c>
      <c r="Z12" s="535"/>
      <c r="AA12" s="559" t="str">
        <f>IFERROR(__xludf.DUMMYFUNCTION("filter($C:$E,I:I)"),"Blood")</f>
        <v>Blood</v>
      </c>
      <c r="AB12" t="str">
        <f>IFERROR(__xludf.DUMMYFUNCTION("""COMPUTED_VALUE"""),"Health &amp; Medical Sciences")</f>
        <v>Health &amp; Medical Sciences</v>
      </c>
      <c r="AC12" t="str">
        <f>IFERROR(__xludf.DUMMYFUNCTION("""COMPUTED_VALUE"""),"No")</f>
        <v>No</v>
      </c>
      <c r="AD12" s="535"/>
      <c r="AE12" s="559" t="str">
        <f>IFERROR(__xludf.DUMMYFUNCTION("filter($C:$E,J:J)"),"Applied Linguistics")</f>
        <v>Applied Linguistics</v>
      </c>
      <c r="AF12" t="str">
        <f>IFERROR(__xludf.DUMMYFUNCTION("""COMPUTED_VALUE"""),"Humanities, Literature &amp; Arts")</f>
        <v>Humanities, Literature &amp; Arts</v>
      </c>
      <c r="AG12" t="str">
        <f>IFERROR(__xludf.DUMMYFUNCTION("""COMPUTED_VALUE"""),"Yes")</f>
        <v>Yes</v>
      </c>
      <c r="AH12" s="535"/>
      <c r="AI12" s="558" t="str">
        <f>IFERROR(__xludf.DUMMYFUNCTION("filter($C:$E,K:K)"),"Cell")</f>
        <v>Cell</v>
      </c>
      <c r="AJ12" t="str">
        <f>IFERROR(__xludf.DUMMYFUNCTION("""COMPUTED_VALUE"""),"Health &amp; Medical Sciences, Life Sciences &amp; Earth Sciences")</f>
        <v>Health &amp; Medical Sciences, Life Sciences &amp; Earth Sciences</v>
      </c>
      <c r="AK12" t="str">
        <f>IFERROR(__xludf.DUMMYFUNCTION("""COMPUTED_VALUE"""),"Yes")</f>
        <v>Yes</v>
      </c>
      <c r="AL12" s="535"/>
      <c r="AM12" t="str">
        <f>IFERROR(__xludf.DUMMYFUNCTION("filter($C:$E,L:L)"),"Astronomy &amp; Astrophysics")</f>
        <v>Astronomy &amp; Astrophysics</v>
      </c>
      <c r="AN12" t="str">
        <f>IFERROR(__xludf.DUMMYFUNCTION("""COMPUTED_VALUE"""),"Physics &amp; Mathematics")</f>
        <v>Physics &amp; Mathematics</v>
      </c>
      <c r="AO12" t="str">
        <f>IFERROR(__xludf.DUMMYFUNCTION("""COMPUTED_VALUE"""),"Not specified")</f>
        <v>Not specified</v>
      </c>
      <c r="AP12" s="535"/>
      <c r="AQ12" t="str">
        <f>IFERROR(__xludf.DUMMYFUNCTION("filter($C:$E,M:M)"),"Academic Medicine")</f>
        <v>Academic Medicine</v>
      </c>
      <c r="AR12" t="str">
        <f>IFERROR(__xludf.DUMMYFUNCTION("""COMPUTED_VALUE"""),"Social Sciences")</f>
        <v>Social Sciences</v>
      </c>
      <c r="AS12" t="str">
        <f>IFERROR(__xludf.DUMMYFUNCTION("""COMPUTED_VALUE"""),"Yes")</f>
        <v>Yes</v>
      </c>
    </row>
    <row r="13">
      <c r="A13" s="552"/>
      <c r="B13" s="552"/>
      <c r="C13" t="str">
        <f>Filtered!I3</f>
        <v>ACS Applied Materials &amp; Interfaces</v>
      </c>
      <c r="D13" t="str">
        <f>Filtered!J3</f>
        <v>Chemical &amp; Materials Sciences, Engineering &amp; Computer Science</v>
      </c>
      <c r="E13" t="str">
        <f>Filtered!AD3</f>
        <v>Unsure</v>
      </c>
      <c r="F13" t="b">
        <f t="shared" si="10"/>
        <v>0</v>
      </c>
      <c r="G13" t="b">
        <f t="shared" si="11"/>
        <v>1</v>
      </c>
      <c r="H13" t="b">
        <f t="shared" si="12"/>
        <v>1</v>
      </c>
      <c r="I13" t="b">
        <f t="shared" si="13"/>
        <v>0</v>
      </c>
      <c r="J13" t="b">
        <f t="shared" si="14"/>
        <v>0</v>
      </c>
      <c r="K13" t="b">
        <f t="shared" si="15"/>
        <v>0</v>
      </c>
      <c r="L13" t="b">
        <f t="shared" si="16"/>
        <v>0</v>
      </c>
      <c r="M13" t="b">
        <f t="shared" si="17"/>
        <v>0</v>
      </c>
      <c r="N13" s="535"/>
      <c r="O13" s="558" t="str">
        <f>IFERROR(__xludf.DUMMYFUNCTION("""COMPUTED_VALUE"""),"American Economic Review")</f>
        <v>American Economic Review</v>
      </c>
      <c r="P13" t="str">
        <f>IFERROR(__xludf.DUMMYFUNCTION("""COMPUTED_VALUE"""),"Business, Economics &amp; Management")</f>
        <v>Business, Economics &amp; Management</v>
      </c>
      <c r="Q13" t="str">
        <f>IFERROR(__xludf.DUMMYFUNCTION("""COMPUTED_VALUE"""),"Unsure")</f>
        <v>Unsure</v>
      </c>
      <c r="R13" s="535"/>
      <c r="S13" s="558" t="str">
        <f>IFERROR(__xludf.DUMMYFUNCTION("""COMPUTED_VALUE"""),"Accounts of Chemical Research")</f>
        <v>Accounts of Chemical Research</v>
      </c>
      <c r="T13" t="str">
        <f>IFERROR(__xludf.DUMMYFUNCTION("""COMPUTED_VALUE"""),"Chemical &amp; Materials Sciences")</f>
        <v>Chemical &amp; Materials Sciences</v>
      </c>
      <c r="U13" t="str">
        <f>IFERROR(__xludf.DUMMYFUNCTION("""COMPUTED_VALUE"""),"Unsure")</f>
        <v>Unsure</v>
      </c>
      <c r="V13" s="535"/>
      <c r="W13" s="558" t="str">
        <f>IFERROR(__xludf.DUMMYFUNCTION("""COMPUTED_VALUE"""),"ACS Nano")</f>
        <v>ACS Nano</v>
      </c>
      <c r="X13" t="str">
        <f>IFERROR(__xludf.DUMMYFUNCTION("""COMPUTED_VALUE"""),"Chemical &amp; Materials Sciences, Engineering &amp; Computer Science")</f>
        <v>Chemical &amp; Materials Sciences, Engineering &amp; Computer Science</v>
      </c>
      <c r="Y13" t="str">
        <f>IFERROR(__xludf.DUMMYFUNCTION("""COMPUTED_VALUE"""),"Unsure")</f>
        <v>Unsure</v>
      </c>
      <c r="Z13" s="535"/>
      <c r="AA13" s="558" t="str">
        <f>IFERROR(__xludf.DUMMYFUNCTION("""COMPUTED_VALUE"""),"BMJ")</f>
        <v>BMJ</v>
      </c>
      <c r="AB13" t="str">
        <f>IFERROR(__xludf.DUMMYFUNCTION("""COMPUTED_VALUE"""),"Health &amp; Medical Sciences")</f>
        <v>Health &amp; Medical Sciences</v>
      </c>
      <c r="AC13" t="str">
        <f>IFERROR(__xludf.DUMMYFUNCTION("""COMPUTED_VALUE"""),"Yes")</f>
        <v>Yes</v>
      </c>
      <c r="AD13" s="535"/>
      <c r="AE13" s="558" t="str">
        <f>IFERROR(__xludf.DUMMYFUNCTION("""COMPUTED_VALUE"""),"Digital Journalism")</f>
        <v>Digital Journalism</v>
      </c>
      <c r="AF13" t="str">
        <f>IFERROR(__xludf.DUMMYFUNCTION("""COMPUTED_VALUE"""),"Humanities, Literature &amp; Arts")</f>
        <v>Humanities, Literature &amp; Arts</v>
      </c>
      <c r="AG13" t="str">
        <f>IFERROR(__xludf.DUMMYFUNCTION("""COMPUTED_VALUE"""),"Unsure")</f>
        <v>Unsure</v>
      </c>
      <c r="AH13" s="535"/>
      <c r="AI13" s="558" t="str">
        <f>IFERROR(__xludf.DUMMYFUNCTION("""COMPUTED_VALUE"""),"Cell Metabolism")</f>
        <v>Cell Metabolism</v>
      </c>
      <c r="AJ13" t="str">
        <f>IFERROR(__xludf.DUMMYFUNCTION("""COMPUTED_VALUE"""),"Life Sciences &amp; Earth Sciences")</f>
        <v>Life Sciences &amp; Earth Sciences</v>
      </c>
      <c r="AK13" t="str">
        <f>IFERROR(__xludf.DUMMYFUNCTION("""COMPUTED_VALUE"""),"Yes")</f>
        <v>Yes</v>
      </c>
      <c r="AL13" s="535"/>
      <c r="AM13" t="str">
        <f>IFERROR(__xludf.DUMMYFUNCTION("""COMPUTED_VALUE"""),"Geophysical Research Letters")</f>
        <v>Geophysical Research Letters</v>
      </c>
      <c r="AN13" t="str">
        <f>IFERROR(__xludf.DUMMYFUNCTION("""COMPUTED_VALUE"""),"Physics &amp; Mathematics")</f>
        <v>Physics &amp; Mathematics</v>
      </c>
      <c r="AO13" t="str">
        <f>IFERROR(__xludf.DUMMYFUNCTION("""COMPUTED_VALUE"""),"Unsure")</f>
        <v>Unsure</v>
      </c>
      <c r="AP13" s="535"/>
      <c r="AQ13" t="str">
        <f>IFERROR(__xludf.DUMMYFUNCTION("""COMPUTED_VALUE"""),"American Journal of Political Science")</f>
        <v>American Journal of Political Science</v>
      </c>
      <c r="AR13" t="str">
        <f>IFERROR(__xludf.DUMMYFUNCTION("""COMPUTED_VALUE"""),"Social Sciences")</f>
        <v>Social Sciences</v>
      </c>
      <c r="AS13" t="str">
        <f>IFERROR(__xludf.DUMMYFUNCTION("""COMPUTED_VALUE"""),"Unsure")</f>
        <v>Unsure</v>
      </c>
    </row>
    <row r="14">
      <c r="A14" s="552"/>
      <c r="B14" s="552"/>
      <c r="C14" t="str">
        <f>Filtered!I4</f>
        <v>Accounts of Chemical Research</v>
      </c>
      <c r="D14" t="str">
        <f>Filtered!J4</f>
        <v>Chemical &amp; Materials Sciences</v>
      </c>
      <c r="E14" t="str">
        <f>Filtered!AD4</f>
        <v>Unsure</v>
      </c>
      <c r="F14" t="b">
        <f t="shared" si="10"/>
        <v>0</v>
      </c>
      <c r="G14" t="b">
        <f t="shared" si="11"/>
        <v>1</v>
      </c>
      <c r="H14" t="b">
        <f t="shared" si="12"/>
        <v>0</v>
      </c>
      <c r="I14" t="b">
        <f t="shared" si="13"/>
        <v>0</v>
      </c>
      <c r="J14" t="b">
        <f t="shared" si="14"/>
        <v>0</v>
      </c>
      <c r="K14" t="b">
        <f t="shared" si="15"/>
        <v>0</v>
      </c>
      <c r="L14" t="b">
        <f t="shared" si="16"/>
        <v>0</v>
      </c>
      <c r="M14" t="b">
        <f t="shared" si="17"/>
        <v>0</v>
      </c>
      <c r="N14" s="535"/>
      <c r="O14" s="558" t="str">
        <f>IFERROR(__xludf.DUMMYFUNCTION("""COMPUTED_VALUE"""),"Econometrica")</f>
        <v>Econometrica</v>
      </c>
      <c r="P14" t="str">
        <f>IFERROR(__xludf.DUMMYFUNCTION("""COMPUTED_VALUE"""),"Business, Economics &amp; Management")</f>
        <v>Business, Economics &amp; Management</v>
      </c>
      <c r="Q14" t="str">
        <f>IFERROR(__xludf.DUMMYFUNCTION("""COMPUTED_VALUE"""),"Unsure")</f>
        <v>Unsure</v>
      </c>
      <c r="R14" s="535"/>
      <c r="S14" s="558" t="str">
        <f>IFERROR(__xludf.DUMMYFUNCTION("""COMPUTED_VALUE"""),"ACS Nano")</f>
        <v>ACS Nano</v>
      </c>
      <c r="T14" t="str">
        <f>IFERROR(__xludf.DUMMYFUNCTION("""COMPUTED_VALUE"""),"Chemical &amp; Materials Sciences, Engineering &amp; Computer Science")</f>
        <v>Chemical &amp; Materials Sciences, Engineering &amp; Computer Science</v>
      </c>
      <c r="U14" t="str">
        <f>IFERROR(__xludf.DUMMYFUNCTION("""COMPUTED_VALUE"""),"Unsure")</f>
        <v>Unsure</v>
      </c>
      <c r="V14" s="535"/>
      <c r="W14" s="558" t="str">
        <f>IFERROR(__xludf.DUMMYFUNCTION("""COMPUTED_VALUE"""),"Advanced Energy Materials")</f>
        <v>Advanced Energy Materials</v>
      </c>
      <c r="X14" t="str">
        <f>IFERROR(__xludf.DUMMYFUNCTION("""COMPUTED_VALUE"""),"Chemical &amp; Materials Sciences, Engineering &amp; Computer Science")</f>
        <v>Chemical &amp; Materials Sciences, Engineering &amp; Computer Science</v>
      </c>
      <c r="Y14" t="str">
        <f>IFERROR(__xludf.DUMMYFUNCTION("""COMPUTED_VALUE"""),"Unsure")</f>
        <v>Unsure</v>
      </c>
      <c r="Z14" s="535"/>
      <c r="AA14" s="558" t="str">
        <f>IFERROR(__xludf.DUMMYFUNCTION("""COMPUTED_VALUE"""),"Cell")</f>
        <v>Cell</v>
      </c>
      <c r="AB14" t="str">
        <f>IFERROR(__xludf.DUMMYFUNCTION("""COMPUTED_VALUE"""),"Health &amp; Medical Sciences, Life Sciences &amp; Earth Sciences")</f>
        <v>Health &amp; Medical Sciences, Life Sciences &amp; Earth Sciences</v>
      </c>
      <c r="AC14" t="str">
        <f>IFERROR(__xludf.DUMMYFUNCTION("""COMPUTED_VALUE"""),"Yes")</f>
        <v>Yes</v>
      </c>
      <c r="AD14" s="535"/>
      <c r="AE14" s="558" t="str">
        <f>IFERROR(__xludf.DUMMYFUNCTION("""COMPUTED_VALUE"""),"Gender &amp; Society")</f>
        <v>Gender &amp; Society</v>
      </c>
      <c r="AF14" t="str">
        <f>IFERROR(__xludf.DUMMYFUNCTION("""COMPUTED_VALUE"""),"Humanities, Literature &amp; Arts")</f>
        <v>Humanities, Literature &amp; Arts</v>
      </c>
      <c r="AG14" t="str">
        <f>IFERROR(__xludf.DUMMYFUNCTION("""COMPUTED_VALUE"""),"Unsure")</f>
        <v>Unsure</v>
      </c>
      <c r="AH14" s="535"/>
      <c r="AI14" s="558" t="str">
        <f>IFERROR(__xludf.DUMMYFUNCTION("""COMPUTED_VALUE"""),"Cell Stem Cell")</f>
        <v>Cell Stem Cell</v>
      </c>
      <c r="AJ14" t="str">
        <f>IFERROR(__xludf.DUMMYFUNCTION("""COMPUTED_VALUE"""),"Life Sciences &amp; Earth Sciences")</f>
        <v>Life Sciences &amp; Earth Sciences</v>
      </c>
      <c r="AK14" t="str">
        <f>IFERROR(__xludf.DUMMYFUNCTION("""COMPUTED_VALUE"""),"Yes")</f>
        <v>Yes</v>
      </c>
      <c r="AL14" s="535"/>
      <c r="AM14" t="str">
        <f>IFERROR(__xludf.DUMMYFUNCTION("""COMPUTED_VALUE"""),"IEEE Transactions on Automatic Control")</f>
        <v>IEEE Transactions on Automatic Control</v>
      </c>
      <c r="AN14" t="str">
        <f>IFERROR(__xludf.DUMMYFUNCTION("""COMPUTED_VALUE"""),"Physics &amp; Mathematics")</f>
        <v>Physics &amp; Mathematics</v>
      </c>
      <c r="AO14" t="str">
        <f>IFERROR(__xludf.DUMMYFUNCTION("""COMPUTED_VALUE"""),"Unsure")</f>
        <v>Unsure</v>
      </c>
      <c r="AP14" s="535"/>
      <c r="AQ14" t="str">
        <f>IFERROR(__xludf.DUMMYFUNCTION("""COMPUTED_VALUE"""),"American Journal of Public Health")</f>
        <v>American Journal of Public Health</v>
      </c>
      <c r="AR14" t="str">
        <f>IFERROR(__xludf.DUMMYFUNCTION("""COMPUTED_VALUE"""),"Social Sciences")</f>
        <v>Social Sciences</v>
      </c>
      <c r="AS14" t="str">
        <f>IFERROR(__xludf.DUMMYFUNCTION("""COMPUTED_VALUE"""),"Unsure")</f>
        <v>Unsure</v>
      </c>
    </row>
    <row r="15">
      <c r="A15" s="552"/>
      <c r="B15" s="552"/>
      <c r="C15" t="str">
        <f>Filtered!I5</f>
        <v>ACS Catalysis</v>
      </c>
      <c r="D15" t="str">
        <f>Filtered!J5</f>
        <v/>
      </c>
      <c r="E15" t="str">
        <f>Filtered!AD5</f>
        <v>Unsure</v>
      </c>
      <c r="F15" t="b">
        <f t="shared" si="10"/>
        <v>0</v>
      </c>
      <c r="G15" t="b">
        <f t="shared" si="11"/>
        <v>0</v>
      </c>
      <c r="H15" t="b">
        <f t="shared" si="12"/>
        <v>0</v>
      </c>
      <c r="I15" t="b">
        <f t="shared" si="13"/>
        <v>0</v>
      </c>
      <c r="J15" t="b">
        <f t="shared" si="14"/>
        <v>0</v>
      </c>
      <c r="K15" t="b">
        <f t="shared" si="15"/>
        <v>0</v>
      </c>
      <c r="L15" t="b">
        <f t="shared" si="16"/>
        <v>0</v>
      </c>
      <c r="M15" t="b">
        <f t="shared" si="17"/>
        <v>0</v>
      </c>
      <c r="N15" s="535"/>
      <c r="O15" s="558" t="str">
        <f>IFERROR(__xludf.DUMMYFUNCTION("""COMPUTED_VALUE"""),"International Journal of Production Economics")</f>
        <v>International Journal of Production Economics</v>
      </c>
      <c r="P15" t="str">
        <f>IFERROR(__xludf.DUMMYFUNCTION("""COMPUTED_VALUE"""),"Business, Economics &amp; Management")</f>
        <v>Business, Economics &amp; Management</v>
      </c>
      <c r="Q15" t="str">
        <f>IFERROR(__xludf.DUMMYFUNCTION("""COMPUTED_VALUE"""),"Unsure")</f>
        <v>Unsure</v>
      </c>
      <c r="R15" s="535"/>
      <c r="S15" s="558" t="str">
        <f>IFERROR(__xludf.DUMMYFUNCTION("""COMPUTED_VALUE"""),"Advanced Energy Materials")</f>
        <v>Advanced Energy Materials</v>
      </c>
      <c r="T15" t="str">
        <f>IFERROR(__xludf.DUMMYFUNCTION("""COMPUTED_VALUE"""),"Chemical &amp; Materials Sciences, Engineering &amp; Computer Science")</f>
        <v>Chemical &amp; Materials Sciences, Engineering &amp; Computer Science</v>
      </c>
      <c r="U15" t="str">
        <f>IFERROR(__xludf.DUMMYFUNCTION("""COMPUTED_VALUE"""),"Unsure")</f>
        <v>Unsure</v>
      </c>
      <c r="V15" s="535"/>
      <c r="W15" s="558" t="str">
        <f>IFERROR(__xludf.DUMMYFUNCTION("""COMPUTED_VALUE"""),"Advanced Functional Materials")</f>
        <v>Advanced Functional Materials</v>
      </c>
      <c r="X15" t="str">
        <f>IFERROR(__xludf.DUMMYFUNCTION("""COMPUTED_VALUE"""),"Chemical &amp; Materials Sciences, Engineering &amp; Computer Science")</f>
        <v>Chemical &amp; Materials Sciences, Engineering &amp; Computer Science</v>
      </c>
      <c r="Y15" t="str">
        <f>IFERROR(__xludf.DUMMYFUNCTION("""COMPUTED_VALUE"""),"Unsure")</f>
        <v>Unsure</v>
      </c>
      <c r="Z15" s="535"/>
      <c r="AA15" s="558" t="str">
        <f>IFERROR(__xludf.DUMMYFUNCTION("""COMPUTED_VALUE"""),"Circulation")</f>
        <v>Circulation</v>
      </c>
      <c r="AB15" t="str">
        <f>IFERROR(__xludf.DUMMYFUNCTION("""COMPUTED_VALUE"""),"Health &amp; Medical Sciences")</f>
        <v>Health &amp; Medical Sciences</v>
      </c>
      <c r="AC15" t="str">
        <f>IFERROR(__xludf.DUMMYFUNCTION("""COMPUTED_VALUE"""),"Unsure")</f>
        <v>Unsure</v>
      </c>
      <c r="AD15" s="535"/>
      <c r="AE15" s="558" t="str">
        <f>IFERROR(__xludf.DUMMYFUNCTION("""COMPUTED_VALUE"""),"International Journal of Communication")</f>
        <v>International Journal of Communication</v>
      </c>
      <c r="AF15" t="str">
        <f>IFERROR(__xludf.DUMMYFUNCTION("""COMPUTED_VALUE"""),"Humanities, Literature &amp; Arts")</f>
        <v>Humanities, Literature &amp; Arts</v>
      </c>
      <c r="AG15" t="str">
        <f>IFERROR(__xludf.DUMMYFUNCTION("""COMPUTED_VALUE"""),"Unsure")</f>
        <v>Unsure</v>
      </c>
      <c r="AH15" s="535"/>
      <c r="AI15" s="558" t="str">
        <f>IFERROR(__xludf.DUMMYFUNCTION("""COMPUTED_VALUE"""),"Environmental Science &amp; Technology")</f>
        <v>Environmental Science &amp; Technology</v>
      </c>
      <c r="AJ15" t="str">
        <f>IFERROR(__xludf.DUMMYFUNCTION("""COMPUTED_VALUE"""),"Life Sciences &amp; Earth Sciences")</f>
        <v>Life Sciences &amp; Earth Sciences</v>
      </c>
      <c r="AK15" t="str">
        <f>IFERROR(__xludf.DUMMYFUNCTION("""COMPUTED_VALUE"""),"Unsure")</f>
        <v>Unsure</v>
      </c>
      <c r="AL15" s="535"/>
      <c r="AM15" t="str">
        <f>IFERROR(__xludf.DUMMYFUNCTION("""COMPUTED_VALUE"""),"IEEE Transactions on Signal Processing")</f>
        <v>IEEE Transactions on Signal Processing</v>
      </c>
      <c r="AN15" t="str">
        <f>IFERROR(__xludf.DUMMYFUNCTION("""COMPUTED_VALUE"""),"Physics &amp; Mathematics")</f>
        <v>Physics &amp; Mathematics</v>
      </c>
      <c r="AO15" t="str">
        <f>IFERROR(__xludf.DUMMYFUNCTION("""COMPUTED_VALUE"""),"Unsure")</f>
        <v>Unsure</v>
      </c>
      <c r="AP15" s="535"/>
      <c r="AQ15" t="str">
        <f>IFERROR(__xludf.DUMMYFUNCTION("""COMPUTED_VALUE"""),"American Political Science Review")</f>
        <v>American Political Science Review</v>
      </c>
      <c r="AR15" t="str">
        <f>IFERROR(__xludf.DUMMYFUNCTION("""COMPUTED_VALUE"""),"Social Sciences")</f>
        <v>Social Sciences</v>
      </c>
      <c r="AS15" t="str">
        <f>IFERROR(__xludf.DUMMYFUNCTION("""COMPUTED_VALUE"""),"Unsure")</f>
        <v>Unsure</v>
      </c>
    </row>
    <row r="16">
      <c r="A16" s="552"/>
      <c r="B16" s="552"/>
      <c r="C16" t="str">
        <f>Filtered!I6</f>
        <v>Academy of Management Journal</v>
      </c>
      <c r="D16" t="str">
        <f>Filtered!J6</f>
        <v>Business, Economics &amp; Management</v>
      </c>
      <c r="E16" t="str">
        <f>Filtered!AD6</f>
        <v>No</v>
      </c>
      <c r="F16" t="b">
        <f t="shared" si="10"/>
        <v>1</v>
      </c>
      <c r="G16" t="b">
        <f t="shared" si="11"/>
        <v>0</v>
      </c>
      <c r="H16" t="b">
        <f t="shared" si="12"/>
        <v>0</v>
      </c>
      <c r="I16" t="b">
        <f t="shared" si="13"/>
        <v>0</v>
      </c>
      <c r="J16" t="b">
        <f t="shared" si="14"/>
        <v>0</v>
      </c>
      <c r="K16" t="b">
        <f t="shared" si="15"/>
        <v>0</v>
      </c>
      <c r="L16" t="b">
        <f t="shared" si="16"/>
        <v>0</v>
      </c>
      <c r="M16" t="b">
        <f t="shared" si="17"/>
        <v>0</v>
      </c>
      <c r="N16" s="535"/>
      <c r="O16" s="558" t="str">
        <f>IFERROR(__xludf.DUMMYFUNCTION("""COMPUTED_VALUE"""),"Journal of Banking &amp; Finance")</f>
        <v>Journal of Banking &amp; Finance</v>
      </c>
      <c r="P16" t="str">
        <f>IFERROR(__xludf.DUMMYFUNCTION("""COMPUTED_VALUE"""),"Business, Economics &amp; Management")</f>
        <v>Business, Economics &amp; Management</v>
      </c>
      <c r="Q16" t="str">
        <f>IFERROR(__xludf.DUMMYFUNCTION("""COMPUTED_VALUE"""),"Unsure")</f>
        <v>Unsure</v>
      </c>
      <c r="R16" s="535"/>
      <c r="S16" s="558" t="str">
        <f>IFERROR(__xludf.DUMMYFUNCTION("""COMPUTED_VALUE"""),"Advanced Functional Materials")</f>
        <v>Advanced Functional Materials</v>
      </c>
      <c r="T16" t="str">
        <f>IFERROR(__xludf.DUMMYFUNCTION("""COMPUTED_VALUE"""),"Chemical &amp; Materials Sciences, Engineering &amp; Computer Science")</f>
        <v>Chemical &amp; Materials Sciences, Engineering &amp; Computer Science</v>
      </c>
      <c r="U16" t="str">
        <f>IFERROR(__xludf.DUMMYFUNCTION("""COMPUTED_VALUE"""),"Unsure")</f>
        <v>Unsure</v>
      </c>
      <c r="V16" s="535"/>
      <c r="W16" s="558" t="str">
        <f>IFERROR(__xludf.DUMMYFUNCTION("""COMPUTED_VALUE"""),"Advanced Materials")</f>
        <v>Advanced Materials</v>
      </c>
      <c r="X16" t="str">
        <f>IFERROR(__xludf.DUMMYFUNCTION("""COMPUTED_VALUE"""),"Chemical &amp; Materials Sciences, Engineering &amp; Computer Science")</f>
        <v>Chemical &amp; Materials Sciences, Engineering &amp; Computer Science</v>
      </c>
      <c r="Y16" t="str">
        <f>IFERROR(__xludf.DUMMYFUNCTION("""COMPUTED_VALUE"""),"unsure")</f>
        <v>unsure</v>
      </c>
      <c r="Z16" s="535"/>
      <c r="AA16" s="558" t="str">
        <f>IFERROR(__xludf.DUMMYFUNCTION("""COMPUTED_VALUE"""),"European Heart Journal")</f>
        <v>European Heart Journal</v>
      </c>
      <c r="AB16" t="str">
        <f>IFERROR(__xludf.DUMMYFUNCTION("""COMPUTED_VALUE"""),"Health &amp; Medical Sciences")</f>
        <v>Health &amp; Medical Sciences</v>
      </c>
      <c r="AC16" t="str">
        <f>IFERROR(__xludf.DUMMYFUNCTION("""COMPUTED_VALUE"""),"Unsure")</f>
        <v>Unsure</v>
      </c>
      <c r="AD16" s="535"/>
      <c r="AE16" s="558" t="str">
        <f>IFERROR(__xludf.DUMMYFUNCTION("""COMPUTED_VALUE"""),"Journal of Communication")</f>
        <v>Journal of Communication</v>
      </c>
      <c r="AF16" t="str">
        <f>IFERROR(__xludf.DUMMYFUNCTION("""COMPUTED_VALUE"""),"Humanities, Literature &amp; Arts")</f>
        <v>Humanities, Literature &amp; Arts</v>
      </c>
      <c r="AG16" t="str">
        <f>IFERROR(__xludf.DUMMYFUNCTION("""COMPUTED_VALUE"""),"Unsure")</f>
        <v>Unsure</v>
      </c>
      <c r="AH16" s="535"/>
      <c r="AI16" s="558" t="str">
        <f>IFERROR(__xludf.DUMMYFUNCTION("""COMPUTED_VALUE"""),"Molecular Cell")</f>
        <v>Molecular Cell</v>
      </c>
      <c r="AJ16" t="str">
        <f>IFERROR(__xludf.DUMMYFUNCTION("""COMPUTED_VALUE"""),"Life Sciences &amp; Earth Sciences")</f>
        <v>Life Sciences &amp; Earth Sciences</v>
      </c>
      <c r="AK16" t="str">
        <f>IFERROR(__xludf.DUMMYFUNCTION("""COMPUTED_VALUE"""),"Unsure")</f>
        <v>Unsure</v>
      </c>
      <c r="AL16" s="535"/>
      <c r="AM16" t="str">
        <f>IFERROR(__xludf.DUMMYFUNCTION("""COMPUTED_VALUE"""),"Journal of Cosmology and Astroparticle Physics")</f>
        <v>Journal of Cosmology and Astroparticle Physics</v>
      </c>
      <c r="AN16" t="str">
        <f>IFERROR(__xludf.DUMMYFUNCTION("""COMPUTED_VALUE"""),"Physics &amp; Mathematics")</f>
        <v>Physics &amp; Mathematics</v>
      </c>
      <c r="AO16" t="str">
        <f>IFERROR(__xludf.DUMMYFUNCTION("""COMPUTED_VALUE"""),"No")</f>
        <v>No</v>
      </c>
      <c r="AP16" s="535"/>
      <c r="AQ16" t="str">
        <f>IFERROR(__xludf.DUMMYFUNCTION("""COMPUTED_VALUE"""),"American Sociological Review")</f>
        <v>American Sociological Review</v>
      </c>
      <c r="AR16" t="str">
        <f>IFERROR(__xludf.DUMMYFUNCTION("""COMPUTED_VALUE"""),"Social Sciences")</f>
        <v>Social Sciences</v>
      </c>
      <c r="AS16" t="str">
        <f>IFERROR(__xludf.DUMMYFUNCTION("""COMPUTED_VALUE"""),"Yes")</f>
        <v>Yes</v>
      </c>
    </row>
    <row r="17">
      <c r="A17" s="552"/>
      <c r="B17" s="552"/>
      <c r="C17" t="str">
        <f>Filtered!I7</f>
        <v>ACS Nano</v>
      </c>
      <c r="D17" t="str">
        <f>Filtered!J7</f>
        <v>Chemical &amp; Materials Sciences, Engineering &amp; Computer Science</v>
      </c>
      <c r="E17" t="str">
        <f>Filtered!AD7</f>
        <v>Unsure</v>
      </c>
      <c r="F17" t="b">
        <f t="shared" si="10"/>
        <v>0</v>
      </c>
      <c r="G17" t="b">
        <f t="shared" si="11"/>
        <v>1</v>
      </c>
      <c r="H17" t="b">
        <f t="shared" si="12"/>
        <v>1</v>
      </c>
      <c r="I17" t="b">
        <f t="shared" si="13"/>
        <v>0</v>
      </c>
      <c r="J17" t="b">
        <f t="shared" si="14"/>
        <v>0</v>
      </c>
      <c r="K17" t="b">
        <f t="shared" si="15"/>
        <v>0</v>
      </c>
      <c r="L17" t="b">
        <f t="shared" si="16"/>
        <v>0</v>
      </c>
      <c r="M17" t="b">
        <f t="shared" si="17"/>
        <v>0</v>
      </c>
      <c r="N17" s="535"/>
      <c r="O17" s="558" t="str">
        <f>IFERROR(__xludf.DUMMYFUNCTION("""COMPUTED_VALUE"""),"Journal of Business Ethics")</f>
        <v>Journal of Business Ethics</v>
      </c>
      <c r="P17" t="str">
        <f>IFERROR(__xludf.DUMMYFUNCTION("""COMPUTED_VALUE"""),"Business, Economics &amp; Management,
Social Sciences")</f>
        <v>Business, Economics &amp; Management,
Social Sciences</v>
      </c>
      <c r="Q17" t="str">
        <f>IFERROR(__xludf.DUMMYFUNCTION("""COMPUTED_VALUE"""),"Unsure")</f>
        <v>Unsure</v>
      </c>
      <c r="R17" s="535"/>
      <c r="S17" s="558" t="str">
        <f>IFERROR(__xludf.DUMMYFUNCTION("""COMPUTED_VALUE"""),"Advanced Materials")</f>
        <v>Advanced Materials</v>
      </c>
      <c r="T17" t="str">
        <f>IFERROR(__xludf.DUMMYFUNCTION("""COMPUTED_VALUE"""),"Chemical &amp; Materials Sciences, Engineering &amp; Computer Science")</f>
        <v>Chemical &amp; Materials Sciences, Engineering &amp; Computer Science</v>
      </c>
      <c r="U17" t="str">
        <f>IFERROR(__xludf.DUMMYFUNCTION("""COMPUTED_VALUE"""),"unsure")</f>
        <v>unsure</v>
      </c>
      <c r="V17" s="535"/>
      <c r="W17" s="558" t="str">
        <f>IFERROR(__xludf.DUMMYFUNCTION("""COMPUTED_VALUE"""),"Chemistry of Materials")</f>
        <v>Chemistry of Materials</v>
      </c>
      <c r="X17" t="str">
        <f>IFERROR(__xludf.DUMMYFUNCTION("""COMPUTED_VALUE"""),"Chemical &amp; Materials Sciences,
Engineering &amp; Computer Science")</f>
        <v>Chemical &amp; Materials Sciences,
Engineering &amp; Computer Science</v>
      </c>
      <c r="Y17" t="str">
        <f>IFERROR(__xludf.DUMMYFUNCTION("""COMPUTED_VALUE"""),"Unsure")</f>
        <v>Unsure</v>
      </c>
      <c r="Z17" s="535"/>
      <c r="AA17" s="558" t="str">
        <f>IFERROR(__xludf.DUMMYFUNCTION("""COMPUTED_VALUE"""),"Gastroenterology")</f>
        <v>Gastroenterology</v>
      </c>
      <c r="AB17" t="str">
        <f>IFERROR(__xludf.DUMMYFUNCTION("""COMPUTED_VALUE"""),"Health &amp; Medical Sciences")</f>
        <v>Health &amp; Medical Sciences</v>
      </c>
      <c r="AC17" t="str">
        <f>IFERROR(__xludf.DUMMYFUNCTION("""COMPUTED_VALUE"""),"Unsure")</f>
        <v>Unsure</v>
      </c>
      <c r="AD17" s="535"/>
      <c r="AE17" s="558" t="str">
        <f>IFERROR(__xludf.DUMMYFUNCTION("""COMPUTED_VALUE"""),"Journal of Pragmatics")</f>
        <v>Journal of Pragmatics</v>
      </c>
      <c r="AF17" t="str">
        <f>IFERROR(__xludf.DUMMYFUNCTION("""COMPUTED_VALUE"""),"Humanities, Literature &amp; Arts")</f>
        <v>Humanities, Literature &amp; Arts</v>
      </c>
      <c r="AG17" t="str">
        <f>IFERROR(__xludf.DUMMYFUNCTION("""COMPUTED_VALUE"""),"Unsure")</f>
        <v>Unsure</v>
      </c>
      <c r="AH17" s="535"/>
      <c r="AI17" s="558" t="str">
        <f>IFERROR(__xludf.DUMMYFUNCTION("""COMPUTED_VALUE"""),"Nature")</f>
        <v>Nature</v>
      </c>
      <c r="AJ17" t="str">
        <f>IFERROR(__xludf.DUMMYFUNCTION("""COMPUTED_VALUE"""),"Life Sciences &amp; Earth Sciences")</f>
        <v>Life Sciences &amp; Earth Sciences</v>
      </c>
      <c r="AK17" t="str">
        <f>IFERROR(__xludf.DUMMYFUNCTION("""COMPUTED_VALUE"""),"Unsure")</f>
        <v>Unsure</v>
      </c>
      <c r="AL17" s="535"/>
      <c r="AM17" t="str">
        <f>IFERROR(__xludf.DUMMYFUNCTION("""COMPUTED_VALUE"""),"Journal of Geophysical Research")</f>
        <v>Journal of Geophysical Research</v>
      </c>
      <c r="AN17" t="str">
        <f>IFERROR(__xludf.DUMMYFUNCTION("""COMPUTED_VALUE"""),"Physics &amp; Mathematics")</f>
        <v>Physics &amp; Mathematics</v>
      </c>
      <c r="AO17" t="str">
        <f>IFERROR(__xludf.DUMMYFUNCTION("""COMPUTED_VALUE"""),"Unsure")</f>
        <v>Unsure</v>
      </c>
      <c r="AP17" s="535"/>
      <c r="AQ17" t="str">
        <f>IFERROR(__xludf.DUMMYFUNCTION("""COMPUTED_VALUE"""),"Annals of Tourism Research")</f>
        <v>Annals of Tourism Research</v>
      </c>
      <c r="AR17" t="str">
        <f>IFERROR(__xludf.DUMMYFUNCTION("""COMPUTED_VALUE"""),"Social Sciences")</f>
        <v>Social Sciences</v>
      </c>
      <c r="AS17" t="str">
        <f>IFERROR(__xludf.DUMMYFUNCTION("""COMPUTED_VALUE"""),"Unsure")</f>
        <v>Unsure</v>
      </c>
    </row>
    <row r="18">
      <c r="A18" s="552"/>
      <c r="B18" s="552"/>
      <c r="C18" t="str">
        <f>Filtered!I8</f>
        <v>Advanced Energy Materials</v>
      </c>
      <c r="D18" t="str">
        <f>Filtered!J8</f>
        <v>Chemical &amp; Materials Sciences, Engineering &amp; Computer Science</v>
      </c>
      <c r="E18" t="str">
        <f>Filtered!AD8</f>
        <v>Unsure</v>
      </c>
      <c r="F18" t="b">
        <f t="shared" si="10"/>
        <v>0</v>
      </c>
      <c r="G18" t="b">
        <f t="shared" si="11"/>
        <v>1</v>
      </c>
      <c r="H18" t="b">
        <f t="shared" si="12"/>
        <v>1</v>
      </c>
      <c r="I18" t="b">
        <f t="shared" si="13"/>
        <v>0</v>
      </c>
      <c r="J18" t="b">
        <f t="shared" si="14"/>
        <v>0</v>
      </c>
      <c r="K18" t="b">
        <f t="shared" si="15"/>
        <v>0</v>
      </c>
      <c r="L18" t="b">
        <f t="shared" si="16"/>
        <v>0</v>
      </c>
      <c r="M18" t="b">
        <f t="shared" si="17"/>
        <v>0</v>
      </c>
      <c r="N18" s="535"/>
      <c r="O18" s="558" t="str">
        <f>IFERROR(__xludf.DUMMYFUNCTION("""COMPUTED_VALUE"""),"Journal of Business Research")</f>
        <v>Journal of Business Research</v>
      </c>
      <c r="P18" t="str">
        <f>IFERROR(__xludf.DUMMYFUNCTION("""COMPUTED_VALUE"""),"Business, Economics &amp; Management")</f>
        <v>Business, Economics &amp; Management</v>
      </c>
      <c r="Q18" t="str">
        <f>IFERROR(__xludf.DUMMYFUNCTION("""COMPUTED_VALUE"""),"Unsure")</f>
        <v>Unsure</v>
      </c>
      <c r="R18" s="535"/>
      <c r="S18" s="558" t="str">
        <f>IFERROR(__xludf.DUMMYFUNCTION("""COMPUTED_VALUE"""),"Angewandte Chemie International Edition")</f>
        <v>Angewandte Chemie International Edition</v>
      </c>
      <c r="T18" t="str">
        <f>IFERROR(__xludf.DUMMYFUNCTION("""COMPUTED_VALUE"""),"Chemical &amp; Materials Sciences")</f>
        <v>Chemical &amp; Materials Sciences</v>
      </c>
      <c r="U18" t="str">
        <f>IFERROR(__xludf.DUMMYFUNCTION("""COMPUTED_VALUE"""),"Unsure")</f>
        <v>Unsure</v>
      </c>
      <c r="V18" s="535"/>
      <c r="W18" s="558" t="str">
        <f>IFERROR(__xludf.DUMMYFUNCTION("""COMPUTED_VALUE"""),"Energy and Environmental Science")</f>
        <v>Energy and Environmental Science</v>
      </c>
      <c r="X18" t="str">
        <f>IFERROR(__xludf.DUMMYFUNCTION("""COMPUTED_VALUE"""),"Chemical &amp; Materials Sciences, Engineering &amp; Computer Science")</f>
        <v>Chemical &amp; Materials Sciences, Engineering &amp; Computer Science</v>
      </c>
      <c r="Y18" t="str">
        <f>IFERROR(__xludf.DUMMYFUNCTION("""COMPUTED_VALUE"""),"Unsure")</f>
        <v>Unsure</v>
      </c>
      <c r="Z18" s="535"/>
      <c r="AA18" s="558" t="str">
        <f>IFERROR(__xludf.DUMMYFUNCTION("""COMPUTED_VALUE"""),"Immunity")</f>
        <v>Immunity</v>
      </c>
      <c r="AB18" t="str">
        <f>IFERROR(__xludf.DUMMYFUNCTION("""COMPUTED_VALUE"""),"Health &amp; Medical Sciences")</f>
        <v>Health &amp; Medical Sciences</v>
      </c>
      <c r="AC18" t="str">
        <f>IFERROR(__xludf.DUMMYFUNCTION("""COMPUTED_VALUE"""),"Unsure")</f>
        <v>Unsure</v>
      </c>
      <c r="AD18" s="535"/>
      <c r="AE18" s="558" t="str">
        <f>IFERROR(__xludf.DUMMYFUNCTION("""COMPUTED_VALUE"""),"Journalism")</f>
        <v>Journalism</v>
      </c>
      <c r="AF18" t="str">
        <f>IFERROR(__xludf.DUMMYFUNCTION("""COMPUTED_VALUE"""),"Humanities, Literature &amp; Arts")</f>
        <v>Humanities, Literature &amp; Arts</v>
      </c>
      <c r="AG18" t="str">
        <f>IFERROR(__xludf.DUMMYFUNCTION("""COMPUTED_VALUE"""),"Unsure")</f>
        <v>Unsure</v>
      </c>
      <c r="AH18" s="535"/>
      <c r="AI18" s="558" t="str">
        <f>IFERROR(__xludf.DUMMYFUNCTION("""COMPUTED_VALUE"""),"Nature Biotechnology")</f>
        <v>Nature Biotechnology</v>
      </c>
      <c r="AJ18" t="str">
        <f>IFERROR(__xludf.DUMMYFUNCTION("""COMPUTED_VALUE"""),"Life Sciences &amp; Earth Sciences")</f>
        <v>Life Sciences &amp; Earth Sciences</v>
      </c>
      <c r="AK18" t="str">
        <f>IFERROR(__xludf.DUMMYFUNCTION("""COMPUTED_VALUE"""),"Unsure")</f>
        <v>Unsure</v>
      </c>
      <c r="AL18" s="535"/>
      <c r="AM18" t="str">
        <f>IFERROR(__xludf.DUMMYFUNCTION("""COMPUTED_VALUE"""),"Journal of High Energy Physics")</f>
        <v>Journal of High Energy Physics</v>
      </c>
      <c r="AN18" t="str">
        <f>IFERROR(__xludf.DUMMYFUNCTION("""COMPUTED_VALUE"""),"Physics &amp; Mathematics")</f>
        <v>Physics &amp; Mathematics</v>
      </c>
      <c r="AO18" t="str">
        <f>IFERROR(__xludf.DUMMYFUNCTION("""COMPUTED_VALUE"""),"Unsure")</f>
        <v>Unsure</v>
      </c>
      <c r="AP18" s="535"/>
      <c r="AQ18" t="str">
        <f>IFERROR(__xludf.DUMMYFUNCTION("""COMPUTED_VALUE"""),"Global Environmental Change")</f>
        <v>Global Environmental Change</v>
      </c>
      <c r="AR18" t="str">
        <f>IFERROR(__xludf.DUMMYFUNCTION("""COMPUTED_VALUE"""),"Social Sciences")</f>
        <v>Social Sciences</v>
      </c>
      <c r="AS18" t="str">
        <f>IFERROR(__xludf.DUMMYFUNCTION("""COMPUTED_VALUE"""),"Unsure")</f>
        <v>Unsure</v>
      </c>
    </row>
    <row r="19">
      <c r="A19" s="552"/>
      <c r="B19" s="552"/>
      <c r="C19" t="str">
        <f>Filtered!I9</f>
        <v>Advanced Functional Materials</v>
      </c>
      <c r="D19" t="str">
        <f>Filtered!J9</f>
        <v>Chemical &amp; Materials Sciences, Engineering &amp; Computer Science</v>
      </c>
      <c r="E19" t="str">
        <f>Filtered!AD9</f>
        <v>Unsure</v>
      </c>
      <c r="F19" t="b">
        <f t="shared" si="10"/>
        <v>0</v>
      </c>
      <c r="G19" t="b">
        <f t="shared" si="11"/>
        <v>1</v>
      </c>
      <c r="H19" t="b">
        <f t="shared" si="12"/>
        <v>1</v>
      </c>
      <c r="I19" t="b">
        <f t="shared" si="13"/>
        <v>0</v>
      </c>
      <c r="J19" t="b">
        <f t="shared" si="14"/>
        <v>0</v>
      </c>
      <c r="K19" t="b">
        <f t="shared" si="15"/>
        <v>0</v>
      </c>
      <c r="L19" t="b">
        <f t="shared" si="16"/>
        <v>0</v>
      </c>
      <c r="M19" t="b">
        <f t="shared" si="17"/>
        <v>0</v>
      </c>
      <c r="N19" s="535"/>
      <c r="O19" s="558" t="str">
        <f>IFERROR(__xludf.DUMMYFUNCTION("""COMPUTED_VALUE"""),"Journal of Economic Perspectives")</f>
        <v>Journal of Economic Perspectives</v>
      </c>
      <c r="P19" t="str">
        <f>IFERROR(__xludf.DUMMYFUNCTION("""COMPUTED_VALUE"""),"Business, Economics &amp; Management")</f>
        <v>Business, Economics &amp; Management</v>
      </c>
      <c r="Q19" t="str">
        <f>IFERROR(__xludf.DUMMYFUNCTION("""COMPUTED_VALUE"""),"Unsure")</f>
        <v>Unsure</v>
      </c>
      <c r="R19" s="535"/>
      <c r="S19" s="558" t="str">
        <f>IFERROR(__xludf.DUMMYFUNCTION("""COMPUTED_VALUE"""),"Chemical communications (Cambridge, England)")</f>
        <v>Chemical communications (Cambridge, England)</v>
      </c>
      <c r="T19" t="str">
        <f>IFERROR(__xludf.DUMMYFUNCTION("""COMPUTED_VALUE"""),"Chemical &amp; Materials Sciences")</f>
        <v>Chemical &amp; Materials Sciences</v>
      </c>
      <c r="U19" t="str">
        <f>IFERROR(__xludf.DUMMYFUNCTION("""COMPUTED_VALUE"""),"Unsure")</f>
        <v>Unsure</v>
      </c>
      <c r="V19" s="535"/>
      <c r="W19" s="558" t="str">
        <f>IFERROR(__xludf.DUMMYFUNCTION("""COMPUTED_VALUE"""),"IEEE Communications Surveys &amp; Tutorials")</f>
        <v>IEEE Communications Surveys &amp; Tutorials</v>
      </c>
      <c r="X19" t="str">
        <f>IFERROR(__xludf.DUMMYFUNCTION("""COMPUTED_VALUE"""),"Engineering &amp; Computer Science")</f>
        <v>Engineering &amp; Computer Science</v>
      </c>
      <c r="Y19" t="str">
        <f>IFERROR(__xludf.DUMMYFUNCTION("""COMPUTED_VALUE"""),"Unsure")</f>
        <v>Unsure</v>
      </c>
      <c r="Z19" s="535"/>
      <c r="AA19" s="558" t="str">
        <f>IFERROR(__xludf.DUMMYFUNCTION("""COMPUTED_VALUE"""),"Journal of the American Medical Association")</f>
        <v>Journal of the American Medical Association</v>
      </c>
      <c r="AB19" t="str">
        <f>IFERROR(__xludf.DUMMYFUNCTION("""COMPUTED_VALUE"""),"Health &amp; Medical Sciences")</f>
        <v>Health &amp; Medical Sciences</v>
      </c>
      <c r="AC19" t="str">
        <f>IFERROR(__xludf.DUMMYFUNCTION("""COMPUTED_VALUE"""),"Unsure")</f>
        <v>Unsure</v>
      </c>
      <c r="AD19" s="535"/>
      <c r="AE19" s="558" t="str">
        <f>IFERROR(__xludf.DUMMYFUNCTION("""COMPUTED_VALUE"""),"Journalism Practice")</f>
        <v>Journalism Practice</v>
      </c>
      <c r="AF19" t="str">
        <f>IFERROR(__xludf.DUMMYFUNCTION("""COMPUTED_VALUE"""),"Humanities, Literature &amp; Arts")</f>
        <v>Humanities, Literature &amp; Arts</v>
      </c>
      <c r="AG19" t="str">
        <f>IFERROR(__xludf.DUMMYFUNCTION("""COMPUTED_VALUE"""),"Unsure")</f>
        <v>Unsure</v>
      </c>
      <c r="AH19" s="535"/>
      <c r="AI19" s="558" t="str">
        <f>IFERROR(__xludf.DUMMYFUNCTION("""COMPUTED_VALUE"""),"Nature Cell Biology")</f>
        <v>Nature Cell Biology</v>
      </c>
      <c r="AJ19" t="str">
        <f>IFERROR(__xludf.DUMMYFUNCTION("""COMPUTED_VALUE"""),"Life Sciences &amp; Earth Sciences")</f>
        <v>Life Sciences &amp; Earth Sciences</v>
      </c>
      <c r="AK19" t="str">
        <f>IFERROR(__xludf.DUMMYFUNCTION("""COMPUTED_VALUE"""),"Unsure")</f>
        <v>Unsure</v>
      </c>
      <c r="AL19" s="535"/>
      <c r="AM19" t="str">
        <f>IFERROR(__xludf.DUMMYFUNCTION("""COMPUTED_VALUE"""),"Monthly Notices of the Royal Astronomical Society")</f>
        <v>Monthly Notices of the Royal Astronomical Society</v>
      </c>
      <c r="AN19" t="str">
        <f>IFERROR(__xludf.DUMMYFUNCTION("""COMPUTED_VALUE"""),"Physics &amp; Mathematics")</f>
        <v>Physics &amp; Mathematics</v>
      </c>
      <c r="AO19" t="str">
        <f>IFERROR(__xludf.DUMMYFUNCTION("""COMPUTED_VALUE"""),"Unsure")</f>
        <v>Unsure</v>
      </c>
      <c r="AP19" s="535"/>
      <c r="AQ19" t="str">
        <f>IFERROR(__xludf.DUMMYFUNCTION("""COMPUTED_VALUE"""),"Government Information Quarterly")</f>
        <v>Government Information Quarterly</v>
      </c>
      <c r="AR19" t="str">
        <f>IFERROR(__xludf.DUMMYFUNCTION("""COMPUTED_VALUE"""),"Social Sciences")</f>
        <v>Social Sciences</v>
      </c>
      <c r="AS19" t="str">
        <f>IFERROR(__xludf.DUMMYFUNCTION("""COMPUTED_VALUE"""),"Unsure")</f>
        <v>Unsure</v>
      </c>
    </row>
    <row r="20">
      <c r="A20" s="552"/>
      <c r="B20" s="552"/>
      <c r="C20" t="str">
        <f>Filtered!I10</f>
        <v>Advanced Materials</v>
      </c>
      <c r="D20" t="str">
        <f>Filtered!J10</f>
        <v>Chemical &amp; Materials Sciences, Engineering &amp; Computer Science</v>
      </c>
      <c r="E20" t="str">
        <f>Filtered!AD10</f>
        <v>unsure</v>
      </c>
      <c r="F20" t="b">
        <f t="shared" si="10"/>
        <v>0</v>
      </c>
      <c r="G20" t="b">
        <f t="shared" si="11"/>
        <v>1</v>
      </c>
      <c r="H20" t="b">
        <f t="shared" si="12"/>
        <v>1</v>
      </c>
      <c r="I20" t="b">
        <f t="shared" si="13"/>
        <v>0</v>
      </c>
      <c r="J20" t="b">
        <f t="shared" si="14"/>
        <v>0</v>
      </c>
      <c r="K20" t="b">
        <f t="shared" si="15"/>
        <v>0</v>
      </c>
      <c r="L20" t="b">
        <f t="shared" si="16"/>
        <v>0</v>
      </c>
      <c r="M20" t="b">
        <f t="shared" si="17"/>
        <v>0</v>
      </c>
      <c r="N20" s="535"/>
      <c r="O20" s="558" t="str">
        <f>IFERROR(__xludf.DUMMYFUNCTION("""COMPUTED_VALUE"""),"Journal of Financial Economics")</f>
        <v>Journal of Financial Economics</v>
      </c>
      <c r="P20" t="str">
        <f>IFERROR(__xludf.DUMMYFUNCTION("""COMPUTED_VALUE"""),"Business, Economics &amp; Management")</f>
        <v>Business, Economics &amp; Management</v>
      </c>
      <c r="Q20" t="str">
        <f>IFERROR(__xludf.DUMMYFUNCTION("""COMPUTED_VALUE"""),"Unsure")</f>
        <v>Unsure</v>
      </c>
      <c r="R20" s="535"/>
      <c r="S20" s="558" t="str">
        <f>IFERROR(__xludf.DUMMYFUNCTION("""COMPUTED_VALUE"""),"Chemical Reviews")</f>
        <v>Chemical Reviews</v>
      </c>
      <c r="T20" t="str">
        <f>IFERROR(__xludf.DUMMYFUNCTION("""COMPUTED_VALUE"""),"Chemical &amp; Materials Sciences")</f>
        <v>Chemical &amp; Materials Sciences</v>
      </c>
      <c r="U20" t="str">
        <f>IFERROR(__xludf.DUMMYFUNCTION("""COMPUTED_VALUE"""),"Unsure")</f>
        <v>Unsure</v>
      </c>
      <c r="V20" s="535"/>
      <c r="W20" s="558" t="str">
        <f>IFERROR(__xludf.DUMMYFUNCTION("""COMPUTED_VALUE"""),"IEEE Conference on Computer Vision and Pattern Recognition, CVPR")</f>
        <v>IEEE Conference on Computer Vision and Pattern Recognition, CVPR</v>
      </c>
      <c r="X20" t="str">
        <f>IFERROR(__xludf.DUMMYFUNCTION("""COMPUTED_VALUE"""),"Engineering &amp; Computer Science")</f>
        <v>Engineering &amp; Computer Science</v>
      </c>
      <c r="Y20" t="str">
        <f>IFERROR(__xludf.DUMMYFUNCTION("""COMPUTED_VALUE"""),"Yes")</f>
        <v>Yes</v>
      </c>
      <c r="Z20" s="535"/>
      <c r="AA20" s="558" t="str">
        <f>IFERROR(__xludf.DUMMYFUNCTION("""COMPUTED_VALUE"""),"Journal of Clinical Oncology")</f>
        <v>Journal of Clinical Oncology</v>
      </c>
      <c r="AB20" t="str">
        <f>IFERROR(__xludf.DUMMYFUNCTION("""COMPUTED_VALUE"""),"Health &amp; Medical Sciences")</f>
        <v>Health &amp; Medical Sciences</v>
      </c>
      <c r="AC20" t="str">
        <f>IFERROR(__xludf.DUMMYFUNCTION("""COMPUTED_VALUE"""),"Unsure")</f>
        <v>Unsure</v>
      </c>
      <c r="AD20" s="535"/>
      <c r="AE20" s="558" t="str">
        <f>IFERROR(__xludf.DUMMYFUNCTION("""COMPUTED_VALUE"""),"Journalism Studies")</f>
        <v>Journalism Studies</v>
      </c>
      <c r="AF20" t="str">
        <f>IFERROR(__xludf.DUMMYFUNCTION("""COMPUTED_VALUE"""),"Humanities, Literature &amp; Arts")</f>
        <v>Humanities, Literature &amp; Arts</v>
      </c>
      <c r="AG20" t="str">
        <f>IFERROR(__xludf.DUMMYFUNCTION("""COMPUTED_VALUE"""),"Unsure")</f>
        <v>Unsure</v>
      </c>
      <c r="AH20" s="535"/>
      <c r="AI20" s="558" t="str">
        <f>IFERROR(__xludf.DUMMYFUNCTION("""COMPUTED_VALUE"""),"Nature Climate Change")</f>
        <v>Nature Climate Change</v>
      </c>
      <c r="AJ20" t="str">
        <f>IFERROR(__xludf.DUMMYFUNCTION("""COMPUTED_VALUE"""),"Life Sciences &amp; Earth Sciences")</f>
        <v>Life Sciences &amp; Earth Sciences</v>
      </c>
      <c r="AK20" t="str">
        <f>IFERROR(__xludf.DUMMYFUNCTION("""COMPUTED_VALUE"""),"Unsure")</f>
        <v>Unsure</v>
      </c>
      <c r="AL20" s="535"/>
      <c r="AM20" t="str">
        <f>IFERROR(__xludf.DUMMYFUNCTION("""COMPUTED_VALUE"""),"Nature Photonics")</f>
        <v>Nature Photonics</v>
      </c>
      <c r="AN20" t="str">
        <f>IFERROR(__xludf.DUMMYFUNCTION("""COMPUTED_VALUE"""),"Engineering &amp; Computer Science,
Physics &amp; Mathematics")</f>
        <v>Engineering &amp; Computer Science,
Physics &amp; Mathematics</v>
      </c>
      <c r="AO20" t="str">
        <f>IFERROR(__xludf.DUMMYFUNCTION("""COMPUTED_VALUE"""),"Unsure")</f>
        <v>Unsure</v>
      </c>
      <c r="AP20" s="535"/>
      <c r="AQ20" t="str">
        <f>IFERROR(__xludf.DUMMYFUNCTION("""COMPUTED_VALUE"""),"Health Affairs")</f>
        <v>Health Affairs</v>
      </c>
      <c r="AR20" t="str">
        <f>IFERROR(__xludf.DUMMYFUNCTION("""COMPUTED_VALUE"""),"Social Sciences")</f>
        <v>Social Sciences</v>
      </c>
      <c r="AS20" t="str">
        <f>IFERROR(__xludf.DUMMYFUNCTION("""COMPUTED_VALUE"""),"Yes")</f>
        <v>Yes</v>
      </c>
    </row>
    <row r="21">
      <c r="A21" s="552"/>
      <c r="B21" s="552"/>
      <c r="C21" t="str">
        <f>Filtered!I11</f>
        <v>American Economic Review</v>
      </c>
      <c r="D21" t="str">
        <f>Filtered!J11</f>
        <v>Business, Economics &amp; Management</v>
      </c>
      <c r="E21" t="str">
        <f>Filtered!AD11</f>
        <v>Unsure</v>
      </c>
      <c r="F21" t="b">
        <f t="shared" si="10"/>
        <v>1</v>
      </c>
      <c r="G21" t="b">
        <f t="shared" si="11"/>
        <v>0</v>
      </c>
      <c r="H21" t="b">
        <f t="shared" si="12"/>
        <v>0</v>
      </c>
      <c r="I21" t="b">
        <f t="shared" si="13"/>
        <v>0</v>
      </c>
      <c r="J21" t="b">
        <f t="shared" si="14"/>
        <v>0</v>
      </c>
      <c r="K21" t="b">
        <f t="shared" si="15"/>
        <v>0</v>
      </c>
      <c r="L21" t="b">
        <f t="shared" si="16"/>
        <v>0</v>
      </c>
      <c r="M21" t="b">
        <f t="shared" si="17"/>
        <v>0</v>
      </c>
      <c r="N21" s="535"/>
      <c r="O21" s="558" t="str">
        <f>IFERROR(__xludf.DUMMYFUNCTION("""COMPUTED_VALUE"""),"Journal of Management")</f>
        <v>Journal of Management</v>
      </c>
      <c r="P21" t="str">
        <f>IFERROR(__xludf.DUMMYFUNCTION("""COMPUTED_VALUE"""),"Business, Economics &amp; Management")</f>
        <v>Business, Economics &amp; Management</v>
      </c>
      <c r="Q21" t="str">
        <f>IFERROR(__xludf.DUMMYFUNCTION("""COMPUTED_VALUE"""),"Yes")</f>
        <v>Yes</v>
      </c>
      <c r="R21" s="535"/>
      <c r="S21" s="558" t="str">
        <f>IFERROR(__xludf.DUMMYFUNCTION("""COMPUTED_VALUE"""),"Chemical Society reviews")</f>
        <v>Chemical Society reviews</v>
      </c>
      <c r="T21" t="str">
        <f>IFERROR(__xludf.DUMMYFUNCTION("""COMPUTED_VALUE"""),"Chemical &amp; Materials Sciences")</f>
        <v>Chemical &amp; Materials Sciences</v>
      </c>
      <c r="U21" t="str">
        <f>IFERROR(__xludf.DUMMYFUNCTION("""COMPUTED_VALUE"""),"Unsure")</f>
        <v>Unsure</v>
      </c>
      <c r="V21" s="535"/>
      <c r="W21" s="558" t="str">
        <f>IFERROR(__xludf.DUMMYFUNCTION("""COMPUTED_VALUE"""),"IEEE International Conference on Computer Vision")</f>
        <v>IEEE International Conference on Computer Vision</v>
      </c>
      <c r="X21" t="str">
        <f>IFERROR(__xludf.DUMMYFUNCTION("""COMPUTED_VALUE"""),"Engineering &amp; Computer Science")</f>
        <v>Engineering &amp; Computer Science</v>
      </c>
      <c r="Y21" t="str">
        <f>IFERROR(__xludf.DUMMYFUNCTION("""COMPUTED_VALUE"""),"Yes")</f>
        <v>Yes</v>
      </c>
      <c r="Z21" s="535"/>
      <c r="AA21" s="558" t="str">
        <f>IFERROR(__xludf.DUMMYFUNCTION("""COMPUTED_VALUE"""),"Journal of the American College of Cardiology")</f>
        <v>Journal of the American College of Cardiology</v>
      </c>
      <c r="AB21" t="str">
        <f>IFERROR(__xludf.DUMMYFUNCTION("""COMPUTED_VALUE"""),"Health &amp; Medical Sciences")</f>
        <v>Health &amp; Medical Sciences</v>
      </c>
      <c r="AC21" t="str">
        <f>IFERROR(__xludf.DUMMYFUNCTION("""COMPUTED_VALUE"""),"Unsure")</f>
        <v>Unsure</v>
      </c>
      <c r="AD21" s="535"/>
      <c r="AE21" s="558" t="str">
        <f>IFERROR(__xludf.DUMMYFUNCTION("""COMPUTED_VALUE"""),"Language Learning")</f>
        <v>Language Learning</v>
      </c>
      <c r="AF21" t="str">
        <f>IFERROR(__xludf.DUMMYFUNCTION("""COMPUTED_VALUE"""),"Humanities, Literature &amp; Arts")</f>
        <v>Humanities, Literature &amp; Arts</v>
      </c>
      <c r="AG21" t="str">
        <f>IFERROR(__xludf.DUMMYFUNCTION("""COMPUTED_VALUE"""),"Unsure")</f>
        <v>Unsure</v>
      </c>
      <c r="AH21" s="535"/>
      <c r="AI21" s="558" t="str">
        <f>IFERROR(__xludf.DUMMYFUNCTION("""COMPUTED_VALUE"""),"Nature Communications")</f>
        <v>Nature Communications</v>
      </c>
      <c r="AJ21" t="str">
        <f>IFERROR(__xludf.DUMMYFUNCTION("""COMPUTED_VALUE"""),"Life Sciences &amp; Earth Sciences")</f>
        <v>Life Sciences &amp; Earth Sciences</v>
      </c>
      <c r="AK21" t="str">
        <f>IFERROR(__xludf.DUMMYFUNCTION("""COMPUTED_VALUE"""),"Unsure")</f>
        <v>Unsure</v>
      </c>
      <c r="AL21" s="535"/>
      <c r="AM21" t="str">
        <f>IFERROR(__xludf.DUMMYFUNCTION("""COMPUTED_VALUE"""),"Nature Physics")</f>
        <v>Nature Physics</v>
      </c>
      <c r="AN21" t="str">
        <f>IFERROR(__xludf.DUMMYFUNCTION("""COMPUTED_VALUE"""),"Physics &amp; Mathematics")</f>
        <v>Physics &amp; Mathematics</v>
      </c>
      <c r="AO21" t="str">
        <f>IFERROR(__xludf.DUMMYFUNCTION("""COMPUTED_VALUE"""),"Unsure")</f>
        <v>Unsure</v>
      </c>
      <c r="AP21" s="535"/>
      <c r="AQ21" t="str">
        <f>IFERROR(__xludf.DUMMYFUNCTION("""COMPUTED_VALUE"""),"Journal of Business Ethics")</f>
        <v>Journal of Business Ethics</v>
      </c>
      <c r="AR21" t="str">
        <f>IFERROR(__xludf.DUMMYFUNCTION("""COMPUTED_VALUE"""),"Business, Economics &amp; Management,
Social Sciences")</f>
        <v>Business, Economics &amp; Management,
Social Sciences</v>
      </c>
      <c r="AS21" t="str">
        <f>IFERROR(__xludf.DUMMYFUNCTION("""COMPUTED_VALUE"""),"Unsure")</f>
        <v>Unsure</v>
      </c>
    </row>
    <row r="22">
      <c r="A22" s="552"/>
      <c r="B22" s="552"/>
      <c r="C22" t="str">
        <f>Filtered!I12</f>
        <v>American Journal of Political Science</v>
      </c>
      <c r="D22" t="str">
        <f>Filtered!J12</f>
        <v>Social Sciences</v>
      </c>
      <c r="E22" t="str">
        <f>Filtered!AD12</f>
        <v>Unsure</v>
      </c>
      <c r="F22" t="b">
        <f t="shared" si="10"/>
        <v>0</v>
      </c>
      <c r="G22" t="b">
        <f t="shared" si="11"/>
        <v>0</v>
      </c>
      <c r="H22" t="b">
        <f t="shared" si="12"/>
        <v>0</v>
      </c>
      <c r="I22" t="b">
        <f t="shared" si="13"/>
        <v>0</v>
      </c>
      <c r="J22" t="b">
        <f t="shared" si="14"/>
        <v>0</v>
      </c>
      <c r="K22" t="b">
        <f t="shared" si="15"/>
        <v>0</v>
      </c>
      <c r="L22" t="b">
        <f t="shared" si="16"/>
        <v>0</v>
      </c>
      <c r="M22" t="b">
        <f t="shared" si="17"/>
        <v>1</v>
      </c>
      <c r="N22" s="535"/>
      <c r="O22" s="558" t="str">
        <f>IFERROR(__xludf.DUMMYFUNCTION("""COMPUTED_VALUE"""),"Management Information Systems Quarterly")</f>
        <v>Management Information Systems Quarterly</v>
      </c>
      <c r="P22" t="str">
        <f>IFERROR(__xludf.DUMMYFUNCTION("""COMPUTED_VALUE"""),"Business, Economics &amp; Management")</f>
        <v>Business, Economics &amp; Management</v>
      </c>
      <c r="Q22" t="str">
        <f>IFERROR(__xludf.DUMMYFUNCTION("""COMPUTED_VALUE"""),"Unsure")</f>
        <v>Unsure</v>
      </c>
      <c r="R22" s="535"/>
      <c r="S22" s="558" t="str">
        <f>IFERROR(__xludf.DUMMYFUNCTION("""COMPUTED_VALUE"""),"Chemistry of Materials")</f>
        <v>Chemistry of Materials</v>
      </c>
      <c r="T22" t="str">
        <f>IFERROR(__xludf.DUMMYFUNCTION("""COMPUTED_VALUE"""),"Chemical &amp; Materials Sciences,
Engineering &amp; Computer Science")</f>
        <v>Chemical &amp; Materials Sciences,
Engineering &amp; Computer Science</v>
      </c>
      <c r="U22" t="str">
        <f>IFERROR(__xludf.DUMMYFUNCTION("""COMPUTED_VALUE"""),"Unsure")</f>
        <v>Unsure</v>
      </c>
      <c r="V22" s="535"/>
      <c r="W22" s="558" t="str">
        <f>IFERROR(__xludf.DUMMYFUNCTION("""COMPUTED_VALUE"""),"IEEE Transactions on Industrial Electronics")</f>
        <v>IEEE Transactions on Industrial Electronics</v>
      </c>
      <c r="X22" t="str">
        <f>IFERROR(__xludf.DUMMYFUNCTION("""COMPUTED_VALUE"""),"Engineering &amp; Computer Science")</f>
        <v>Engineering &amp; Computer Science</v>
      </c>
      <c r="Y22" t="str">
        <f>IFERROR(__xludf.DUMMYFUNCTION("""COMPUTED_VALUE"""),"Unsure")</f>
        <v>Unsure</v>
      </c>
      <c r="Z22" s="535"/>
      <c r="AA22" s="558" t="str">
        <f>IFERROR(__xludf.DUMMYFUNCTION("""COMPUTED_VALUE"""),"Nature Genetics")</f>
        <v>Nature Genetics</v>
      </c>
      <c r="AB22" t="str">
        <f>IFERROR(__xludf.DUMMYFUNCTION("""COMPUTED_VALUE"""),"Health &amp; Medical Sciences,
Life Sciences &amp; Earth Sciences")</f>
        <v>Health &amp; Medical Sciences,
Life Sciences &amp; Earth Sciences</v>
      </c>
      <c r="AC22" t="str">
        <f>IFERROR(__xludf.DUMMYFUNCTION("""COMPUTED_VALUE"""),"Unsure")</f>
        <v>Unsure</v>
      </c>
      <c r="AD22" s="535"/>
      <c r="AE22" s="558" t="str">
        <f>IFERROR(__xludf.DUMMYFUNCTION("""COMPUTED_VALUE"""),"Lingua")</f>
        <v>Lingua</v>
      </c>
      <c r="AF22" t="str">
        <f>IFERROR(__xludf.DUMMYFUNCTION("""COMPUTED_VALUE"""),"Humanities, Literature &amp; Arts")</f>
        <v>Humanities, Literature &amp; Arts</v>
      </c>
      <c r="AG22" t="str">
        <f>IFERROR(__xludf.DUMMYFUNCTION("""COMPUTED_VALUE"""),"Unsure")</f>
        <v>Unsure</v>
      </c>
      <c r="AH22" s="535"/>
      <c r="AI22" s="558" t="str">
        <f>IFERROR(__xludf.DUMMYFUNCTION("""COMPUTED_VALUE"""),"Nature Genetics")</f>
        <v>Nature Genetics</v>
      </c>
      <c r="AJ22" t="str">
        <f>IFERROR(__xludf.DUMMYFUNCTION("""COMPUTED_VALUE"""),"Health &amp; Medical Sciences,
Life Sciences &amp; Earth Sciences")</f>
        <v>Health &amp; Medical Sciences,
Life Sciences &amp; Earth Sciences</v>
      </c>
      <c r="AK22" t="str">
        <f>IFERROR(__xludf.DUMMYFUNCTION("""COMPUTED_VALUE"""),"Unsure")</f>
        <v>Unsure</v>
      </c>
      <c r="AL22" s="535"/>
      <c r="AM22" t="str">
        <f>IFERROR(__xludf.DUMMYFUNCTION("""COMPUTED_VALUE"""),"Optics Express")</f>
        <v>Optics Express</v>
      </c>
      <c r="AN22" t="str">
        <f>IFERROR(__xludf.DUMMYFUNCTION("""COMPUTED_VALUE"""),"Physics &amp; Mathematics")</f>
        <v>Physics &amp; Mathematics</v>
      </c>
      <c r="AO22" t="str">
        <f>IFERROR(__xludf.DUMMYFUNCTION("""COMPUTED_VALUE"""),"Yes")</f>
        <v>Yes</v>
      </c>
      <c r="AP22" s="535"/>
      <c r="AQ22" t="str">
        <f>IFERROR(__xludf.DUMMYFUNCTION("""COMPUTED_VALUE"""),"Journal of Educational Psychology")</f>
        <v>Journal of Educational Psychology</v>
      </c>
      <c r="AR22" t="str">
        <f>IFERROR(__xludf.DUMMYFUNCTION("""COMPUTED_VALUE"""),"Social Sciences")</f>
        <v>Social Sciences</v>
      </c>
      <c r="AS22" t="str">
        <f>IFERROR(__xludf.DUMMYFUNCTION("""COMPUTED_VALUE"""),"Yes")</f>
        <v>Yes</v>
      </c>
    </row>
    <row r="23">
      <c r="A23" s="552"/>
      <c r="B23" s="552"/>
      <c r="C23" t="str">
        <f>Filtered!I13</f>
        <v>American Journal of Public Health</v>
      </c>
      <c r="D23" t="str">
        <f>Filtered!J13</f>
        <v>Social Sciences</v>
      </c>
      <c r="E23" t="str">
        <f>Filtered!AD13</f>
        <v>Unsure</v>
      </c>
      <c r="F23" t="b">
        <f t="shared" si="10"/>
        <v>0</v>
      </c>
      <c r="G23" t="b">
        <f t="shared" si="11"/>
        <v>0</v>
      </c>
      <c r="H23" t="b">
        <f t="shared" si="12"/>
        <v>0</v>
      </c>
      <c r="I23" t="b">
        <f t="shared" si="13"/>
        <v>0</v>
      </c>
      <c r="J23" t="b">
        <f t="shared" si="14"/>
        <v>0</v>
      </c>
      <c r="K23" t="b">
        <f t="shared" si="15"/>
        <v>0</v>
      </c>
      <c r="L23" t="b">
        <f t="shared" si="16"/>
        <v>0</v>
      </c>
      <c r="M23" t="b">
        <f t="shared" si="17"/>
        <v>1</v>
      </c>
      <c r="N23" s="535"/>
      <c r="O23" s="558" t="str">
        <f>IFERROR(__xludf.DUMMYFUNCTION("""COMPUTED_VALUE"""),"Management Science")</f>
        <v>Management Science</v>
      </c>
      <c r="P23" t="str">
        <f>IFERROR(__xludf.DUMMYFUNCTION("""COMPUTED_VALUE"""),"Business, Economics &amp; Management")</f>
        <v>Business, Economics &amp; Management</v>
      </c>
      <c r="Q23" t="str">
        <f>IFERROR(__xludf.DUMMYFUNCTION("""COMPUTED_VALUE"""),"Unsure")</f>
        <v>Unsure</v>
      </c>
      <c r="R23" s="535"/>
      <c r="S23" s="558" t="str">
        <f>IFERROR(__xludf.DUMMYFUNCTION("""COMPUTED_VALUE"""),"Energy and Environmental Science")</f>
        <v>Energy and Environmental Science</v>
      </c>
      <c r="T23" t="str">
        <f>IFERROR(__xludf.DUMMYFUNCTION("""COMPUTED_VALUE"""),"Chemical &amp; Materials Sciences, Engineering &amp; Computer Science")</f>
        <v>Chemical &amp; Materials Sciences, Engineering &amp; Computer Science</v>
      </c>
      <c r="U23" t="str">
        <f>IFERROR(__xludf.DUMMYFUNCTION("""COMPUTED_VALUE"""),"Unsure")</f>
        <v>Unsure</v>
      </c>
      <c r="V23" s="535"/>
      <c r="W23" s="558" t="str">
        <f>IFERROR(__xludf.DUMMYFUNCTION("""COMPUTED_VALUE"""),"IEEE Transactions on Power Electronics")</f>
        <v>IEEE Transactions on Power Electronics</v>
      </c>
      <c r="X23" t="str">
        <f>IFERROR(__xludf.DUMMYFUNCTION("""COMPUTED_VALUE"""),"Engineering &amp; Computer Science")</f>
        <v>Engineering &amp; Computer Science</v>
      </c>
      <c r="Y23" t="str">
        <f>IFERROR(__xludf.DUMMYFUNCTION("""COMPUTED_VALUE"""),"Unsure")</f>
        <v>Unsure</v>
      </c>
      <c r="Z23" s="535"/>
      <c r="AA23" s="558" t="str">
        <f>IFERROR(__xludf.DUMMYFUNCTION("""COMPUTED_VALUE"""),"Nature Medicine")</f>
        <v>Nature Medicine</v>
      </c>
      <c r="AB23" t="str">
        <f>IFERROR(__xludf.DUMMYFUNCTION("""COMPUTED_VALUE"""),"Health &amp; Medical Sciences")</f>
        <v>Health &amp; Medical Sciences</v>
      </c>
      <c r="AC23" t="str">
        <f>IFERROR(__xludf.DUMMYFUNCTION("""COMPUTED_VALUE"""),"Unsure")</f>
        <v>Unsure</v>
      </c>
      <c r="AD23" s="535"/>
      <c r="AE23" s="558" t="str">
        <f>IFERROR(__xludf.DUMMYFUNCTION("""COMPUTED_VALUE"""),"Media, Culture &amp; Society")</f>
        <v>Media, Culture &amp; Society</v>
      </c>
      <c r="AF23" t="str">
        <f>IFERROR(__xludf.DUMMYFUNCTION("""COMPUTED_VALUE"""),"Humanities, Literature &amp; Arts")</f>
        <v>Humanities, Literature &amp; Arts</v>
      </c>
      <c r="AG23" t="str">
        <f>IFERROR(__xludf.DUMMYFUNCTION("""COMPUTED_VALUE"""),"Unsure")</f>
        <v>Unsure</v>
      </c>
      <c r="AH23" s="535"/>
      <c r="AI23" s="558" t="str">
        <f>IFERROR(__xludf.DUMMYFUNCTION("""COMPUTED_VALUE"""),"Nature Methods")</f>
        <v>Nature Methods</v>
      </c>
      <c r="AJ23" t="str">
        <f>IFERROR(__xludf.DUMMYFUNCTION("""COMPUTED_VALUE"""),"Life Sciences &amp; Earth Sciences")</f>
        <v>Life Sciences &amp; Earth Sciences</v>
      </c>
      <c r="AK23" t="str">
        <f>IFERROR(__xludf.DUMMYFUNCTION("""COMPUTED_VALUE"""),"Unsure")</f>
        <v>Unsure</v>
      </c>
      <c r="AL23" s="535"/>
      <c r="AM23" t="str">
        <f>IFERROR(__xludf.DUMMYFUNCTION("""COMPUTED_VALUE"""),"Physical Review B")</f>
        <v>Physical Review B</v>
      </c>
      <c r="AN23" t="str">
        <f>IFERROR(__xludf.DUMMYFUNCTION("""COMPUTED_VALUE"""),"Physics &amp; Mathematics")</f>
        <v>Physics &amp; Mathematics</v>
      </c>
      <c r="AO23" t="str">
        <f>IFERROR(__xludf.DUMMYFUNCTION("""COMPUTED_VALUE"""),"Yes")</f>
        <v>Yes</v>
      </c>
      <c r="AP23" s="535"/>
      <c r="AQ23" t="str">
        <f>IFERROR(__xludf.DUMMYFUNCTION("""COMPUTED_VALUE"""),"Journal of Youth and Adolescence")</f>
        <v>Journal of Youth and Adolescence</v>
      </c>
      <c r="AR23" t="str">
        <f>IFERROR(__xludf.DUMMYFUNCTION("""COMPUTED_VALUE"""),"Social Sciences")</f>
        <v>Social Sciences</v>
      </c>
      <c r="AS23" t="str">
        <f>IFERROR(__xludf.DUMMYFUNCTION("""COMPUTED_VALUE"""),"Unsure")</f>
        <v>Unsure</v>
      </c>
    </row>
    <row r="24">
      <c r="A24" s="552"/>
      <c r="B24" s="552"/>
      <c r="C24" t="str">
        <f>Filtered!I14</f>
        <v>American Political Science Review</v>
      </c>
      <c r="D24" t="str">
        <f>Filtered!J14</f>
        <v>Social Sciences</v>
      </c>
      <c r="E24" t="str">
        <f>Filtered!AD14</f>
        <v>Unsure</v>
      </c>
      <c r="F24" t="b">
        <f t="shared" si="10"/>
        <v>0</v>
      </c>
      <c r="G24" t="b">
        <f t="shared" si="11"/>
        <v>0</v>
      </c>
      <c r="H24" t="b">
        <f t="shared" si="12"/>
        <v>0</v>
      </c>
      <c r="I24" t="b">
        <f t="shared" si="13"/>
        <v>0</v>
      </c>
      <c r="J24" t="b">
        <f t="shared" si="14"/>
        <v>0</v>
      </c>
      <c r="K24" t="b">
        <f t="shared" si="15"/>
        <v>0</v>
      </c>
      <c r="L24" t="b">
        <f t="shared" si="16"/>
        <v>0</v>
      </c>
      <c r="M24" t="b">
        <f t="shared" si="17"/>
        <v>1</v>
      </c>
      <c r="N24" s="535"/>
      <c r="O24" s="558" t="str">
        <f>IFERROR(__xludf.DUMMYFUNCTION("""COMPUTED_VALUE"""),"Review of Economics and Statistics")</f>
        <v>Review of Economics and Statistics</v>
      </c>
      <c r="P24" t="str">
        <f>IFERROR(__xludf.DUMMYFUNCTION("""COMPUTED_VALUE"""),"Business, Economics &amp; Management")</f>
        <v>Business, Economics &amp; Management</v>
      </c>
      <c r="Q24" t="str">
        <f>IFERROR(__xludf.DUMMYFUNCTION("""COMPUTED_VALUE"""),"Unsure")</f>
        <v>Unsure</v>
      </c>
      <c r="R24" s="535"/>
      <c r="S24" s="558" t="str">
        <f>IFERROR(__xludf.DUMMYFUNCTION("""COMPUTED_VALUE"""),"Journal of Materials Chemistry. A")</f>
        <v>Journal of Materials Chemistry. A</v>
      </c>
      <c r="T24" t="str">
        <f>IFERROR(__xludf.DUMMYFUNCTION("""COMPUTED_VALUE"""),"Chemical &amp; Materials Sciences, Engineering &amp; Computer Science")</f>
        <v>Chemical &amp; Materials Sciences, Engineering &amp; Computer Science</v>
      </c>
      <c r="U24" t="str">
        <f>IFERROR(__xludf.DUMMYFUNCTION("""COMPUTED_VALUE"""),"Unsure")</f>
        <v>Unsure</v>
      </c>
      <c r="V24" s="535"/>
      <c r="W24" s="558" t="str">
        <f>IFERROR(__xludf.DUMMYFUNCTION("""COMPUTED_VALUE"""),"Journal of Materials Chemistry. A")</f>
        <v>Journal of Materials Chemistry. A</v>
      </c>
      <c r="X24" t="str">
        <f>IFERROR(__xludf.DUMMYFUNCTION("""COMPUTED_VALUE"""),"Chemical &amp; Materials Sciences, Engineering &amp; Computer Science")</f>
        <v>Chemical &amp; Materials Sciences, Engineering &amp; Computer Science</v>
      </c>
      <c r="Y24" t="str">
        <f>IFERROR(__xludf.DUMMYFUNCTION("""COMPUTED_VALUE"""),"Unsure")</f>
        <v>Unsure</v>
      </c>
      <c r="Z24" s="535"/>
      <c r="AA24" s="558" t="str">
        <f>IFERROR(__xludf.DUMMYFUNCTION("""COMPUTED_VALUE"""),"Nature Neuroscience")</f>
        <v>Nature Neuroscience</v>
      </c>
      <c r="AB24" t="str">
        <f>IFERROR(__xludf.DUMMYFUNCTION("""COMPUTED_VALUE"""),"Health &amp; Medical Sciences")</f>
        <v>Health &amp; Medical Sciences</v>
      </c>
      <c r="AC24" t="str">
        <f>IFERROR(__xludf.DUMMYFUNCTION("""COMPUTED_VALUE"""),"Unsure")</f>
        <v>Unsure</v>
      </c>
      <c r="AD24" s="535"/>
      <c r="AE24" s="558" t="str">
        <f>IFERROR(__xludf.DUMMYFUNCTION("""COMPUTED_VALUE"""),"Noûs")</f>
        <v>Noûs</v>
      </c>
      <c r="AF24" t="str">
        <f>IFERROR(__xludf.DUMMYFUNCTION("""COMPUTED_VALUE"""),"Social Sciences, Humanities, Literature &amp; Arts")</f>
        <v>Social Sciences, Humanities, Literature &amp; Arts</v>
      </c>
      <c r="AG24" t="str">
        <f>IFERROR(__xludf.DUMMYFUNCTION("""COMPUTED_VALUE"""),"Yes")</f>
        <v>Yes</v>
      </c>
      <c r="AH24" s="535"/>
      <c r="AI24" s="558" t="str">
        <f>IFERROR(__xludf.DUMMYFUNCTION("""COMPUTED_VALUE"""),"Nature Reviews Genetics")</f>
        <v>Nature Reviews Genetics</v>
      </c>
      <c r="AJ24" t="str">
        <f>IFERROR(__xludf.DUMMYFUNCTION("""COMPUTED_VALUE"""),"Life Sciences &amp; Earth Sciences")</f>
        <v>Life Sciences &amp; Earth Sciences</v>
      </c>
      <c r="AK24" t="str">
        <f>IFERROR(__xludf.DUMMYFUNCTION("""COMPUTED_VALUE"""),"Yes")</f>
        <v>Yes</v>
      </c>
      <c r="AL24" s="535"/>
      <c r="AM24" t="str">
        <f>IFERROR(__xludf.DUMMYFUNCTION("""COMPUTED_VALUE"""),"Physical Review D")</f>
        <v>Physical Review D</v>
      </c>
      <c r="AN24" t="str">
        <f>IFERROR(__xludf.DUMMYFUNCTION("""COMPUTED_VALUE"""),"Physics &amp; Mathematics")</f>
        <v>Physics &amp; Mathematics</v>
      </c>
      <c r="AO24" t="str">
        <f>IFERROR(__xludf.DUMMYFUNCTION("""COMPUTED_VALUE"""),"Yes")</f>
        <v>Yes</v>
      </c>
      <c r="AP24" s="535"/>
      <c r="AQ24" t="str">
        <f>IFERROR(__xludf.DUMMYFUNCTION("""COMPUTED_VALUE"""),"Land Use Policy")</f>
        <v>Land Use Policy</v>
      </c>
      <c r="AR24" t="str">
        <f>IFERROR(__xludf.DUMMYFUNCTION("""COMPUTED_VALUE"""),"Social Sciences")</f>
        <v>Social Sciences</v>
      </c>
      <c r="AS24" t="str">
        <f>IFERROR(__xludf.DUMMYFUNCTION("""COMPUTED_VALUE"""),"Unsure")</f>
        <v>Unsure</v>
      </c>
    </row>
    <row r="25">
      <c r="A25" s="552"/>
      <c r="B25" s="552"/>
      <c r="C25" t="str">
        <f>Filtered!I15</f>
        <v>American Sociological Review</v>
      </c>
      <c r="D25" t="str">
        <f>Filtered!J15</f>
        <v>Social Sciences</v>
      </c>
      <c r="E25" t="str">
        <f>Filtered!AD15</f>
        <v>Yes</v>
      </c>
      <c r="F25" t="b">
        <f t="shared" si="10"/>
        <v>0</v>
      </c>
      <c r="G25" t="b">
        <f t="shared" si="11"/>
        <v>0</v>
      </c>
      <c r="H25" t="b">
        <f t="shared" si="12"/>
        <v>0</v>
      </c>
      <c r="I25" t="b">
        <f t="shared" si="13"/>
        <v>0</v>
      </c>
      <c r="J25" t="b">
        <f t="shared" si="14"/>
        <v>0</v>
      </c>
      <c r="K25" t="b">
        <f t="shared" si="15"/>
        <v>0</v>
      </c>
      <c r="L25" t="b">
        <f t="shared" si="16"/>
        <v>0</v>
      </c>
      <c r="M25" t="b">
        <f t="shared" si="17"/>
        <v>1</v>
      </c>
      <c r="N25" s="535"/>
      <c r="O25" s="558" t="str">
        <f>IFERROR(__xludf.DUMMYFUNCTION("""COMPUTED_VALUE"""),"Strategic Management Journal")</f>
        <v>Strategic Management Journal</v>
      </c>
      <c r="P25" t="str">
        <f>IFERROR(__xludf.DUMMYFUNCTION("""COMPUTED_VALUE"""),"Business, Economics &amp; Management")</f>
        <v>Business, Economics &amp; Management</v>
      </c>
      <c r="Q25" t="str">
        <f>IFERROR(__xludf.DUMMYFUNCTION("""COMPUTED_VALUE"""),"Unsure")</f>
        <v>Unsure</v>
      </c>
      <c r="R25" s="535"/>
      <c r="S25" s="558" t="str">
        <f>IFERROR(__xludf.DUMMYFUNCTION("""COMPUTED_VALUE"""),"Journal of the American Chemical Society")</f>
        <v>Journal of the American Chemical Society</v>
      </c>
      <c r="T25" t="str">
        <f>IFERROR(__xludf.DUMMYFUNCTION("""COMPUTED_VALUE"""),"Chemical &amp; Materials Sciences")</f>
        <v>Chemical &amp; Materials Sciences</v>
      </c>
      <c r="U25" t="str">
        <f>IFERROR(__xludf.DUMMYFUNCTION("""COMPUTED_VALUE"""),"Unsure")</f>
        <v>Unsure</v>
      </c>
      <c r="V25" s="535"/>
      <c r="W25" s="558" t="str">
        <f>IFERROR(__xludf.DUMMYFUNCTION("""COMPUTED_VALUE"""),"Nano Letters")</f>
        <v>Nano Letters</v>
      </c>
      <c r="X25" t="str">
        <f>IFERROR(__xludf.DUMMYFUNCTION("""COMPUTED_VALUE"""),"Chemical &amp; Materials Sciences,
Engineering &amp; Computer Science")</f>
        <v>Chemical &amp; Materials Sciences,
Engineering &amp; Computer Science</v>
      </c>
      <c r="Y25" t="str">
        <f>IFERROR(__xludf.DUMMYFUNCTION("""COMPUTED_VALUE"""),"Yes")</f>
        <v>Yes</v>
      </c>
      <c r="Z25" s="535"/>
      <c r="AA25" s="558" t="str">
        <f>IFERROR(__xludf.DUMMYFUNCTION("""COMPUTED_VALUE"""),"Neuron")</f>
        <v>Neuron</v>
      </c>
      <c r="AB25" t="str">
        <f>IFERROR(__xludf.DUMMYFUNCTION("""COMPUTED_VALUE"""),"Health &amp; Medical Sciences,
Life Sciences &amp; Earth Sciences")</f>
        <v>Health &amp; Medical Sciences,
Life Sciences &amp; Earth Sciences</v>
      </c>
      <c r="AC25" t="str">
        <f>IFERROR(__xludf.DUMMYFUNCTION("""COMPUTED_VALUE"""),"Yes")</f>
        <v>Yes</v>
      </c>
      <c r="AD25" s="535"/>
      <c r="AE25" s="558" t="str">
        <f>IFERROR(__xludf.DUMMYFUNCTION("""COMPUTED_VALUE"""),"Philosophical Studies")</f>
        <v>Philosophical Studies</v>
      </c>
      <c r="AF25" t="str">
        <f>IFERROR(__xludf.DUMMYFUNCTION("""COMPUTED_VALUE"""),"Humanities, Literature &amp; Arts")</f>
        <v>Humanities, Literature &amp; Arts</v>
      </c>
      <c r="AG25" t="str">
        <f>IFERROR(__xludf.DUMMYFUNCTION("""COMPUTED_VALUE"""),"Unsure")</f>
        <v>Unsure</v>
      </c>
      <c r="AH25" s="535"/>
      <c r="AI25" s="558" t="str">
        <f>IFERROR(__xludf.DUMMYFUNCTION("""COMPUTED_VALUE"""),"Nature Reviews. Molecular Cell Biology")</f>
        <v>Nature Reviews. Molecular Cell Biology</v>
      </c>
      <c r="AJ25" t="str">
        <f>IFERROR(__xludf.DUMMYFUNCTION("""COMPUTED_VALUE"""),"Life Sciences &amp; Earth Sciences")</f>
        <v>Life Sciences &amp; Earth Sciences</v>
      </c>
      <c r="AK25" t="str">
        <f>IFERROR(__xludf.DUMMYFUNCTION("""COMPUTED_VALUE"""),"Yes")</f>
        <v>Yes</v>
      </c>
      <c r="AL25" s="535"/>
      <c r="AM25" t="str">
        <f>IFERROR(__xludf.DUMMYFUNCTION("""COMPUTED_VALUE"""),"Physical Review Letters")</f>
        <v>Physical Review Letters</v>
      </c>
      <c r="AN25" t="str">
        <f>IFERROR(__xludf.DUMMYFUNCTION("""COMPUTED_VALUE"""),"Physics &amp; Mathematics")</f>
        <v>Physics &amp; Mathematics</v>
      </c>
      <c r="AO25" t="str">
        <f>IFERROR(__xludf.DUMMYFUNCTION("""COMPUTED_VALUE"""),"Yes")</f>
        <v>Yes</v>
      </c>
      <c r="AP25" s="535"/>
      <c r="AQ25" t="str">
        <f>IFERROR(__xludf.DUMMYFUNCTION("""COMPUTED_VALUE"""),"New Media and Society")</f>
        <v>New Media and Society</v>
      </c>
      <c r="AR25" t="str">
        <f>IFERROR(__xludf.DUMMYFUNCTION("""COMPUTED_VALUE"""),"Social Sciences")</f>
        <v>Social Sciences</v>
      </c>
      <c r="AS25" t="str">
        <f>IFERROR(__xludf.DUMMYFUNCTION("""COMPUTED_VALUE"""),"Unsure")</f>
        <v>Unsure</v>
      </c>
    </row>
    <row r="26">
      <c r="A26" s="552"/>
      <c r="B26" s="552"/>
      <c r="C26" t="str">
        <f>Filtered!I16</f>
        <v>Angewandte Chemie International Edition</v>
      </c>
      <c r="D26" t="str">
        <f>Filtered!J16</f>
        <v>Chemical &amp; Materials Sciences</v>
      </c>
      <c r="E26" t="str">
        <f>Filtered!AD16</f>
        <v>Unsure</v>
      </c>
      <c r="F26" t="b">
        <f t="shared" si="10"/>
        <v>0</v>
      </c>
      <c r="G26" t="b">
        <f t="shared" si="11"/>
        <v>1</v>
      </c>
      <c r="H26" t="b">
        <f t="shared" si="12"/>
        <v>0</v>
      </c>
      <c r="I26" t="b">
        <f t="shared" si="13"/>
        <v>0</v>
      </c>
      <c r="J26" t="b">
        <f t="shared" si="14"/>
        <v>0</v>
      </c>
      <c r="K26" t="b">
        <f t="shared" si="15"/>
        <v>0</v>
      </c>
      <c r="L26" t="b">
        <f t="shared" si="16"/>
        <v>0</v>
      </c>
      <c r="M26" t="b">
        <f t="shared" si="17"/>
        <v>0</v>
      </c>
      <c r="N26" s="535"/>
      <c r="O26" s="558" t="str">
        <f>IFERROR(__xludf.DUMMYFUNCTION("""COMPUTED_VALUE"""),"The Journal of Finance")</f>
        <v>The Journal of Finance</v>
      </c>
      <c r="P26" t="str">
        <f>IFERROR(__xludf.DUMMYFUNCTION("""COMPUTED_VALUE"""),"Business, Economics &amp; Management")</f>
        <v>Business, Economics &amp; Management</v>
      </c>
      <c r="Q26" t="str">
        <f>IFERROR(__xludf.DUMMYFUNCTION("""COMPUTED_VALUE"""),"Unsure")</f>
        <v>Unsure</v>
      </c>
      <c r="R26" s="535"/>
      <c r="S26" s="558" t="str">
        <f>IFERROR(__xludf.DUMMYFUNCTION("""COMPUTED_VALUE"""),"Nano Letters")</f>
        <v>Nano Letters</v>
      </c>
      <c r="T26" t="str">
        <f>IFERROR(__xludf.DUMMYFUNCTION("""COMPUTED_VALUE"""),"Chemical &amp; Materials Sciences,
Engineering &amp; Computer Science")</f>
        <v>Chemical &amp; Materials Sciences,
Engineering &amp; Computer Science</v>
      </c>
      <c r="U26" t="str">
        <f>IFERROR(__xludf.DUMMYFUNCTION("""COMPUTED_VALUE"""),"Yes")</f>
        <v>Yes</v>
      </c>
      <c r="V26" s="535"/>
      <c r="W26" s="558" t="str">
        <f>IFERROR(__xludf.DUMMYFUNCTION("""COMPUTED_VALUE"""),"Nanoscale")</f>
        <v>Nanoscale</v>
      </c>
      <c r="X26" t="str">
        <f>IFERROR(__xludf.DUMMYFUNCTION("""COMPUTED_VALUE"""),"Chemical &amp; Materials Sciences,
Engineering &amp; Computer Science")</f>
        <v>Chemical &amp; Materials Sciences,
Engineering &amp; Computer Science</v>
      </c>
      <c r="Y26" t="str">
        <f>IFERROR(__xludf.DUMMYFUNCTION("""COMPUTED_VALUE"""),"Yes")</f>
        <v>Yes</v>
      </c>
      <c r="Z26" s="535"/>
      <c r="AA26" s="558" t="str">
        <f>IFERROR(__xludf.DUMMYFUNCTION("""COMPUTED_VALUE"""),"PLoS One")</f>
        <v>PLoS One</v>
      </c>
      <c r="AB26" t="str">
        <f>IFERROR(__xludf.DUMMYFUNCTION("""COMPUTED_VALUE"""),"Health &amp; Medical Sciences,
Life Sciences &amp; Earth Sciences")</f>
        <v>Health &amp; Medical Sciences,
Life Sciences &amp; Earth Sciences</v>
      </c>
      <c r="AC26" t="str">
        <f>IFERROR(__xludf.DUMMYFUNCTION("""COMPUTED_VALUE"""),"Yes")</f>
        <v>Yes</v>
      </c>
      <c r="AD26" s="535"/>
      <c r="AE26" s="558" t="str">
        <f>IFERROR(__xludf.DUMMYFUNCTION("""COMPUTED_VALUE"""),"Public Opinion Quarterly")</f>
        <v>Public Opinion Quarterly</v>
      </c>
      <c r="AF26" t="str">
        <f>IFERROR(__xludf.DUMMYFUNCTION("""COMPUTED_VALUE"""),"Humanities, Literature &amp; Arts")</f>
        <v>Humanities, Literature &amp; Arts</v>
      </c>
      <c r="AG26" t="str">
        <f>IFERROR(__xludf.DUMMYFUNCTION("""COMPUTED_VALUE"""),"Unsure")</f>
        <v>Unsure</v>
      </c>
      <c r="AH26" s="535"/>
      <c r="AI26" s="558" t="str">
        <f>IFERROR(__xludf.DUMMYFUNCTION("""COMPUTED_VALUE"""),"Neuron")</f>
        <v>Neuron</v>
      </c>
      <c r="AJ26" t="str">
        <f>IFERROR(__xludf.DUMMYFUNCTION("""COMPUTED_VALUE"""),"Health &amp; Medical Sciences,
Life Sciences &amp; Earth Sciences")</f>
        <v>Health &amp; Medical Sciences,
Life Sciences &amp; Earth Sciences</v>
      </c>
      <c r="AK26" t="str">
        <f>IFERROR(__xludf.DUMMYFUNCTION("""COMPUTED_VALUE"""),"Yes")</f>
        <v>Yes</v>
      </c>
      <c r="AL26" s="535"/>
      <c r="AM26" t="str">
        <f>IFERROR(__xludf.DUMMYFUNCTION("""COMPUTED_VALUE"""),"Physical Review X")</f>
        <v>Physical Review X</v>
      </c>
      <c r="AN26" t="str">
        <f>IFERROR(__xludf.DUMMYFUNCTION("""COMPUTED_VALUE"""),"Physics &amp; Mathematics")</f>
        <v>Physics &amp; Mathematics</v>
      </c>
      <c r="AO26" t="str">
        <f>IFERROR(__xludf.DUMMYFUNCTION("""COMPUTED_VALUE"""),"Yes")</f>
        <v>Yes</v>
      </c>
      <c r="AP26" s="535"/>
      <c r="AQ26" t="str">
        <f>IFERROR(__xludf.DUMMYFUNCTION("""COMPUTED_VALUE"""),"Noûs")</f>
        <v>Noûs</v>
      </c>
      <c r="AR26" t="str">
        <f>IFERROR(__xludf.DUMMYFUNCTION("""COMPUTED_VALUE"""),"Social Sciences, Humanities, Literature &amp; Arts")</f>
        <v>Social Sciences, Humanities, Literature &amp; Arts</v>
      </c>
      <c r="AS26" t="str">
        <f>IFERROR(__xludf.DUMMYFUNCTION("""COMPUTED_VALUE"""),"Yes")</f>
        <v>Yes</v>
      </c>
    </row>
    <row r="27">
      <c r="A27" s="552"/>
      <c r="B27" s="552"/>
      <c r="C27" t="str">
        <f>Filtered!I17</f>
        <v>Annals of Internal Medicine</v>
      </c>
      <c r="D27" t="str">
        <f>Filtered!J17</f>
        <v/>
      </c>
      <c r="E27" t="str">
        <f>Filtered!AD17</f>
        <v>No</v>
      </c>
      <c r="F27" t="b">
        <f t="shared" si="10"/>
        <v>0</v>
      </c>
      <c r="G27" t="b">
        <f t="shared" si="11"/>
        <v>0</v>
      </c>
      <c r="H27" t="b">
        <f t="shared" si="12"/>
        <v>0</v>
      </c>
      <c r="I27" t="b">
        <f t="shared" si="13"/>
        <v>0</v>
      </c>
      <c r="J27" t="b">
        <f t="shared" si="14"/>
        <v>0</v>
      </c>
      <c r="K27" t="b">
        <f t="shared" si="15"/>
        <v>0</v>
      </c>
      <c r="L27" t="b">
        <f t="shared" si="16"/>
        <v>0</v>
      </c>
      <c r="M27" t="b">
        <f t="shared" si="17"/>
        <v>0</v>
      </c>
      <c r="N27" s="535"/>
      <c r="O27" s="558" t="str">
        <f>IFERROR(__xludf.DUMMYFUNCTION("""COMPUTED_VALUE"""),"The Quarterly Journal of Economics")</f>
        <v>The Quarterly Journal of Economics</v>
      </c>
      <c r="P27" t="str">
        <f>IFERROR(__xludf.DUMMYFUNCTION("""COMPUTED_VALUE"""),"Business, Economics &amp; Management")</f>
        <v>Business, Economics &amp; Management</v>
      </c>
      <c r="Q27" t="str">
        <f>IFERROR(__xludf.DUMMYFUNCTION("""COMPUTED_VALUE"""),"Unsure")</f>
        <v>Unsure</v>
      </c>
      <c r="R27" s="535"/>
      <c r="S27" s="558" t="str">
        <f>IFERROR(__xludf.DUMMYFUNCTION("""COMPUTED_VALUE"""),"Nanoscale")</f>
        <v>Nanoscale</v>
      </c>
      <c r="T27" t="str">
        <f>IFERROR(__xludf.DUMMYFUNCTION("""COMPUTED_VALUE"""),"Chemical &amp; Materials Sciences,
Engineering &amp; Computer Science")</f>
        <v>Chemical &amp; Materials Sciences,
Engineering &amp; Computer Science</v>
      </c>
      <c r="U27" t="str">
        <f>IFERROR(__xludf.DUMMYFUNCTION("""COMPUTED_VALUE"""),"Yes")</f>
        <v>Yes</v>
      </c>
      <c r="V27" s="535"/>
      <c r="W27" s="558" t="str">
        <f>IFERROR(__xludf.DUMMYFUNCTION("""COMPUTED_VALUE"""),"Nature Materials")</f>
        <v>Nature Materials</v>
      </c>
      <c r="X27" t="str">
        <f>IFERROR(__xludf.DUMMYFUNCTION("""COMPUTED_VALUE"""),"Chemical &amp; Materials Sciences,
Engineering &amp; Computer Science")</f>
        <v>Chemical &amp; Materials Sciences,
Engineering &amp; Computer Science</v>
      </c>
      <c r="Y27" t="str">
        <f>IFERROR(__xludf.DUMMYFUNCTION("""COMPUTED_VALUE"""),"Unsure")</f>
        <v>Unsure</v>
      </c>
      <c r="Z27" s="535"/>
      <c r="AA27" s="558" t="str">
        <f>IFERROR(__xludf.DUMMYFUNCTION("""COMPUTED_VALUE"""),"Proceedings of the National Academy of Sciences")</f>
        <v>Proceedings of the National Academy of Sciences</v>
      </c>
      <c r="AB27" t="str">
        <f>IFERROR(__xludf.DUMMYFUNCTION("""COMPUTED_VALUE"""),"Health &amp; Medical Sciences,
Life Sciences &amp; Earth Sciences")</f>
        <v>Health &amp; Medical Sciences,
Life Sciences &amp; Earth Sciences</v>
      </c>
      <c r="AC27" t="str">
        <f>IFERROR(__xludf.DUMMYFUNCTION("""COMPUTED_VALUE"""),"Yes")</f>
        <v>Yes</v>
      </c>
      <c r="AD27" s="535"/>
      <c r="AE27" s="558" t="str">
        <f>IFERROR(__xludf.DUMMYFUNCTION("""COMPUTED_VALUE"""),"Synthese")</f>
        <v>Synthese</v>
      </c>
      <c r="AF27" t="str">
        <f>IFERROR(__xludf.DUMMYFUNCTION("""COMPUTED_VALUE"""),"Humanities, Literature &amp; Arts")</f>
        <v>Humanities, Literature &amp; Arts</v>
      </c>
      <c r="AG27" t="str">
        <f>IFERROR(__xludf.DUMMYFUNCTION("""COMPUTED_VALUE"""),"Unsure")</f>
        <v>Unsure</v>
      </c>
      <c r="AH27" s="535"/>
      <c r="AI27" s="558" t="str">
        <f>IFERROR(__xludf.DUMMYFUNCTION("""COMPUTED_VALUE"""),"Nucleic Acids Research")</f>
        <v>Nucleic Acids Research</v>
      </c>
      <c r="AJ27" t="str">
        <f>IFERROR(__xludf.DUMMYFUNCTION("""COMPUTED_VALUE"""),"Life Sciences &amp; Earth Sciences")</f>
        <v>Life Sciences &amp; Earth Sciences</v>
      </c>
      <c r="AK27" t="str">
        <f>IFERROR(__xludf.DUMMYFUNCTION("""COMPUTED_VALUE"""),"Unsure")</f>
        <v>Unsure</v>
      </c>
      <c r="AL27" s="535"/>
      <c r="AM27" t="str">
        <f>IFERROR(__xludf.DUMMYFUNCTION("""COMPUTED_VALUE"""),"Physics Letters B")</f>
        <v>Physics Letters B</v>
      </c>
      <c r="AN27" t="str">
        <f>IFERROR(__xludf.DUMMYFUNCTION("""COMPUTED_VALUE"""),"Physics &amp; Mathematics")</f>
        <v>Physics &amp; Mathematics</v>
      </c>
      <c r="AO27" t="str">
        <f>IFERROR(__xludf.DUMMYFUNCTION("""COMPUTED_VALUE"""),"Unsure")</f>
        <v>Unsure</v>
      </c>
      <c r="AP27" s="535"/>
      <c r="AQ27" t="str">
        <f>IFERROR(__xludf.DUMMYFUNCTION("""COMPUTED_VALUE"""),"Progress in Human Geography")</f>
        <v>Progress in Human Geography</v>
      </c>
      <c r="AR27" t="str">
        <f>IFERROR(__xludf.DUMMYFUNCTION("""COMPUTED_VALUE"""),"Social Sciences")</f>
        <v>Social Sciences</v>
      </c>
      <c r="AS27" t="str">
        <f>IFERROR(__xludf.DUMMYFUNCTION("""COMPUTED_VALUE"""),"Yes")</f>
        <v>Yes</v>
      </c>
    </row>
    <row r="28">
      <c r="A28" s="552"/>
      <c r="B28" s="552"/>
      <c r="C28" t="str">
        <f>Filtered!I18</f>
        <v>Annals of Oncology</v>
      </c>
      <c r="D28" t="str">
        <f>Filtered!J18</f>
        <v/>
      </c>
      <c r="E28" t="str">
        <f>Filtered!AD18</f>
        <v>Unsure</v>
      </c>
      <c r="F28" t="b">
        <f t="shared" si="10"/>
        <v>0</v>
      </c>
      <c r="G28" t="b">
        <f t="shared" si="11"/>
        <v>0</v>
      </c>
      <c r="H28" t="b">
        <f t="shared" si="12"/>
        <v>0</v>
      </c>
      <c r="I28" t="b">
        <f t="shared" si="13"/>
        <v>0</v>
      </c>
      <c r="J28" t="b">
        <f t="shared" si="14"/>
        <v>0</v>
      </c>
      <c r="K28" t="b">
        <f t="shared" si="15"/>
        <v>0</v>
      </c>
      <c r="L28" t="b">
        <f t="shared" si="16"/>
        <v>0</v>
      </c>
      <c r="M28" t="b">
        <f t="shared" si="17"/>
        <v>0</v>
      </c>
      <c r="N28" s="535"/>
      <c r="O28" s="558" t="str">
        <f>IFERROR(__xludf.DUMMYFUNCTION("""COMPUTED_VALUE"""),"The Review of Economic Studies")</f>
        <v>The Review of Economic Studies</v>
      </c>
      <c r="P28" t="str">
        <f>IFERROR(__xludf.DUMMYFUNCTION("""COMPUTED_VALUE"""),"Business, Economics &amp; Management")</f>
        <v>Business, Economics &amp; Management</v>
      </c>
      <c r="Q28" t="str">
        <f>IFERROR(__xludf.DUMMYFUNCTION("""COMPUTED_VALUE"""),"Unsure")</f>
        <v>Unsure</v>
      </c>
      <c r="R28" s="535"/>
      <c r="S28" s="558" t="str">
        <f>IFERROR(__xludf.DUMMYFUNCTION("""COMPUTED_VALUE"""),"Nature Chemistry")</f>
        <v>Nature Chemistry</v>
      </c>
      <c r="T28" t="str">
        <f>IFERROR(__xludf.DUMMYFUNCTION("""COMPUTED_VALUE"""),"Chemical &amp; Materials Sciences")</f>
        <v>Chemical &amp; Materials Sciences</v>
      </c>
      <c r="U28" t="str">
        <f>IFERROR(__xludf.DUMMYFUNCTION("""COMPUTED_VALUE"""),"Unsure")</f>
        <v>Unsure</v>
      </c>
      <c r="V28" s="535"/>
      <c r="W28" s="558" t="str">
        <f>IFERROR(__xludf.DUMMYFUNCTION("""COMPUTED_VALUE"""),"Nature Nanotechnology")</f>
        <v>Nature Nanotechnology</v>
      </c>
      <c r="X28" t="str">
        <f>IFERROR(__xludf.DUMMYFUNCTION("""COMPUTED_VALUE"""),"Chemical &amp; Materials Sciences,
Engineering &amp; Computer Science")</f>
        <v>Chemical &amp; Materials Sciences,
Engineering &amp; Computer Science</v>
      </c>
      <c r="Y28" t="str">
        <f>IFERROR(__xludf.DUMMYFUNCTION("""COMPUTED_VALUE"""),"Unsure")</f>
        <v>Unsure</v>
      </c>
      <c r="Z28" s="535"/>
      <c r="AA28" s="558" t="str">
        <f>IFERROR(__xludf.DUMMYFUNCTION("""COMPUTED_VALUE"""),"The Cochrane Database of Systematic Reviews")</f>
        <v>The Cochrane Database of Systematic Reviews</v>
      </c>
      <c r="AB28" t="str">
        <f>IFERROR(__xludf.DUMMYFUNCTION("""COMPUTED_VALUE"""),"Health &amp; Medical Sciences")</f>
        <v>Health &amp; Medical Sciences</v>
      </c>
      <c r="AC28" t="str">
        <f>IFERROR(__xludf.DUMMYFUNCTION("""COMPUTED_VALUE"""),"Unsure")</f>
        <v>Unsure</v>
      </c>
      <c r="AD28" s="535"/>
      <c r="AE28" s="558" t="str">
        <f>IFERROR(__xludf.DUMMYFUNCTION("""COMPUTED_VALUE"""),"System")</f>
        <v>System</v>
      </c>
      <c r="AF28" t="str">
        <f>IFERROR(__xludf.DUMMYFUNCTION("""COMPUTED_VALUE"""),"Humanities, Literature &amp; Arts")</f>
        <v>Humanities, Literature &amp; Arts</v>
      </c>
      <c r="AG28" t="str">
        <f>IFERROR(__xludf.DUMMYFUNCTION("""COMPUTED_VALUE"""),"Unsure")</f>
        <v>Unsure</v>
      </c>
      <c r="AH28" s="535"/>
      <c r="AI28" s="558" t="str">
        <f>IFERROR(__xludf.DUMMYFUNCTION("""COMPUTED_VALUE"""),"PLoS One")</f>
        <v>PLoS One</v>
      </c>
      <c r="AJ28" t="str">
        <f>IFERROR(__xludf.DUMMYFUNCTION("""COMPUTED_VALUE"""),"Health &amp; Medical Sciences,
Life Sciences &amp; Earth Sciences")</f>
        <v>Health &amp; Medical Sciences,
Life Sciences &amp; Earth Sciences</v>
      </c>
      <c r="AK28" t="str">
        <f>IFERROR(__xludf.DUMMYFUNCTION("""COMPUTED_VALUE"""),"Yes")</f>
        <v>Yes</v>
      </c>
      <c r="AL28" s="535"/>
      <c r="AM28" t="str">
        <f>IFERROR(__xludf.DUMMYFUNCTION("""COMPUTED_VALUE"""),"Reviews of Modern Physics")</f>
        <v>Reviews of Modern Physics</v>
      </c>
      <c r="AN28" t="str">
        <f>IFERROR(__xludf.DUMMYFUNCTION("""COMPUTED_VALUE"""),"Physics &amp; Mathematics")</f>
        <v>Physics &amp; Mathematics</v>
      </c>
      <c r="AO28" t="str">
        <f>IFERROR(__xludf.DUMMYFUNCTION("""COMPUTED_VALUE"""),"Yes")</f>
        <v>Yes</v>
      </c>
      <c r="AP28" s="535"/>
      <c r="AQ28" t="str">
        <f>IFERROR(__xludf.DUMMYFUNCTION("""COMPUTED_VALUE"""),"Regional Studies")</f>
        <v>Regional Studies</v>
      </c>
      <c r="AR28" t="str">
        <f>IFERROR(__xludf.DUMMYFUNCTION("""COMPUTED_VALUE"""),"Social Sciences")</f>
        <v>Social Sciences</v>
      </c>
      <c r="AS28" t="str">
        <f>IFERROR(__xludf.DUMMYFUNCTION("""COMPUTED_VALUE"""),"Unsure")</f>
        <v>Unsure</v>
      </c>
    </row>
    <row r="29">
      <c r="A29" s="552"/>
      <c r="B29" s="552"/>
      <c r="C29" t="str">
        <f>Filtered!I19</f>
        <v>Annals of the Rheumatic Diseases</v>
      </c>
      <c r="D29" t="str">
        <f>Filtered!J19</f>
        <v/>
      </c>
      <c r="E29" t="str">
        <f>Filtered!AD19</f>
        <v>Yes</v>
      </c>
      <c r="F29" t="b">
        <f t="shared" si="10"/>
        <v>0</v>
      </c>
      <c r="G29" t="b">
        <f t="shared" si="11"/>
        <v>0</v>
      </c>
      <c r="H29" t="b">
        <f t="shared" si="12"/>
        <v>0</v>
      </c>
      <c r="I29" t="b">
        <f t="shared" si="13"/>
        <v>0</v>
      </c>
      <c r="J29" t="b">
        <f t="shared" si="14"/>
        <v>0</v>
      </c>
      <c r="K29" t="b">
        <f t="shared" si="15"/>
        <v>0</v>
      </c>
      <c r="L29" t="b">
        <f t="shared" si="16"/>
        <v>0</v>
      </c>
      <c r="M29" t="b">
        <f t="shared" si="17"/>
        <v>0</v>
      </c>
      <c r="N29" s="535"/>
      <c r="O29" s="558" t="str">
        <f>IFERROR(__xludf.DUMMYFUNCTION("""COMPUTED_VALUE"""),"The Review of Financial Studies")</f>
        <v>The Review of Financial Studies</v>
      </c>
      <c r="P29" t="str">
        <f>IFERROR(__xludf.DUMMYFUNCTION("""COMPUTED_VALUE"""),"Business, Economics &amp; Management")</f>
        <v>Business, Economics &amp; Management</v>
      </c>
      <c r="Q29" t="str">
        <f>IFERROR(__xludf.DUMMYFUNCTION("""COMPUTED_VALUE"""),"Unsure")</f>
        <v>Unsure</v>
      </c>
      <c r="R29" s="535"/>
      <c r="S29" s="558" t="str">
        <f>IFERROR(__xludf.DUMMYFUNCTION("""COMPUTED_VALUE"""),"Nature Materials")</f>
        <v>Nature Materials</v>
      </c>
      <c r="T29" t="str">
        <f>IFERROR(__xludf.DUMMYFUNCTION("""COMPUTED_VALUE"""),"Chemical &amp; Materials Sciences,
Engineering &amp; Computer Science")</f>
        <v>Chemical &amp; Materials Sciences,
Engineering &amp; Computer Science</v>
      </c>
      <c r="U29" t="str">
        <f>IFERROR(__xludf.DUMMYFUNCTION("""COMPUTED_VALUE"""),"Unsure")</f>
        <v>Unsure</v>
      </c>
      <c r="V29" s="535"/>
      <c r="W29" s="558" t="str">
        <f>IFERROR(__xludf.DUMMYFUNCTION("""COMPUTED_VALUE"""),"Nature Photonics")</f>
        <v>Nature Photonics</v>
      </c>
      <c r="X29" t="str">
        <f>IFERROR(__xludf.DUMMYFUNCTION("""COMPUTED_VALUE"""),"Engineering &amp; Computer Science,
Physics &amp; Mathematics")</f>
        <v>Engineering &amp; Computer Science,
Physics &amp; Mathematics</v>
      </c>
      <c r="Y29" t="str">
        <f>IFERROR(__xludf.DUMMYFUNCTION("""COMPUTED_VALUE"""),"Unsure")</f>
        <v>Unsure</v>
      </c>
      <c r="Z29" s="535"/>
      <c r="AA29" s="558" t="str">
        <f>IFERROR(__xludf.DUMMYFUNCTION("""COMPUTED_VALUE"""),"The Lancet")</f>
        <v>The Lancet</v>
      </c>
      <c r="AB29" t="str">
        <f>IFERROR(__xludf.DUMMYFUNCTION("""COMPUTED_VALUE"""),"Health &amp; Medical Sciences")</f>
        <v>Health &amp; Medical Sciences</v>
      </c>
      <c r="AC29" t="str">
        <f>IFERROR(__xludf.DUMMYFUNCTION("""COMPUTED_VALUE"""),"Unsure")</f>
        <v>Unsure</v>
      </c>
      <c r="AD29" s="535"/>
      <c r="AE29" s="558" t="str">
        <f>IFERROR(__xludf.DUMMYFUNCTION("""COMPUTED_VALUE"""),"TESOL Quarterly")</f>
        <v>TESOL Quarterly</v>
      </c>
      <c r="AF29" t="str">
        <f>IFERROR(__xludf.DUMMYFUNCTION("""COMPUTED_VALUE"""),"Humanities, Literature &amp; Arts")</f>
        <v>Humanities, Literature &amp; Arts</v>
      </c>
      <c r="AG29" t="str">
        <f>IFERROR(__xludf.DUMMYFUNCTION("""COMPUTED_VALUE"""),"Unsure")</f>
        <v>Unsure</v>
      </c>
      <c r="AH29" s="535"/>
      <c r="AI29" s="558" t="str">
        <f>IFERROR(__xludf.DUMMYFUNCTION("""COMPUTED_VALUE"""),"Proceedings of the National Academy of Sciences")</f>
        <v>Proceedings of the National Academy of Sciences</v>
      </c>
      <c r="AJ29" t="str">
        <f>IFERROR(__xludf.DUMMYFUNCTION("""COMPUTED_VALUE"""),"Health &amp; Medical Sciences,
Life Sciences &amp; Earth Sciences")</f>
        <v>Health &amp; Medical Sciences,
Life Sciences &amp; Earth Sciences</v>
      </c>
      <c r="AK29" t="str">
        <f>IFERROR(__xludf.DUMMYFUNCTION("""COMPUTED_VALUE"""),"Yes")</f>
        <v>Yes</v>
      </c>
      <c r="AL29" s="535"/>
      <c r="AM29" t="str">
        <f>IFERROR(__xludf.DUMMYFUNCTION("""COMPUTED_VALUE"""),"The Astrophysical Journal")</f>
        <v>The Astrophysical Journal</v>
      </c>
      <c r="AN29" t="str">
        <f>IFERROR(__xludf.DUMMYFUNCTION("""COMPUTED_VALUE"""),"Physics &amp; Mathematics")</f>
        <v>Physics &amp; Mathematics</v>
      </c>
      <c r="AO29" t="str">
        <f>IFERROR(__xludf.DUMMYFUNCTION("""COMPUTED_VALUE"""),"Unsure")</f>
        <v>Unsure</v>
      </c>
      <c r="AP29" s="535"/>
      <c r="AQ29" t="str">
        <f>IFERROR(__xludf.DUMMYFUNCTION("""COMPUTED_VALUE"""),"Research Policy")</f>
        <v>Research Policy</v>
      </c>
      <c r="AR29" t="str">
        <f>IFERROR(__xludf.DUMMYFUNCTION("""COMPUTED_VALUE"""),"Social Sciences")</f>
        <v>Social Sciences</v>
      </c>
      <c r="AS29" t="str">
        <f>IFERROR(__xludf.DUMMYFUNCTION("""COMPUTED_VALUE"""),"Unsure")</f>
        <v>Unsure</v>
      </c>
    </row>
    <row r="30">
      <c r="A30" s="552"/>
      <c r="B30" s="552"/>
      <c r="C30" t="str">
        <f>Filtered!I20</f>
        <v>Annals of Tourism Research</v>
      </c>
      <c r="D30" t="str">
        <f>Filtered!J20</f>
        <v>Social Sciences</v>
      </c>
      <c r="E30" t="str">
        <f>Filtered!AD20</f>
        <v>Unsure</v>
      </c>
      <c r="F30" t="b">
        <f t="shared" si="10"/>
        <v>0</v>
      </c>
      <c r="G30" t="b">
        <f t="shared" si="11"/>
        <v>0</v>
      </c>
      <c r="H30" t="b">
        <f t="shared" si="12"/>
        <v>0</v>
      </c>
      <c r="I30" t="b">
        <f t="shared" si="13"/>
        <v>0</v>
      </c>
      <c r="J30" t="b">
        <f t="shared" si="14"/>
        <v>0</v>
      </c>
      <c r="K30" t="b">
        <f t="shared" si="15"/>
        <v>0</v>
      </c>
      <c r="L30" t="b">
        <f t="shared" si="16"/>
        <v>0</v>
      </c>
      <c r="M30" t="b">
        <f t="shared" si="17"/>
        <v>1</v>
      </c>
      <c r="N30" s="535"/>
      <c r="O30" s="558" t="str">
        <f>IFERROR(__xludf.DUMMYFUNCTION("""COMPUTED_VALUE"""),"Tourism Management")</f>
        <v>Tourism Management</v>
      </c>
      <c r="P30" t="str">
        <f>IFERROR(__xludf.DUMMYFUNCTION("""COMPUTED_VALUE"""),"Business, Economics &amp; Management")</f>
        <v>Business, Economics &amp; Management</v>
      </c>
      <c r="Q30" t="str">
        <f>IFERROR(__xludf.DUMMYFUNCTION("""COMPUTED_VALUE"""),"Unsure")</f>
        <v>Unsure</v>
      </c>
      <c r="R30" s="535"/>
      <c r="S30" s="558" t="str">
        <f>IFERROR(__xludf.DUMMYFUNCTION("""COMPUTED_VALUE"""),"Nature Nanotechnology")</f>
        <v>Nature Nanotechnology</v>
      </c>
      <c r="T30" t="str">
        <f>IFERROR(__xludf.DUMMYFUNCTION("""COMPUTED_VALUE"""),"Chemical &amp; Materials Sciences,
Engineering &amp; Computer Science")</f>
        <v>Chemical &amp; Materials Sciences,
Engineering &amp; Computer Science</v>
      </c>
      <c r="U30" t="str">
        <f>IFERROR(__xludf.DUMMYFUNCTION("""COMPUTED_VALUE"""),"Unsure")</f>
        <v>Unsure</v>
      </c>
      <c r="V30" s="535"/>
      <c r="W30" s="558" t="str">
        <f>IFERROR(__xludf.DUMMYFUNCTION("""COMPUTED_VALUE"""),"Neural Information Processing Systems (NIPS)")</f>
        <v>Neural Information Processing Systems (NIPS)</v>
      </c>
      <c r="X30" t="str">
        <f>IFERROR(__xludf.DUMMYFUNCTION("""COMPUTED_VALUE"""),"Engineering &amp; Computer Science")</f>
        <v>Engineering &amp; Computer Science</v>
      </c>
      <c r="Y30" t="str">
        <f>IFERROR(__xludf.DUMMYFUNCTION("""COMPUTED_VALUE"""),"Unsure")</f>
        <v>Unsure</v>
      </c>
      <c r="Z30" s="535"/>
      <c r="AA30" s="558" t="str">
        <f>IFERROR(__xludf.DUMMYFUNCTION("""COMPUTED_VALUE"""),"The Lancet Oncology")</f>
        <v>The Lancet Oncology</v>
      </c>
      <c r="AB30" t="str">
        <f>IFERROR(__xludf.DUMMYFUNCTION("""COMPUTED_VALUE"""),"Health &amp; Medical Sciences")</f>
        <v>Health &amp; Medical Sciences</v>
      </c>
      <c r="AC30" t="str">
        <f>IFERROR(__xludf.DUMMYFUNCTION("""COMPUTED_VALUE"""),"Unsure")</f>
        <v>Unsure</v>
      </c>
      <c r="AD30" s="535"/>
      <c r="AE30" s="558" t="str">
        <f>IFERROR(__xludf.DUMMYFUNCTION("""COMPUTED_VALUE"""),"The China Quarterly")</f>
        <v>The China Quarterly</v>
      </c>
      <c r="AF30" t="str">
        <f>IFERROR(__xludf.DUMMYFUNCTION("""COMPUTED_VALUE"""),"Humanities, Literature &amp; Arts")</f>
        <v>Humanities, Literature &amp; Arts</v>
      </c>
      <c r="AG30" t="str">
        <f>IFERROR(__xludf.DUMMYFUNCTION("""COMPUTED_VALUE"""),"Unsure")</f>
        <v>Unsure</v>
      </c>
      <c r="AH30" s="535"/>
      <c r="AI30" s="558" t="str">
        <f>IFERROR(__xludf.DUMMYFUNCTION("""COMPUTED_VALUE"""),"Science")</f>
        <v>Science</v>
      </c>
      <c r="AJ30" t="str">
        <f>IFERROR(__xludf.DUMMYFUNCTION("""COMPUTED_VALUE"""),"Life Sciences &amp; Earth Sciences")</f>
        <v>Life Sciences &amp; Earth Sciences</v>
      </c>
      <c r="AK30" t="str">
        <f>IFERROR(__xludf.DUMMYFUNCTION("""COMPUTED_VALUE"""),"Unsure")</f>
        <v>Unsure</v>
      </c>
      <c r="AL30" s="535"/>
      <c r="AM30" t="str">
        <f>IFERROR(__xludf.DUMMYFUNCTION("""COMPUTED_VALUE"""),"The European Physical Journal C")</f>
        <v>The European Physical Journal C</v>
      </c>
      <c r="AN30" t="str">
        <f>IFERROR(__xludf.DUMMYFUNCTION("""COMPUTED_VALUE"""),"Physics &amp; Mathematics")</f>
        <v>Physics &amp; Mathematics</v>
      </c>
      <c r="AO30" t="str">
        <f>IFERROR(__xludf.DUMMYFUNCTION("""COMPUTED_VALUE"""),"Unsure")</f>
        <v>Unsure</v>
      </c>
      <c r="AP30" s="535"/>
      <c r="AQ30" t="str">
        <f>IFERROR(__xludf.DUMMYFUNCTION("""COMPUTED_VALUE"""),"Social Science &amp; Medicine")</f>
        <v>Social Science &amp; Medicine</v>
      </c>
      <c r="AR30" t="str">
        <f>IFERROR(__xludf.DUMMYFUNCTION("""COMPUTED_VALUE"""),"Social Sciences")</f>
        <v>Social Sciences</v>
      </c>
      <c r="AS30" t="str">
        <f>IFERROR(__xludf.DUMMYFUNCTION("""COMPUTED_VALUE"""),"Unsure")</f>
        <v>Unsure</v>
      </c>
    </row>
    <row r="31">
      <c r="A31" s="552"/>
      <c r="B31" s="552"/>
      <c r="C31" t="str">
        <f>Filtered!I21</f>
        <v>Applied Energy</v>
      </c>
      <c r="D31" t="str">
        <f>Filtered!J21</f>
        <v/>
      </c>
      <c r="E31" t="str">
        <f>Filtered!AD21</f>
        <v>Unsure</v>
      </c>
      <c r="F31" t="b">
        <f t="shared" si="10"/>
        <v>0</v>
      </c>
      <c r="G31" t="b">
        <f t="shared" si="11"/>
        <v>0</v>
      </c>
      <c r="H31" t="b">
        <f t="shared" si="12"/>
        <v>0</v>
      </c>
      <c r="I31" t="b">
        <f t="shared" si="13"/>
        <v>0</v>
      </c>
      <c r="J31" t="b">
        <f t="shared" si="14"/>
        <v>0</v>
      </c>
      <c r="K31" t="b">
        <f t="shared" si="15"/>
        <v>0</v>
      </c>
      <c r="L31" t="b">
        <f t="shared" si="16"/>
        <v>0</v>
      </c>
      <c r="M31" t="b">
        <f t="shared" si="17"/>
        <v>0</v>
      </c>
      <c r="N31" s="535"/>
      <c r="O31" s="558" t="str">
        <f>IFERROR(__xludf.DUMMYFUNCTION("""COMPUTED_VALUE"""),"World Development")</f>
        <v>World Development</v>
      </c>
      <c r="P31" t="str">
        <f>IFERROR(__xludf.DUMMYFUNCTION("""COMPUTED_VALUE"""),"Business, Economics &amp; Management")</f>
        <v>Business, Economics &amp; Management</v>
      </c>
      <c r="Q31" t="str">
        <f>IFERROR(__xludf.DUMMYFUNCTION("""COMPUTED_VALUE"""),"Unsure")</f>
        <v>Unsure</v>
      </c>
      <c r="R31" s="535"/>
      <c r="S31" s="558" t="str">
        <f>IFERROR(__xludf.DUMMYFUNCTION("""COMPUTED_VALUE"""),"The Journal of Physical Chemistry Letters")</f>
        <v>The Journal of Physical Chemistry Letters</v>
      </c>
      <c r="T31" t="str">
        <f>IFERROR(__xludf.DUMMYFUNCTION("""COMPUTED_VALUE"""),"Physics &amp; Mathematics, Chemical &amp; Materials Sciences")</f>
        <v>Physics &amp; Mathematics, Chemical &amp; Materials Sciences</v>
      </c>
      <c r="U31" t="str">
        <f>IFERROR(__xludf.DUMMYFUNCTION("""COMPUTED_VALUE"""),"Unsure")</f>
        <v>Unsure</v>
      </c>
      <c r="V31" s="535"/>
      <c r="W31" s="558" t="str">
        <f>IFERROR(__xludf.DUMMYFUNCTION("""COMPUTED_VALUE"""),"Renewable and Sustainable Energy Reviews")</f>
        <v>Renewable and Sustainable Energy Reviews</v>
      </c>
      <c r="X31" t="str">
        <f>IFERROR(__xludf.DUMMYFUNCTION("""COMPUTED_VALUE"""),"Engineering &amp; Computer Science")</f>
        <v>Engineering &amp; Computer Science</v>
      </c>
      <c r="Y31" t="str">
        <f>IFERROR(__xludf.DUMMYFUNCTION("""COMPUTED_VALUE"""),"Unsure")</f>
        <v>Unsure</v>
      </c>
      <c r="Z31" s="535"/>
      <c r="AA31" s="558" t="str">
        <f>IFERROR(__xludf.DUMMYFUNCTION("""COMPUTED_VALUE"""),"The New England Journal of Medicine")</f>
        <v>The New England Journal of Medicine</v>
      </c>
      <c r="AB31" t="str">
        <f>IFERROR(__xludf.DUMMYFUNCTION("""COMPUTED_VALUE"""),"Health &amp; Medical Sciences")</f>
        <v>Health &amp; Medical Sciences</v>
      </c>
      <c r="AC31" t="str">
        <f>IFERROR(__xludf.DUMMYFUNCTION("""COMPUTED_VALUE"""),"Unsure")</f>
        <v>Unsure</v>
      </c>
      <c r="AD31" s="535"/>
      <c r="AE31" s="558" t="str">
        <f>IFERROR(__xludf.DUMMYFUNCTION("""COMPUTED_VALUE"""),"The Modern Language Journal")</f>
        <v>The Modern Language Journal</v>
      </c>
      <c r="AF31" t="str">
        <f>IFERROR(__xludf.DUMMYFUNCTION("""COMPUTED_VALUE"""),"Humanities, Literature &amp; Arts")</f>
        <v>Humanities, Literature &amp; Arts</v>
      </c>
      <c r="AG31" t="str">
        <f>IFERROR(__xludf.DUMMYFUNCTION("""COMPUTED_VALUE"""),"Unsure")</f>
        <v>Unsure</v>
      </c>
      <c r="AH31" s="535"/>
      <c r="AI31" s="558" t="str">
        <f>IFERROR(__xludf.DUMMYFUNCTION("""COMPUTED_VALUE"""),"Scientific Reports")</f>
        <v>Scientific Reports</v>
      </c>
      <c r="AJ31" t="str">
        <f>IFERROR(__xludf.DUMMYFUNCTION("""COMPUTED_VALUE"""),"Life Sciences &amp; Earth Sciences")</f>
        <v>Life Sciences &amp; Earth Sciences</v>
      </c>
      <c r="AK31" t="str">
        <f>IFERROR(__xludf.DUMMYFUNCTION("""COMPUTED_VALUE"""),"Yes")</f>
        <v>Yes</v>
      </c>
      <c r="AL31" s="535"/>
      <c r="AM31" t="str">
        <f>IFERROR(__xludf.DUMMYFUNCTION("""COMPUTED_VALUE"""),"The Journal of Physical Chemistry Letters")</f>
        <v>The Journal of Physical Chemistry Letters</v>
      </c>
      <c r="AN31" t="str">
        <f>IFERROR(__xludf.DUMMYFUNCTION("""COMPUTED_VALUE"""),"Physics &amp; Mathematics, Chemical &amp; Materials Sciences")</f>
        <v>Physics &amp; Mathematics, Chemical &amp; Materials Sciences</v>
      </c>
      <c r="AO31" t="str">
        <f>IFERROR(__xludf.DUMMYFUNCTION("""COMPUTED_VALUE"""),"Unsure")</f>
        <v>Unsure</v>
      </c>
      <c r="AP31" s="535"/>
      <c r="AQ31" t="str">
        <f>IFERROR(__xludf.DUMMYFUNCTION("""COMPUTED_VALUE"""),"Teaching and Teacher Education")</f>
        <v>Teaching and Teacher Education</v>
      </c>
      <c r="AR31" t="str">
        <f>IFERROR(__xludf.DUMMYFUNCTION("""COMPUTED_VALUE"""),"Social Sciences")</f>
        <v>Social Sciences</v>
      </c>
      <c r="AS31" t="str">
        <f>IFERROR(__xludf.DUMMYFUNCTION("""COMPUTED_VALUE"""),"Unsure")</f>
        <v>Unsure</v>
      </c>
    </row>
    <row r="32">
      <c r="A32" s="552"/>
      <c r="B32" s="552"/>
      <c r="C32" t="str">
        <f>Filtered!I22</f>
        <v>Applied Linguistics</v>
      </c>
      <c r="D32" t="str">
        <f>Filtered!J22</f>
        <v>Humanities, Literature &amp; Arts</v>
      </c>
      <c r="E32" t="str">
        <f>Filtered!AD22</f>
        <v>Yes</v>
      </c>
      <c r="F32" t="b">
        <f t="shared" si="10"/>
        <v>0</v>
      </c>
      <c r="G32" t="b">
        <f t="shared" si="11"/>
        <v>0</v>
      </c>
      <c r="H32" t="b">
        <f t="shared" si="12"/>
        <v>0</v>
      </c>
      <c r="I32" t="b">
        <f t="shared" si="13"/>
        <v>0</v>
      </c>
      <c r="J32" t="b">
        <f t="shared" si="14"/>
        <v>1</v>
      </c>
      <c r="K32" t="b">
        <f t="shared" si="15"/>
        <v>0</v>
      </c>
      <c r="L32" t="b">
        <f t="shared" si="16"/>
        <v>0</v>
      </c>
      <c r="M32" t="b">
        <f t="shared" si="17"/>
        <v>0</v>
      </c>
      <c r="N32" s="535"/>
      <c r="O32" s="558"/>
      <c r="R32" s="535"/>
      <c r="S32" s="558"/>
      <c r="V32" s="535"/>
      <c r="W32" s="558"/>
      <c r="Z32" s="535"/>
      <c r="AA32" s="558"/>
      <c r="AD32" s="535"/>
      <c r="AE32" s="558"/>
      <c r="AH32" s="535"/>
      <c r="AI32" s="558"/>
      <c r="AL32" s="535"/>
      <c r="AP32" s="535"/>
    </row>
    <row r="33">
      <c r="A33" s="552"/>
      <c r="B33" s="552"/>
      <c r="C33" t="str">
        <f>Filtered!I23</f>
        <v>Applied Physics Letters</v>
      </c>
      <c r="D33" t="str">
        <f>Filtered!J23</f>
        <v/>
      </c>
      <c r="E33" t="str">
        <f>Filtered!AD23</f>
        <v>Not specified</v>
      </c>
      <c r="F33" t="b">
        <f t="shared" si="10"/>
        <v>0</v>
      </c>
      <c r="G33" t="b">
        <f t="shared" si="11"/>
        <v>0</v>
      </c>
      <c r="H33" t="b">
        <f t="shared" si="12"/>
        <v>0</v>
      </c>
      <c r="I33" t="b">
        <f t="shared" si="13"/>
        <v>0</v>
      </c>
      <c r="J33" t="b">
        <f t="shared" si="14"/>
        <v>0</v>
      </c>
      <c r="K33" t="b">
        <f t="shared" si="15"/>
        <v>0</v>
      </c>
      <c r="L33" t="b">
        <f t="shared" si="16"/>
        <v>0</v>
      </c>
      <c r="M33" t="b">
        <f t="shared" si="17"/>
        <v>0</v>
      </c>
      <c r="N33" s="535"/>
      <c r="O33" s="558"/>
      <c r="R33" s="535"/>
      <c r="S33" s="558"/>
      <c r="V33" s="535"/>
      <c r="W33" s="558"/>
      <c r="Z33" s="535"/>
      <c r="AA33" s="558"/>
      <c r="AD33" s="535"/>
      <c r="AE33" s="558"/>
      <c r="AH33" s="535"/>
      <c r="AI33" s="558"/>
      <c r="AL33" s="535"/>
      <c r="AP33" s="535"/>
    </row>
    <row r="34">
      <c r="A34" s="552"/>
      <c r="B34" s="552"/>
      <c r="C34" t="str">
        <f>Filtered!I24</f>
        <v>Astronomy &amp; Astrophysics</v>
      </c>
      <c r="D34" t="str">
        <f>Filtered!J24</f>
        <v>Physics &amp; Mathematics</v>
      </c>
      <c r="E34" t="str">
        <f>Filtered!AD24</f>
        <v>Not specified</v>
      </c>
      <c r="F34" t="b">
        <f t="shared" si="10"/>
        <v>0</v>
      </c>
      <c r="G34" t="b">
        <f t="shared" si="11"/>
        <v>0</v>
      </c>
      <c r="H34" t="b">
        <f t="shared" si="12"/>
        <v>0</v>
      </c>
      <c r="I34" t="b">
        <f t="shared" si="13"/>
        <v>0</v>
      </c>
      <c r="J34" t="b">
        <f t="shared" si="14"/>
        <v>0</v>
      </c>
      <c r="K34" t="b">
        <f t="shared" si="15"/>
        <v>0</v>
      </c>
      <c r="L34" t="b">
        <f t="shared" si="16"/>
        <v>1</v>
      </c>
      <c r="M34" t="b">
        <f t="shared" si="17"/>
        <v>0</v>
      </c>
      <c r="N34" s="535"/>
      <c r="O34" s="558"/>
      <c r="R34" s="535"/>
      <c r="S34" s="558"/>
      <c r="V34" s="535"/>
      <c r="W34" s="558"/>
      <c r="Z34" s="535"/>
      <c r="AA34" s="558"/>
      <c r="AD34" s="535"/>
      <c r="AE34" s="558"/>
      <c r="AH34" s="535"/>
      <c r="AI34" s="558"/>
      <c r="AL34" s="535"/>
      <c r="AP34" s="535"/>
    </row>
    <row r="35">
      <c r="A35" s="552"/>
      <c r="B35" s="552"/>
      <c r="C35" t="str">
        <f>Filtered!I25</f>
        <v>Biomaterials</v>
      </c>
      <c r="D35" t="str">
        <f>Filtered!J25</f>
        <v/>
      </c>
      <c r="E35" t="str">
        <f>Filtered!AD25</f>
        <v>Unsure</v>
      </c>
      <c r="F35" t="b">
        <f t="shared" si="10"/>
        <v>0</v>
      </c>
      <c r="G35" t="b">
        <f t="shared" si="11"/>
        <v>0</v>
      </c>
      <c r="H35" t="b">
        <f t="shared" si="12"/>
        <v>0</v>
      </c>
      <c r="I35" t="b">
        <f t="shared" si="13"/>
        <v>0</v>
      </c>
      <c r="J35" t="b">
        <f t="shared" si="14"/>
        <v>0</v>
      </c>
      <c r="K35" t="b">
        <f t="shared" si="15"/>
        <v>0</v>
      </c>
      <c r="L35" t="b">
        <f t="shared" si="16"/>
        <v>0</v>
      </c>
      <c r="M35" t="b">
        <f t="shared" si="17"/>
        <v>0</v>
      </c>
      <c r="N35" s="535"/>
      <c r="O35" s="558"/>
      <c r="R35" s="535"/>
      <c r="S35" s="558"/>
      <c r="V35" s="535"/>
      <c r="W35" s="558"/>
      <c r="Z35" s="535"/>
      <c r="AA35" s="558"/>
      <c r="AD35" s="535"/>
      <c r="AE35" s="558"/>
      <c r="AH35" s="535"/>
      <c r="AI35" s="558"/>
      <c r="AL35" s="535"/>
      <c r="AP35" s="535"/>
    </row>
    <row r="36">
      <c r="A36" s="552"/>
      <c r="B36" s="552"/>
      <c r="C36" t="str">
        <f>Filtered!I26</f>
        <v>Blood</v>
      </c>
      <c r="D36" t="str">
        <f>Filtered!J26</f>
        <v>Health &amp; Medical Sciences</v>
      </c>
      <c r="E36" t="str">
        <f>Filtered!AD26</f>
        <v>No</v>
      </c>
      <c r="F36" t="b">
        <f t="shared" si="10"/>
        <v>0</v>
      </c>
      <c r="G36" t="b">
        <f t="shared" si="11"/>
        <v>0</v>
      </c>
      <c r="H36" t="b">
        <f t="shared" si="12"/>
        <v>0</v>
      </c>
      <c r="I36" t="b">
        <f t="shared" si="13"/>
        <v>1</v>
      </c>
      <c r="J36" t="b">
        <f t="shared" si="14"/>
        <v>0</v>
      </c>
      <c r="K36" t="b">
        <f t="shared" si="15"/>
        <v>0</v>
      </c>
      <c r="L36" t="b">
        <f t="shared" si="16"/>
        <v>0</v>
      </c>
      <c r="M36" t="b">
        <f t="shared" si="17"/>
        <v>0</v>
      </c>
      <c r="N36" s="535"/>
      <c r="O36" s="558"/>
      <c r="R36" s="535"/>
      <c r="S36" s="558"/>
      <c r="V36" s="535"/>
      <c r="W36" s="558"/>
      <c r="Z36" s="535"/>
      <c r="AA36" s="558"/>
      <c r="AD36" s="535"/>
      <c r="AE36" s="558"/>
      <c r="AH36" s="535"/>
      <c r="AI36" s="558"/>
      <c r="AL36" s="535"/>
      <c r="AP36" s="535"/>
    </row>
    <row r="37">
      <c r="A37" s="552"/>
      <c r="B37" s="552"/>
      <c r="C37" t="str">
        <f>Filtered!I27</f>
        <v>BMJ</v>
      </c>
      <c r="D37" t="str">
        <f>Filtered!J27</f>
        <v>Health &amp; Medical Sciences</v>
      </c>
      <c r="E37" t="str">
        <f>Filtered!AD27</f>
        <v>Yes</v>
      </c>
      <c r="F37" t="b">
        <f t="shared" si="10"/>
        <v>0</v>
      </c>
      <c r="G37" t="b">
        <f t="shared" si="11"/>
        <v>0</v>
      </c>
      <c r="H37" t="b">
        <f t="shared" si="12"/>
        <v>0</v>
      </c>
      <c r="I37" t="b">
        <f t="shared" si="13"/>
        <v>1</v>
      </c>
      <c r="J37" t="b">
        <f t="shared" si="14"/>
        <v>0</v>
      </c>
      <c r="K37" t="b">
        <f t="shared" si="15"/>
        <v>0</v>
      </c>
      <c r="L37" t="b">
        <f t="shared" si="16"/>
        <v>0</v>
      </c>
      <c r="M37" t="b">
        <f t="shared" si="17"/>
        <v>0</v>
      </c>
      <c r="N37" s="535"/>
      <c r="O37" s="558"/>
      <c r="R37" s="535"/>
      <c r="S37" s="558"/>
      <c r="V37" s="535"/>
      <c r="W37" s="558"/>
      <c r="Z37" s="535"/>
      <c r="AA37" s="558"/>
      <c r="AD37" s="535"/>
      <c r="AE37" s="558"/>
      <c r="AH37" s="535"/>
      <c r="AI37" s="558"/>
      <c r="AL37" s="535"/>
      <c r="AP37" s="535"/>
    </row>
    <row r="38">
      <c r="A38" s="552"/>
      <c r="B38" s="552"/>
      <c r="C38" t="str">
        <f>Filtered!I28</f>
        <v>Cancer Cell</v>
      </c>
      <c r="D38" t="str">
        <f>Filtered!J28</f>
        <v/>
      </c>
      <c r="E38" t="str">
        <f>Filtered!AD28</f>
        <v>Yes</v>
      </c>
      <c r="F38" t="b">
        <f t="shared" si="10"/>
        <v>0</v>
      </c>
      <c r="G38" t="b">
        <f t="shared" si="11"/>
        <v>0</v>
      </c>
      <c r="H38" t="b">
        <f t="shared" si="12"/>
        <v>0</v>
      </c>
      <c r="I38" t="b">
        <f t="shared" si="13"/>
        <v>0</v>
      </c>
      <c r="J38" t="b">
        <f t="shared" si="14"/>
        <v>0</v>
      </c>
      <c r="K38" t="b">
        <f t="shared" si="15"/>
        <v>0</v>
      </c>
      <c r="L38" t="b">
        <f t="shared" si="16"/>
        <v>0</v>
      </c>
      <c r="M38" t="b">
        <f t="shared" si="17"/>
        <v>0</v>
      </c>
      <c r="N38" s="535"/>
      <c r="O38" s="558"/>
      <c r="R38" s="535"/>
      <c r="S38" s="558"/>
      <c r="V38" s="535"/>
      <c r="W38" s="558"/>
      <c r="Z38" s="535"/>
      <c r="AA38" s="558"/>
      <c r="AD38" s="535"/>
      <c r="AE38" s="558"/>
      <c r="AH38" s="535"/>
      <c r="AI38" s="558"/>
      <c r="AL38" s="535"/>
      <c r="AP38" s="535"/>
    </row>
    <row r="39">
      <c r="A39" s="552"/>
      <c r="B39" s="552"/>
      <c r="C39" t="str">
        <f>Filtered!I29</f>
        <v>Cancer Research</v>
      </c>
      <c r="D39" t="str">
        <f>Filtered!J29</f>
        <v/>
      </c>
      <c r="E39" t="str">
        <f>Filtered!AD29</f>
        <v>Unsure</v>
      </c>
      <c r="F39" t="b">
        <f t="shared" si="10"/>
        <v>0</v>
      </c>
      <c r="G39" t="b">
        <f t="shared" si="11"/>
        <v>0</v>
      </c>
      <c r="H39" t="b">
        <f t="shared" si="12"/>
        <v>0</v>
      </c>
      <c r="I39" t="b">
        <f t="shared" si="13"/>
        <v>0</v>
      </c>
      <c r="J39" t="b">
        <f t="shared" si="14"/>
        <v>0</v>
      </c>
      <c r="K39" t="b">
        <f t="shared" si="15"/>
        <v>0</v>
      </c>
      <c r="L39" t="b">
        <f t="shared" si="16"/>
        <v>0</v>
      </c>
      <c r="M39" t="b">
        <f t="shared" si="17"/>
        <v>0</v>
      </c>
      <c r="N39" s="535"/>
      <c r="O39" s="558"/>
      <c r="R39" s="535"/>
      <c r="S39" s="558"/>
      <c r="V39" s="535"/>
      <c r="W39" s="558"/>
      <c r="Z39" s="535"/>
      <c r="AA39" s="558"/>
      <c r="AD39" s="535"/>
      <c r="AE39" s="558"/>
      <c r="AH39" s="535"/>
      <c r="AI39" s="558"/>
      <c r="AL39" s="535"/>
      <c r="AP39" s="535"/>
    </row>
    <row r="40">
      <c r="A40" s="552"/>
      <c r="B40" s="552"/>
      <c r="C40" t="str">
        <f>Filtered!I30</f>
        <v>Cell</v>
      </c>
      <c r="D40" t="str">
        <f>Filtered!J30</f>
        <v>Health &amp; Medical Sciences, Life Sciences &amp; Earth Sciences</v>
      </c>
      <c r="E40" t="str">
        <f>Filtered!AD30</f>
        <v>Yes</v>
      </c>
      <c r="F40" t="b">
        <f t="shared" si="10"/>
        <v>0</v>
      </c>
      <c r="G40" t="b">
        <f t="shared" si="11"/>
        <v>0</v>
      </c>
      <c r="H40" t="b">
        <f t="shared" si="12"/>
        <v>0</v>
      </c>
      <c r="I40" t="b">
        <f t="shared" si="13"/>
        <v>1</v>
      </c>
      <c r="J40" t="b">
        <f t="shared" si="14"/>
        <v>0</v>
      </c>
      <c r="K40" t="b">
        <f t="shared" si="15"/>
        <v>1</v>
      </c>
      <c r="L40" t="b">
        <f t="shared" si="16"/>
        <v>0</v>
      </c>
      <c r="M40" t="b">
        <f t="shared" si="17"/>
        <v>0</v>
      </c>
      <c r="N40" s="535"/>
      <c r="O40" s="558"/>
      <c r="R40" s="535"/>
      <c r="S40" s="558"/>
      <c r="V40" s="535"/>
      <c r="W40" s="558"/>
      <c r="Z40" s="535"/>
      <c r="AA40" s="558"/>
      <c r="AD40" s="535"/>
      <c r="AE40" s="558"/>
      <c r="AH40" s="535"/>
      <c r="AI40" s="558"/>
      <c r="AL40" s="535"/>
      <c r="AP40" s="535"/>
    </row>
    <row r="41">
      <c r="A41" s="552"/>
      <c r="B41" s="552"/>
      <c r="C41" t="str">
        <f>Filtered!I31</f>
        <v>Cell Metabolism</v>
      </c>
      <c r="D41" t="str">
        <f>Filtered!J31</f>
        <v>Life Sciences &amp; Earth Sciences</v>
      </c>
      <c r="E41" t="str">
        <f>Filtered!AD31</f>
        <v>Yes</v>
      </c>
      <c r="F41" t="b">
        <f t="shared" si="10"/>
        <v>0</v>
      </c>
      <c r="G41" t="b">
        <f t="shared" si="11"/>
        <v>0</v>
      </c>
      <c r="H41" t="b">
        <f t="shared" si="12"/>
        <v>0</v>
      </c>
      <c r="I41" t="b">
        <f t="shared" si="13"/>
        <v>0</v>
      </c>
      <c r="J41" t="b">
        <f t="shared" si="14"/>
        <v>0</v>
      </c>
      <c r="K41" t="b">
        <f t="shared" si="15"/>
        <v>1</v>
      </c>
      <c r="L41" t="b">
        <f t="shared" si="16"/>
        <v>0</v>
      </c>
      <c r="M41" t="b">
        <f t="shared" si="17"/>
        <v>0</v>
      </c>
      <c r="N41" s="535"/>
      <c r="O41" s="558"/>
      <c r="R41" s="535"/>
      <c r="S41" s="558"/>
      <c r="V41" s="535"/>
      <c r="W41" s="558"/>
      <c r="Z41" s="535"/>
      <c r="AA41" s="558"/>
      <c r="AD41" s="535"/>
      <c r="AE41" s="558"/>
      <c r="AH41" s="535"/>
      <c r="AI41" s="558"/>
      <c r="AL41" s="535"/>
      <c r="AP41" s="535"/>
    </row>
    <row r="42">
      <c r="A42" s="552"/>
      <c r="B42" s="552"/>
      <c r="C42" t="str">
        <f>Filtered!I32</f>
        <v>Cell Stem Cell</v>
      </c>
      <c r="D42" t="str">
        <f>Filtered!J32</f>
        <v>Life Sciences &amp; Earth Sciences</v>
      </c>
      <c r="E42" t="str">
        <f>Filtered!AD32</f>
        <v>Yes</v>
      </c>
      <c r="F42" t="b">
        <f t="shared" si="10"/>
        <v>0</v>
      </c>
      <c r="G42" t="b">
        <f t="shared" si="11"/>
        <v>0</v>
      </c>
      <c r="H42" t="b">
        <f t="shared" si="12"/>
        <v>0</v>
      </c>
      <c r="I42" t="b">
        <f t="shared" si="13"/>
        <v>0</v>
      </c>
      <c r="J42" t="b">
        <f t="shared" si="14"/>
        <v>0</v>
      </c>
      <c r="K42" t="b">
        <f t="shared" si="15"/>
        <v>1</v>
      </c>
      <c r="L42" t="b">
        <f t="shared" si="16"/>
        <v>0</v>
      </c>
      <c r="M42" t="b">
        <f t="shared" si="17"/>
        <v>0</v>
      </c>
      <c r="N42" s="535"/>
      <c r="O42" s="558"/>
      <c r="R42" s="535"/>
      <c r="S42" s="558"/>
      <c r="V42" s="535"/>
      <c r="W42" s="558"/>
      <c r="Z42" s="535"/>
      <c r="AA42" s="558"/>
      <c r="AD42" s="535"/>
      <c r="AE42" s="558"/>
      <c r="AH42" s="535"/>
      <c r="AI42" s="558"/>
      <c r="AL42" s="535"/>
      <c r="AP42" s="535"/>
    </row>
    <row r="43">
      <c r="A43" s="552"/>
      <c r="B43" s="552"/>
      <c r="C43" t="str">
        <f>Filtered!I33</f>
        <v>Chemical communications (Cambridge, England)</v>
      </c>
      <c r="D43" t="str">
        <f>Filtered!J33</f>
        <v>Chemical &amp; Materials Sciences</v>
      </c>
      <c r="E43" t="str">
        <f>Filtered!AD33</f>
        <v>Unsure</v>
      </c>
      <c r="F43" t="b">
        <f t="shared" si="10"/>
        <v>0</v>
      </c>
      <c r="G43" t="b">
        <f t="shared" si="11"/>
        <v>1</v>
      </c>
      <c r="H43" t="b">
        <f t="shared" si="12"/>
        <v>0</v>
      </c>
      <c r="I43" t="b">
        <f t="shared" si="13"/>
        <v>0</v>
      </c>
      <c r="J43" t="b">
        <f t="shared" si="14"/>
        <v>0</v>
      </c>
      <c r="K43" t="b">
        <f t="shared" si="15"/>
        <v>0</v>
      </c>
      <c r="L43" t="b">
        <f t="shared" si="16"/>
        <v>0</v>
      </c>
      <c r="M43" t="b">
        <f t="shared" si="17"/>
        <v>0</v>
      </c>
      <c r="N43" s="535"/>
      <c r="O43" s="558"/>
      <c r="R43" s="535"/>
      <c r="S43" s="558"/>
      <c r="V43" s="535"/>
      <c r="W43" s="558"/>
      <c r="Z43" s="535"/>
      <c r="AA43" s="558"/>
      <c r="AD43" s="535"/>
      <c r="AE43" s="558"/>
      <c r="AH43" s="535"/>
      <c r="AI43" s="558"/>
      <c r="AL43" s="535"/>
      <c r="AP43" s="535"/>
    </row>
    <row r="44">
      <c r="A44" s="552"/>
      <c r="B44" s="552"/>
      <c r="C44" t="str">
        <f>Filtered!I34</f>
        <v>Chemical Reviews</v>
      </c>
      <c r="D44" t="str">
        <f>Filtered!J34</f>
        <v>Chemical &amp; Materials Sciences</v>
      </c>
      <c r="E44" t="str">
        <f>Filtered!AD34</f>
        <v>Unsure</v>
      </c>
      <c r="F44" t="b">
        <f t="shared" si="10"/>
        <v>0</v>
      </c>
      <c r="G44" t="b">
        <f t="shared" si="11"/>
        <v>1</v>
      </c>
      <c r="H44" t="b">
        <f t="shared" si="12"/>
        <v>0</v>
      </c>
      <c r="I44" t="b">
        <f t="shared" si="13"/>
        <v>0</v>
      </c>
      <c r="J44" t="b">
        <f t="shared" si="14"/>
        <v>0</v>
      </c>
      <c r="K44" t="b">
        <f t="shared" si="15"/>
        <v>0</v>
      </c>
      <c r="L44" t="b">
        <f t="shared" si="16"/>
        <v>0</v>
      </c>
      <c r="M44" t="b">
        <f t="shared" si="17"/>
        <v>0</v>
      </c>
      <c r="N44" s="535"/>
      <c r="O44" s="558"/>
      <c r="R44" s="535"/>
      <c r="S44" s="558"/>
      <c r="V44" s="535"/>
      <c r="W44" s="558"/>
      <c r="Z44" s="535"/>
      <c r="AA44" s="558"/>
      <c r="AD44" s="535"/>
      <c r="AE44" s="558"/>
      <c r="AH44" s="535"/>
      <c r="AI44" s="558"/>
      <c r="AL44" s="535"/>
      <c r="AP44" s="535"/>
    </row>
    <row r="45">
      <c r="A45" s="552"/>
      <c r="B45" s="552"/>
      <c r="C45" t="str">
        <f>Filtered!I35</f>
        <v>Chemical Society reviews</v>
      </c>
      <c r="D45" t="str">
        <f>Filtered!J35</f>
        <v>Chemical &amp; Materials Sciences</v>
      </c>
      <c r="E45" t="str">
        <f>Filtered!AD35</f>
        <v>Unsure</v>
      </c>
      <c r="F45" t="b">
        <f t="shared" si="10"/>
        <v>0</v>
      </c>
      <c r="G45" t="b">
        <f t="shared" si="11"/>
        <v>1</v>
      </c>
      <c r="H45" t="b">
        <f t="shared" si="12"/>
        <v>0</v>
      </c>
      <c r="I45" t="b">
        <f t="shared" si="13"/>
        <v>0</v>
      </c>
      <c r="J45" t="b">
        <f t="shared" si="14"/>
        <v>0</v>
      </c>
      <c r="K45" t="b">
        <f t="shared" si="15"/>
        <v>0</v>
      </c>
      <c r="L45" t="b">
        <f t="shared" si="16"/>
        <v>0</v>
      </c>
      <c r="M45" t="b">
        <f t="shared" si="17"/>
        <v>0</v>
      </c>
      <c r="N45" s="535"/>
      <c r="O45" s="558"/>
      <c r="R45" s="535"/>
      <c r="S45" s="558"/>
      <c r="V45" s="535"/>
      <c r="W45" s="558"/>
      <c r="Z45" s="535"/>
      <c r="AA45" s="558"/>
      <c r="AD45" s="535"/>
      <c r="AE45" s="558"/>
      <c r="AH45" s="535"/>
      <c r="AI45" s="558"/>
      <c r="AL45" s="535"/>
      <c r="AP45" s="535"/>
    </row>
    <row r="46">
      <c r="A46" s="552"/>
      <c r="B46" s="552"/>
      <c r="C46" t="str">
        <f>Filtered!I36</f>
        <v>Chemistry of Materials</v>
      </c>
      <c r="D46" t="str">
        <f>Filtered!J36</f>
        <v>Chemical &amp; Materials Sciences,
Engineering &amp; Computer Science</v>
      </c>
      <c r="E46" t="str">
        <f>Filtered!AD36</f>
        <v>Unsure</v>
      </c>
      <c r="F46" t="b">
        <f t="shared" si="10"/>
        <v>0</v>
      </c>
      <c r="G46" t="b">
        <f t="shared" si="11"/>
        <v>1</v>
      </c>
      <c r="H46" t="b">
        <f t="shared" si="12"/>
        <v>1</v>
      </c>
      <c r="I46" t="b">
        <f t="shared" si="13"/>
        <v>0</v>
      </c>
      <c r="J46" t="b">
        <f t="shared" si="14"/>
        <v>0</v>
      </c>
      <c r="K46" t="b">
        <f t="shared" si="15"/>
        <v>0</v>
      </c>
      <c r="L46" t="b">
        <f t="shared" si="16"/>
        <v>0</v>
      </c>
      <c r="M46" t="b">
        <f t="shared" si="17"/>
        <v>0</v>
      </c>
      <c r="N46" s="535"/>
      <c r="O46" s="558"/>
      <c r="R46" s="535"/>
      <c r="S46" s="558"/>
      <c r="V46" s="535"/>
      <c r="W46" s="558"/>
      <c r="Z46" s="535"/>
      <c r="AA46" s="558"/>
      <c r="AD46" s="535"/>
      <c r="AE46" s="558"/>
      <c r="AH46" s="535"/>
      <c r="AI46" s="558"/>
      <c r="AL46" s="535"/>
      <c r="AP46" s="535"/>
    </row>
    <row r="47">
      <c r="A47" s="552"/>
      <c r="B47" s="552"/>
      <c r="C47" t="str">
        <f>Filtered!I37</f>
        <v>Circulation</v>
      </c>
      <c r="D47" t="str">
        <f>Filtered!J37</f>
        <v>Health &amp; Medical Sciences</v>
      </c>
      <c r="E47" t="str">
        <f>Filtered!AD37</f>
        <v>Unsure</v>
      </c>
      <c r="F47" t="b">
        <f t="shared" si="10"/>
        <v>0</v>
      </c>
      <c r="G47" t="b">
        <f t="shared" si="11"/>
        <v>0</v>
      </c>
      <c r="H47" t="b">
        <f t="shared" si="12"/>
        <v>0</v>
      </c>
      <c r="I47" t="b">
        <f t="shared" si="13"/>
        <v>1</v>
      </c>
      <c r="J47" t="b">
        <f t="shared" si="14"/>
        <v>0</v>
      </c>
      <c r="K47" t="b">
        <f t="shared" si="15"/>
        <v>0</v>
      </c>
      <c r="L47" t="b">
        <f t="shared" si="16"/>
        <v>0</v>
      </c>
      <c r="M47" t="b">
        <f t="shared" si="17"/>
        <v>0</v>
      </c>
      <c r="N47" s="535"/>
      <c r="O47" s="558"/>
      <c r="R47" s="535"/>
      <c r="S47" s="558"/>
      <c r="V47" s="535"/>
      <c r="W47" s="558"/>
      <c r="Z47" s="535"/>
      <c r="AA47" s="558"/>
      <c r="AD47" s="535"/>
      <c r="AE47" s="558"/>
      <c r="AH47" s="535"/>
      <c r="AI47" s="558"/>
      <c r="AL47" s="535"/>
      <c r="AP47" s="535"/>
    </row>
    <row r="48">
      <c r="A48" s="552"/>
      <c r="B48" s="552"/>
      <c r="C48" t="str">
        <f>Filtered!I38</f>
        <v>Circulation Research</v>
      </c>
      <c r="D48" t="str">
        <f>Filtered!J38</f>
        <v/>
      </c>
      <c r="E48" t="str">
        <f>Filtered!AD38</f>
        <v>Unsure</v>
      </c>
      <c r="F48" t="b">
        <f t="shared" si="10"/>
        <v>0</v>
      </c>
      <c r="G48" t="b">
        <f t="shared" si="11"/>
        <v>0</v>
      </c>
      <c r="H48" t="b">
        <f t="shared" si="12"/>
        <v>0</v>
      </c>
      <c r="I48" t="b">
        <f t="shared" si="13"/>
        <v>0</v>
      </c>
      <c r="J48" t="b">
        <f t="shared" si="14"/>
        <v>0</v>
      </c>
      <c r="K48" t="b">
        <f t="shared" si="15"/>
        <v>0</v>
      </c>
      <c r="L48" t="b">
        <f t="shared" si="16"/>
        <v>0</v>
      </c>
      <c r="M48" t="b">
        <f t="shared" si="17"/>
        <v>0</v>
      </c>
      <c r="N48" s="535"/>
      <c r="O48" s="558"/>
      <c r="R48" s="535"/>
      <c r="S48" s="558"/>
      <c r="V48" s="535"/>
      <c r="W48" s="558"/>
      <c r="Z48" s="535"/>
      <c r="AA48" s="558"/>
      <c r="AD48" s="535"/>
      <c r="AE48" s="558"/>
      <c r="AH48" s="535"/>
      <c r="AI48" s="558"/>
      <c r="AL48" s="535"/>
      <c r="AP48" s="535"/>
    </row>
    <row r="49">
      <c r="A49" s="552"/>
      <c r="B49" s="552"/>
      <c r="C49" t="str">
        <f>Filtered!I39</f>
        <v>Clinical Cancer Research</v>
      </c>
      <c r="D49" t="str">
        <f>Filtered!J39</f>
        <v/>
      </c>
      <c r="E49" t="str">
        <f>Filtered!AD39</f>
        <v>Yes</v>
      </c>
      <c r="F49" t="b">
        <f t="shared" si="10"/>
        <v>0</v>
      </c>
      <c r="G49" t="b">
        <f t="shared" si="11"/>
        <v>0</v>
      </c>
      <c r="H49" t="b">
        <f t="shared" si="12"/>
        <v>0</v>
      </c>
      <c r="I49" t="b">
        <f t="shared" si="13"/>
        <v>0</v>
      </c>
      <c r="J49" t="b">
        <f t="shared" si="14"/>
        <v>0</v>
      </c>
      <c r="K49" t="b">
        <f t="shared" si="15"/>
        <v>0</v>
      </c>
      <c r="L49" t="b">
        <f t="shared" si="16"/>
        <v>0</v>
      </c>
      <c r="M49" t="b">
        <f t="shared" si="17"/>
        <v>0</v>
      </c>
      <c r="N49" s="535"/>
      <c r="O49" s="558"/>
      <c r="R49" s="535"/>
      <c r="S49" s="558"/>
      <c r="V49" s="535"/>
      <c r="W49" s="558"/>
      <c r="Z49" s="535"/>
      <c r="AA49" s="558"/>
      <c r="AD49" s="535"/>
      <c r="AE49" s="558"/>
      <c r="AH49" s="535"/>
      <c r="AI49" s="558"/>
      <c r="AL49" s="535"/>
      <c r="AP49" s="535"/>
    </row>
    <row r="50">
      <c r="A50" s="552"/>
      <c r="B50" s="552"/>
      <c r="C50" t="str">
        <f>Filtered!I40</f>
        <v>Computers &amp; Education</v>
      </c>
      <c r="D50" t="str">
        <f>Filtered!J40</f>
        <v/>
      </c>
      <c r="E50" t="str">
        <f>Filtered!AD40</f>
        <v>Unsure</v>
      </c>
      <c r="F50" t="b">
        <f t="shared" si="10"/>
        <v>0</v>
      </c>
      <c r="G50" t="b">
        <f t="shared" si="11"/>
        <v>0</v>
      </c>
      <c r="H50" t="b">
        <f t="shared" si="12"/>
        <v>0</v>
      </c>
      <c r="I50" t="b">
        <f t="shared" si="13"/>
        <v>0</v>
      </c>
      <c r="J50" t="b">
        <f t="shared" si="14"/>
        <v>0</v>
      </c>
      <c r="K50" t="b">
        <f t="shared" si="15"/>
        <v>0</v>
      </c>
      <c r="L50" t="b">
        <f t="shared" si="16"/>
        <v>0</v>
      </c>
      <c r="M50" t="b">
        <f t="shared" si="17"/>
        <v>0</v>
      </c>
      <c r="N50" s="535"/>
      <c r="O50" s="558"/>
      <c r="R50" s="535"/>
      <c r="S50" s="558"/>
      <c r="V50" s="535"/>
      <c r="W50" s="558"/>
      <c r="Z50" s="535"/>
      <c r="AA50" s="558"/>
      <c r="AD50" s="535"/>
      <c r="AE50" s="558"/>
      <c r="AH50" s="535"/>
      <c r="AI50" s="558"/>
      <c r="AL50" s="535"/>
      <c r="AP50" s="535"/>
    </row>
    <row r="51">
      <c r="A51" s="552"/>
      <c r="B51" s="552"/>
      <c r="C51" t="str">
        <f>Filtered!I41</f>
        <v>Diabetes Care</v>
      </c>
      <c r="D51" t="str">
        <f>Filtered!J41</f>
        <v/>
      </c>
      <c r="E51" t="str">
        <f>Filtered!AD41</f>
        <v>Unsure</v>
      </c>
      <c r="F51" t="b">
        <f t="shared" si="10"/>
        <v>0</v>
      </c>
      <c r="G51" t="b">
        <f t="shared" si="11"/>
        <v>0</v>
      </c>
      <c r="H51" t="b">
        <f t="shared" si="12"/>
        <v>0</v>
      </c>
      <c r="I51" t="b">
        <f t="shared" si="13"/>
        <v>0</v>
      </c>
      <c r="J51" t="b">
        <f t="shared" si="14"/>
        <v>0</v>
      </c>
      <c r="K51" t="b">
        <f t="shared" si="15"/>
        <v>0</v>
      </c>
      <c r="L51" t="b">
        <f t="shared" si="16"/>
        <v>0</v>
      </c>
      <c r="M51" t="b">
        <f t="shared" si="17"/>
        <v>0</v>
      </c>
      <c r="N51" s="535"/>
      <c r="O51" s="558"/>
      <c r="R51" s="535"/>
      <c r="S51" s="558"/>
      <c r="V51" s="535"/>
      <c r="W51" s="558"/>
      <c r="Z51" s="535"/>
      <c r="AA51" s="558"/>
      <c r="AD51" s="535"/>
      <c r="AE51" s="558"/>
      <c r="AH51" s="535"/>
      <c r="AI51" s="558"/>
      <c r="AL51" s="535"/>
      <c r="AP51" s="535"/>
    </row>
    <row r="52">
      <c r="A52" s="552"/>
      <c r="B52" s="552"/>
      <c r="C52" t="str">
        <f>Filtered!I42</f>
        <v>Digital Journalism</v>
      </c>
      <c r="D52" t="str">
        <f>Filtered!J42</f>
        <v>Humanities, Literature &amp; Arts</v>
      </c>
      <c r="E52" t="str">
        <f>Filtered!AD42</f>
        <v>Unsure</v>
      </c>
      <c r="F52" t="b">
        <f t="shared" si="10"/>
        <v>0</v>
      </c>
      <c r="G52" t="b">
        <f t="shared" si="11"/>
        <v>0</v>
      </c>
      <c r="H52" t="b">
        <f t="shared" si="12"/>
        <v>0</v>
      </c>
      <c r="I52" t="b">
        <f t="shared" si="13"/>
        <v>0</v>
      </c>
      <c r="J52" t="b">
        <f t="shared" si="14"/>
        <v>1</v>
      </c>
      <c r="K52" t="b">
        <f t="shared" si="15"/>
        <v>0</v>
      </c>
      <c r="L52" t="b">
        <f t="shared" si="16"/>
        <v>0</v>
      </c>
      <c r="M52" t="b">
        <f t="shared" si="17"/>
        <v>0</v>
      </c>
      <c r="N52" s="535"/>
      <c r="O52" s="558"/>
      <c r="R52" s="535"/>
      <c r="S52" s="558"/>
      <c r="V52" s="535"/>
      <c r="W52" s="558"/>
      <c r="Z52" s="535"/>
      <c r="AA52" s="558"/>
      <c r="AD52" s="535"/>
      <c r="AE52" s="558"/>
      <c r="AH52" s="535"/>
      <c r="AI52" s="558"/>
      <c r="AL52" s="535"/>
      <c r="AP52" s="535"/>
    </row>
    <row r="53">
      <c r="A53" s="552"/>
      <c r="B53" s="552"/>
      <c r="C53" t="str">
        <f>Filtered!I43</f>
        <v>Econometrica</v>
      </c>
      <c r="D53" t="str">
        <f>Filtered!J43</f>
        <v>Business, Economics &amp; Management</v>
      </c>
      <c r="E53" t="str">
        <f>Filtered!AD43</f>
        <v>Unsure</v>
      </c>
      <c r="F53" t="b">
        <f t="shared" si="10"/>
        <v>1</v>
      </c>
      <c r="G53" t="b">
        <f t="shared" si="11"/>
        <v>0</v>
      </c>
      <c r="H53" t="b">
        <f t="shared" si="12"/>
        <v>0</v>
      </c>
      <c r="I53" t="b">
        <f t="shared" si="13"/>
        <v>0</v>
      </c>
      <c r="J53" t="b">
        <f t="shared" si="14"/>
        <v>0</v>
      </c>
      <c r="K53" t="b">
        <f t="shared" si="15"/>
        <v>0</v>
      </c>
      <c r="L53" t="b">
        <f t="shared" si="16"/>
        <v>0</v>
      </c>
      <c r="M53" t="b">
        <f t="shared" si="17"/>
        <v>0</v>
      </c>
      <c r="N53" s="535"/>
      <c r="O53" s="558"/>
      <c r="R53" s="535"/>
      <c r="S53" s="558"/>
      <c r="V53" s="535"/>
      <c r="W53" s="558"/>
      <c r="Z53" s="535"/>
      <c r="AA53" s="558"/>
      <c r="AD53" s="535"/>
      <c r="AE53" s="558"/>
      <c r="AH53" s="535"/>
      <c r="AI53" s="558"/>
      <c r="AL53" s="535"/>
      <c r="AP53" s="535"/>
    </row>
    <row r="54">
      <c r="A54" s="552"/>
      <c r="B54" s="552"/>
      <c r="C54" t="str">
        <f>Filtered!I44</f>
        <v>Energy and Environmental Science</v>
      </c>
      <c r="D54" t="str">
        <f>Filtered!J44</f>
        <v>Chemical &amp; Materials Sciences, Engineering &amp; Computer Science</v>
      </c>
      <c r="E54" t="str">
        <f>Filtered!AD44</f>
        <v>Unsure</v>
      </c>
      <c r="F54" t="b">
        <f t="shared" si="10"/>
        <v>0</v>
      </c>
      <c r="G54" t="b">
        <f t="shared" si="11"/>
        <v>1</v>
      </c>
      <c r="H54" t="b">
        <f t="shared" si="12"/>
        <v>1</v>
      </c>
      <c r="I54" t="b">
        <f t="shared" si="13"/>
        <v>0</v>
      </c>
      <c r="J54" t="b">
        <f t="shared" si="14"/>
        <v>0</v>
      </c>
      <c r="K54" t="b">
        <f t="shared" si="15"/>
        <v>0</v>
      </c>
      <c r="L54" t="b">
        <f t="shared" si="16"/>
        <v>0</v>
      </c>
      <c r="M54" t="b">
        <f t="shared" si="17"/>
        <v>0</v>
      </c>
      <c r="N54" s="535"/>
      <c r="O54" s="558"/>
      <c r="R54" s="535"/>
      <c r="S54" s="558"/>
      <c r="V54" s="535"/>
      <c r="W54" s="558"/>
      <c r="Z54" s="535"/>
      <c r="AA54" s="558"/>
      <c r="AD54" s="535"/>
      <c r="AE54" s="558"/>
      <c r="AH54" s="535"/>
      <c r="AI54" s="558"/>
      <c r="AL54" s="535"/>
      <c r="AP54" s="535"/>
    </row>
    <row r="55">
      <c r="A55" s="552"/>
      <c r="B55" s="552"/>
      <c r="C55" t="str">
        <f>Filtered!I45</f>
        <v>Environmental Science &amp; Technology</v>
      </c>
      <c r="D55" t="str">
        <f>Filtered!J45</f>
        <v>Life Sciences &amp; Earth Sciences</v>
      </c>
      <c r="E55" t="str">
        <f>Filtered!AD45</f>
        <v>Unsure</v>
      </c>
      <c r="F55" t="b">
        <f t="shared" si="10"/>
        <v>0</v>
      </c>
      <c r="G55" t="b">
        <f t="shared" si="11"/>
        <v>0</v>
      </c>
      <c r="H55" t="b">
        <f t="shared" si="12"/>
        <v>0</v>
      </c>
      <c r="I55" t="b">
        <f t="shared" si="13"/>
        <v>0</v>
      </c>
      <c r="J55" t="b">
        <f t="shared" si="14"/>
        <v>0</v>
      </c>
      <c r="K55" t="b">
        <f t="shared" si="15"/>
        <v>1</v>
      </c>
      <c r="L55" t="b">
        <f t="shared" si="16"/>
        <v>0</v>
      </c>
      <c r="M55" t="b">
        <f t="shared" si="17"/>
        <v>0</v>
      </c>
      <c r="N55" s="535"/>
      <c r="O55" s="558"/>
      <c r="R55" s="535"/>
      <c r="S55" s="558"/>
      <c r="V55" s="535"/>
      <c r="W55" s="558"/>
      <c r="Z55" s="535"/>
      <c r="AA55" s="558"/>
      <c r="AD55" s="535"/>
      <c r="AE55" s="558"/>
      <c r="AH55" s="535"/>
      <c r="AI55" s="558"/>
      <c r="AL55" s="535"/>
      <c r="AP55" s="535"/>
    </row>
    <row r="56">
      <c r="A56" s="552"/>
      <c r="B56" s="552"/>
      <c r="C56" t="str">
        <f>Filtered!I46</f>
        <v>European Heart Journal</v>
      </c>
      <c r="D56" t="str">
        <f>Filtered!J46</f>
        <v>Health &amp; Medical Sciences</v>
      </c>
      <c r="E56" t="str">
        <f>Filtered!AD46</f>
        <v>Unsure</v>
      </c>
      <c r="F56" t="b">
        <f t="shared" si="10"/>
        <v>0</v>
      </c>
      <c r="G56" t="b">
        <f t="shared" si="11"/>
        <v>0</v>
      </c>
      <c r="H56" t="b">
        <f t="shared" si="12"/>
        <v>0</v>
      </c>
      <c r="I56" t="b">
        <f t="shared" si="13"/>
        <v>1</v>
      </c>
      <c r="J56" t="b">
        <f t="shared" si="14"/>
        <v>0</v>
      </c>
      <c r="K56" t="b">
        <f t="shared" si="15"/>
        <v>0</v>
      </c>
      <c r="L56" t="b">
        <f t="shared" si="16"/>
        <v>0</v>
      </c>
      <c r="M56" t="b">
        <f t="shared" si="17"/>
        <v>0</v>
      </c>
      <c r="N56" s="535"/>
      <c r="O56" s="558"/>
      <c r="R56" s="535"/>
      <c r="S56" s="558"/>
      <c r="V56" s="535"/>
      <c r="W56" s="558"/>
      <c r="Z56" s="535"/>
      <c r="AA56" s="558"/>
      <c r="AD56" s="535"/>
      <c r="AE56" s="558"/>
      <c r="AH56" s="535"/>
      <c r="AI56" s="558"/>
      <c r="AL56" s="535"/>
      <c r="AP56" s="535"/>
    </row>
    <row r="57">
      <c r="A57" s="552"/>
      <c r="B57" s="552"/>
      <c r="C57" t="str">
        <f>Filtered!I47</f>
        <v>European Urology</v>
      </c>
      <c r="D57" t="str">
        <f>Filtered!J47</f>
        <v/>
      </c>
      <c r="E57" t="str">
        <f>Filtered!AD47</f>
        <v>Unsure</v>
      </c>
      <c r="F57" t="b">
        <f t="shared" si="10"/>
        <v>0</v>
      </c>
      <c r="G57" t="b">
        <f t="shared" si="11"/>
        <v>0</v>
      </c>
      <c r="H57" t="b">
        <f t="shared" si="12"/>
        <v>0</v>
      </c>
      <c r="I57" t="b">
        <f t="shared" si="13"/>
        <v>0</v>
      </c>
      <c r="J57" t="b">
        <f t="shared" si="14"/>
        <v>0</v>
      </c>
      <c r="K57" t="b">
        <f t="shared" si="15"/>
        <v>0</v>
      </c>
      <c r="L57" t="b">
        <f t="shared" si="16"/>
        <v>0</v>
      </c>
      <c r="M57" t="b">
        <f t="shared" si="17"/>
        <v>0</v>
      </c>
      <c r="N57" s="535"/>
      <c r="O57" s="558"/>
      <c r="R57" s="535"/>
      <c r="S57" s="558"/>
      <c r="V57" s="535"/>
      <c r="W57" s="558"/>
      <c r="Z57" s="535"/>
      <c r="AA57" s="558"/>
      <c r="AD57" s="535"/>
      <c r="AE57" s="558"/>
      <c r="AH57" s="535"/>
      <c r="AI57" s="558"/>
      <c r="AL57" s="535"/>
      <c r="AP57" s="535"/>
    </row>
    <row r="58">
      <c r="A58" s="552"/>
      <c r="B58" s="552"/>
      <c r="C58" t="str">
        <f>Filtered!I48</f>
        <v>Gastroenterology</v>
      </c>
      <c r="D58" t="str">
        <f>Filtered!J48</f>
        <v>Health &amp; Medical Sciences</v>
      </c>
      <c r="E58" t="str">
        <f>Filtered!AD48</f>
        <v>Unsure</v>
      </c>
      <c r="F58" t="b">
        <f t="shared" si="10"/>
        <v>0</v>
      </c>
      <c r="G58" t="b">
        <f t="shared" si="11"/>
        <v>0</v>
      </c>
      <c r="H58" t="b">
        <f t="shared" si="12"/>
        <v>0</v>
      </c>
      <c r="I58" t="b">
        <f t="shared" si="13"/>
        <v>1</v>
      </c>
      <c r="J58" t="b">
        <f t="shared" si="14"/>
        <v>0</v>
      </c>
      <c r="K58" t="b">
        <f t="shared" si="15"/>
        <v>0</v>
      </c>
      <c r="L58" t="b">
        <f t="shared" si="16"/>
        <v>0</v>
      </c>
      <c r="M58" t="b">
        <f t="shared" si="17"/>
        <v>0</v>
      </c>
      <c r="N58" s="535"/>
      <c r="O58" s="558"/>
      <c r="R58" s="535"/>
      <c r="S58" s="558"/>
      <c r="V58" s="535"/>
      <c r="W58" s="558"/>
      <c r="Z58" s="535"/>
      <c r="AA58" s="558"/>
      <c r="AD58" s="535"/>
      <c r="AE58" s="558"/>
      <c r="AH58" s="535"/>
      <c r="AI58" s="558"/>
      <c r="AL58" s="535"/>
      <c r="AP58" s="535"/>
    </row>
    <row r="59">
      <c r="A59" s="552"/>
      <c r="B59" s="552"/>
      <c r="C59" t="str">
        <f>Filtered!I49</f>
        <v>Gender &amp; Society</v>
      </c>
      <c r="D59" t="str">
        <f>Filtered!J49</f>
        <v>Humanities, Literature &amp; Arts</v>
      </c>
      <c r="E59" t="str">
        <f>Filtered!AD49</f>
        <v>Unsure</v>
      </c>
      <c r="F59" t="b">
        <f t="shared" si="10"/>
        <v>0</v>
      </c>
      <c r="G59" t="b">
        <f t="shared" si="11"/>
        <v>0</v>
      </c>
      <c r="H59" t="b">
        <f t="shared" si="12"/>
        <v>0</v>
      </c>
      <c r="I59" t="b">
        <f t="shared" si="13"/>
        <v>0</v>
      </c>
      <c r="J59" t="b">
        <f t="shared" si="14"/>
        <v>1</v>
      </c>
      <c r="K59" t="b">
        <f t="shared" si="15"/>
        <v>0</v>
      </c>
      <c r="L59" t="b">
        <f t="shared" si="16"/>
        <v>0</v>
      </c>
      <c r="M59" t="b">
        <f t="shared" si="17"/>
        <v>0</v>
      </c>
      <c r="N59" s="535"/>
      <c r="O59" s="558"/>
      <c r="R59" s="535"/>
      <c r="S59" s="558"/>
      <c r="V59" s="535"/>
      <c r="W59" s="558"/>
      <c r="Z59" s="535"/>
      <c r="AA59" s="558"/>
      <c r="AD59" s="535"/>
      <c r="AE59" s="558"/>
      <c r="AH59" s="535"/>
      <c r="AI59" s="558"/>
      <c r="AL59" s="535"/>
      <c r="AP59" s="535"/>
    </row>
    <row r="60">
      <c r="A60" s="552"/>
      <c r="B60" s="552"/>
      <c r="C60" t="str">
        <f>Filtered!I50</f>
        <v>Geophysical Research Letters</v>
      </c>
      <c r="D60" t="str">
        <f>Filtered!J50</f>
        <v>Physics &amp; Mathematics</v>
      </c>
      <c r="E60" t="str">
        <f>Filtered!AD50</f>
        <v>Unsure</v>
      </c>
      <c r="F60" t="b">
        <f t="shared" si="10"/>
        <v>0</v>
      </c>
      <c r="G60" t="b">
        <f t="shared" si="11"/>
        <v>0</v>
      </c>
      <c r="H60" t="b">
        <f t="shared" si="12"/>
        <v>0</v>
      </c>
      <c r="I60" t="b">
        <f t="shared" si="13"/>
        <v>0</v>
      </c>
      <c r="J60" t="b">
        <f t="shared" si="14"/>
        <v>0</v>
      </c>
      <c r="K60" t="b">
        <f t="shared" si="15"/>
        <v>0</v>
      </c>
      <c r="L60" t="b">
        <f t="shared" si="16"/>
        <v>1</v>
      </c>
      <c r="M60" t="b">
        <f t="shared" si="17"/>
        <v>0</v>
      </c>
      <c r="N60" s="535"/>
      <c r="O60" s="558"/>
      <c r="R60" s="535"/>
      <c r="S60" s="558"/>
      <c r="V60" s="535"/>
      <c r="W60" s="558"/>
      <c r="Z60" s="535"/>
      <c r="AA60" s="558"/>
      <c r="AD60" s="535"/>
      <c r="AE60" s="558"/>
      <c r="AH60" s="535"/>
      <c r="AI60" s="558"/>
      <c r="AL60" s="535"/>
      <c r="AP60" s="535"/>
    </row>
    <row r="61">
      <c r="A61" s="552"/>
      <c r="B61" s="552"/>
      <c r="C61" t="str">
        <f>Filtered!I51</f>
        <v>Global Environmental Change</v>
      </c>
      <c r="D61" t="str">
        <f>Filtered!J51</f>
        <v>Social Sciences</v>
      </c>
      <c r="E61" t="str">
        <f>Filtered!AD51</f>
        <v>Unsure</v>
      </c>
      <c r="F61" t="b">
        <f t="shared" si="10"/>
        <v>0</v>
      </c>
      <c r="G61" t="b">
        <f t="shared" si="11"/>
        <v>0</v>
      </c>
      <c r="H61" t="b">
        <f t="shared" si="12"/>
        <v>0</v>
      </c>
      <c r="I61" t="b">
        <f t="shared" si="13"/>
        <v>0</v>
      </c>
      <c r="J61" t="b">
        <f t="shared" si="14"/>
        <v>0</v>
      </c>
      <c r="K61" t="b">
        <f t="shared" si="15"/>
        <v>0</v>
      </c>
      <c r="L61" t="b">
        <f t="shared" si="16"/>
        <v>0</v>
      </c>
      <c r="M61" t="b">
        <f t="shared" si="17"/>
        <v>1</v>
      </c>
      <c r="N61" s="535"/>
      <c r="O61" s="558"/>
      <c r="R61" s="535"/>
      <c r="S61" s="558"/>
      <c r="V61" s="535"/>
      <c r="W61" s="558"/>
      <c r="Z61" s="535"/>
      <c r="AA61" s="558"/>
      <c r="AD61" s="535"/>
      <c r="AE61" s="558"/>
      <c r="AH61" s="535"/>
      <c r="AI61" s="558"/>
      <c r="AL61" s="535"/>
      <c r="AP61" s="535"/>
    </row>
    <row r="62">
      <c r="A62" s="552"/>
      <c r="B62" s="552"/>
      <c r="C62" t="str">
        <f>Filtered!I52</f>
        <v>Government Information Quarterly</v>
      </c>
      <c r="D62" t="str">
        <f>Filtered!J52</f>
        <v>Social Sciences</v>
      </c>
      <c r="E62" t="str">
        <f>Filtered!AD52</f>
        <v>Unsure</v>
      </c>
      <c r="F62" t="b">
        <f t="shared" si="10"/>
        <v>0</v>
      </c>
      <c r="G62" t="b">
        <f t="shared" si="11"/>
        <v>0</v>
      </c>
      <c r="H62" t="b">
        <f t="shared" si="12"/>
        <v>0</v>
      </c>
      <c r="I62" t="b">
        <f t="shared" si="13"/>
        <v>0</v>
      </c>
      <c r="J62" t="b">
        <f t="shared" si="14"/>
        <v>0</v>
      </c>
      <c r="K62" t="b">
        <f t="shared" si="15"/>
        <v>0</v>
      </c>
      <c r="L62" t="b">
        <f t="shared" si="16"/>
        <v>0</v>
      </c>
      <c r="M62" t="b">
        <f t="shared" si="17"/>
        <v>1</v>
      </c>
      <c r="N62" s="535"/>
      <c r="O62" s="558"/>
      <c r="R62" s="535"/>
      <c r="S62" s="558"/>
      <c r="V62" s="535"/>
      <c r="W62" s="558"/>
      <c r="Z62" s="535"/>
      <c r="AA62" s="558"/>
      <c r="AD62" s="535"/>
      <c r="AE62" s="558"/>
      <c r="AH62" s="535"/>
      <c r="AI62" s="558"/>
      <c r="AL62" s="535"/>
      <c r="AP62" s="535"/>
    </row>
    <row r="63">
      <c r="A63" s="552"/>
      <c r="B63" s="552"/>
      <c r="C63" t="str">
        <f>Filtered!I53</f>
        <v>Gut</v>
      </c>
      <c r="D63" t="str">
        <f>Filtered!J53</f>
        <v/>
      </c>
      <c r="E63" t="str">
        <f>Filtered!AD53</f>
        <v>Yes</v>
      </c>
      <c r="F63" t="b">
        <f t="shared" si="10"/>
        <v>0</v>
      </c>
      <c r="G63" t="b">
        <f t="shared" si="11"/>
        <v>0</v>
      </c>
      <c r="H63" t="b">
        <f t="shared" si="12"/>
        <v>0</v>
      </c>
      <c r="I63" t="b">
        <f t="shared" si="13"/>
        <v>0</v>
      </c>
      <c r="J63" t="b">
        <f t="shared" si="14"/>
        <v>0</v>
      </c>
      <c r="K63" t="b">
        <f t="shared" si="15"/>
        <v>0</v>
      </c>
      <c r="L63" t="b">
        <f t="shared" si="16"/>
        <v>0</v>
      </c>
      <c r="M63" t="b">
        <f t="shared" si="17"/>
        <v>0</v>
      </c>
      <c r="N63" s="535"/>
      <c r="O63" s="558"/>
      <c r="R63" s="535"/>
      <c r="S63" s="558"/>
      <c r="V63" s="535"/>
      <c r="W63" s="558"/>
      <c r="Z63" s="535"/>
      <c r="AA63" s="558"/>
      <c r="AD63" s="535"/>
      <c r="AE63" s="558"/>
      <c r="AH63" s="535"/>
      <c r="AI63" s="558"/>
      <c r="AL63" s="535"/>
      <c r="AP63" s="535"/>
    </row>
    <row r="64">
      <c r="A64" s="552"/>
      <c r="B64" s="552"/>
      <c r="C64" t="str">
        <f>Filtered!I54</f>
        <v>Health Affairs</v>
      </c>
      <c r="D64" t="str">
        <f>Filtered!J54</f>
        <v>Social Sciences</v>
      </c>
      <c r="E64" t="str">
        <f>Filtered!AD54</f>
        <v>Yes</v>
      </c>
      <c r="F64" t="b">
        <f t="shared" si="10"/>
        <v>0</v>
      </c>
      <c r="G64" t="b">
        <f t="shared" si="11"/>
        <v>0</v>
      </c>
      <c r="H64" t="b">
        <f t="shared" si="12"/>
        <v>0</v>
      </c>
      <c r="I64" t="b">
        <f t="shared" si="13"/>
        <v>0</v>
      </c>
      <c r="J64" t="b">
        <f t="shared" si="14"/>
        <v>0</v>
      </c>
      <c r="K64" t="b">
        <f t="shared" si="15"/>
        <v>0</v>
      </c>
      <c r="L64" t="b">
        <f t="shared" si="16"/>
        <v>0</v>
      </c>
      <c r="M64" t="b">
        <f t="shared" si="17"/>
        <v>1</v>
      </c>
      <c r="N64" s="535"/>
      <c r="O64" s="558"/>
      <c r="R64" s="535"/>
      <c r="S64" s="558"/>
      <c r="V64" s="535"/>
      <c r="W64" s="558"/>
      <c r="Z64" s="535"/>
      <c r="AA64" s="558"/>
      <c r="AD64" s="535"/>
      <c r="AE64" s="558"/>
      <c r="AH64" s="535"/>
      <c r="AI64" s="558"/>
      <c r="AL64" s="535"/>
      <c r="AP64" s="535"/>
    </row>
    <row r="65">
      <c r="A65" s="552"/>
      <c r="B65" s="552"/>
      <c r="C65" t="str">
        <f>Filtered!I55</f>
        <v>Hepatology</v>
      </c>
      <c r="D65" t="str">
        <f>Filtered!J55</f>
        <v/>
      </c>
      <c r="E65" t="str">
        <f>Filtered!AD55</f>
        <v>Unsure</v>
      </c>
      <c r="F65" t="b">
        <f t="shared" si="10"/>
        <v>0</v>
      </c>
      <c r="G65" t="b">
        <f t="shared" si="11"/>
        <v>0</v>
      </c>
      <c r="H65" t="b">
        <f t="shared" si="12"/>
        <v>0</v>
      </c>
      <c r="I65" t="b">
        <f t="shared" si="13"/>
        <v>0</v>
      </c>
      <c r="J65" t="b">
        <f t="shared" si="14"/>
        <v>0</v>
      </c>
      <c r="K65" t="b">
        <f t="shared" si="15"/>
        <v>0</v>
      </c>
      <c r="L65" t="b">
        <f t="shared" si="16"/>
        <v>0</v>
      </c>
      <c r="M65" t="b">
        <f t="shared" si="17"/>
        <v>0</v>
      </c>
      <c r="N65" s="535"/>
      <c r="O65" s="558"/>
      <c r="R65" s="535"/>
      <c r="S65" s="558"/>
      <c r="V65" s="535"/>
      <c r="W65" s="558"/>
      <c r="Z65" s="535"/>
      <c r="AA65" s="558"/>
      <c r="AD65" s="535"/>
      <c r="AE65" s="558"/>
      <c r="AH65" s="535"/>
      <c r="AI65" s="558"/>
      <c r="AL65" s="535"/>
      <c r="AP65" s="535"/>
    </row>
    <row r="66">
      <c r="A66" s="552"/>
      <c r="B66" s="552"/>
      <c r="C66" t="str">
        <f>Filtered!I56</f>
        <v>IEEE Communications Magazine</v>
      </c>
      <c r="D66" t="str">
        <f>Filtered!J56</f>
        <v/>
      </c>
      <c r="E66" t="str">
        <f>Filtered!AD56</f>
        <v>Unsure</v>
      </c>
      <c r="F66" t="b">
        <f t="shared" si="10"/>
        <v>0</v>
      </c>
      <c r="G66" t="b">
        <f t="shared" si="11"/>
        <v>0</v>
      </c>
      <c r="H66" t="b">
        <f t="shared" si="12"/>
        <v>0</v>
      </c>
      <c r="I66" t="b">
        <f t="shared" si="13"/>
        <v>0</v>
      </c>
      <c r="J66" t="b">
        <f t="shared" si="14"/>
        <v>0</v>
      </c>
      <c r="K66" t="b">
        <f t="shared" si="15"/>
        <v>0</v>
      </c>
      <c r="L66" t="b">
        <f t="shared" si="16"/>
        <v>0</v>
      </c>
      <c r="M66" t="b">
        <f t="shared" si="17"/>
        <v>0</v>
      </c>
      <c r="N66" s="535"/>
      <c r="O66" s="558"/>
      <c r="R66" s="535"/>
      <c r="S66" s="558"/>
      <c r="V66" s="535"/>
      <c r="W66" s="558"/>
      <c r="Z66" s="535"/>
      <c r="AA66" s="558"/>
      <c r="AD66" s="535"/>
      <c r="AE66" s="558"/>
      <c r="AH66" s="535"/>
      <c r="AI66" s="558"/>
      <c r="AL66" s="535"/>
      <c r="AP66" s="535"/>
    </row>
    <row r="67">
      <c r="A67" s="552"/>
      <c r="B67" s="552"/>
      <c r="C67" t="str">
        <f>Filtered!I57</f>
        <v>IEEE Communications Surveys &amp; Tutorials</v>
      </c>
      <c r="D67" t="str">
        <f>Filtered!J57</f>
        <v>Engineering &amp; Computer Science</v>
      </c>
      <c r="E67" t="str">
        <f>Filtered!AD57</f>
        <v>Unsure</v>
      </c>
      <c r="F67" t="b">
        <f t="shared" si="10"/>
        <v>0</v>
      </c>
      <c r="G67" t="b">
        <f t="shared" si="11"/>
        <v>0</v>
      </c>
      <c r="H67" t="b">
        <f t="shared" si="12"/>
        <v>1</v>
      </c>
      <c r="I67" t="b">
        <f t="shared" si="13"/>
        <v>0</v>
      </c>
      <c r="J67" t="b">
        <f t="shared" si="14"/>
        <v>0</v>
      </c>
      <c r="K67" t="b">
        <f t="shared" si="15"/>
        <v>0</v>
      </c>
      <c r="L67" t="b">
        <f t="shared" si="16"/>
        <v>0</v>
      </c>
      <c r="M67" t="b">
        <f t="shared" si="17"/>
        <v>0</v>
      </c>
      <c r="N67" s="535"/>
      <c r="O67" s="558"/>
      <c r="R67" s="535"/>
      <c r="S67" s="558"/>
      <c r="V67" s="535"/>
      <c r="W67" s="558"/>
      <c r="Z67" s="535"/>
      <c r="AA67" s="558"/>
      <c r="AD67" s="535"/>
      <c r="AE67" s="558"/>
      <c r="AH67" s="535"/>
      <c r="AI67" s="558"/>
      <c r="AL67" s="535"/>
      <c r="AP67" s="535"/>
    </row>
    <row r="68">
      <c r="A68" s="552"/>
      <c r="B68" s="552"/>
      <c r="C68" t="str">
        <f>Filtered!I58</f>
        <v>IEEE Conference on Computer Vision and Pattern Recognition, CVPR</v>
      </c>
      <c r="D68" t="str">
        <f>Filtered!J58</f>
        <v>Engineering &amp; Computer Science</v>
      </c>
      <c r="E68" t="str">
        <f>Filtered!AD58</f>
        <v>Yes</v>
      </c>
      <c r="F68" t="b">
        <f t="shared" si="10"/>
        <v>0</v>
      </c>
      <c r="G68" t="b">
        <f t="shared" si="11"/>
        <v>0</v>
      </c>
      <c r="H68" t="b">
        <f t="shared" si="12"/>
        <v>1</v>
      </c>
      <c r="I68" t="b">
        <f t="shared" si="13"/>
        <v>0</v>
      </c>
      <c r="J68" t="b">
        <f t="shared" si="14"/>
        <v>0</v>
      </c>
      <c r="K68" t="b">
        <f t="shared" si="15"/>
        <v>0</v>
      </c>
      <c r="L68" t="b">
        <f t="shared" si="16"/>
        <v>0</v>
      </c>
      <c r="M68" t="b">
        <f t="shared" si="17"/>
        <v>0</v>
      </c>
      <c r="N68" s="535"/>
      <c r="O68" s="558"/>
      <c r="R68" s="535"/>
      <c r="S68" s="558"/>
      <c r="V68" s="535"/>
      <c r="W68" s="558"/>
      <c r="Z68" s="535"/>
      <c r="AA68" s="558"/>
      <c r="AD68" s="535"/>
      <c r="AE68" s="558"/>
      <c r="AH68" s="535"/>
      <c r="AI68" s="558"/>
      <c r="AL68" s="535"/>
      <c r="AP68" s="535"/>
    </row>
    <row r="69">
      <c r="A69" s="552"/>
      <c r="B69" s="552"/>
      <c r="C69" t="str">
        <f>Filtered!I59</f>
        <v>IEEE International Conference on Computer Vision</v>
      </c>
      <c r="D69" t="str">
        <f>Filtered!J59</f>
        <v>Engineering &amp; Computer Science</v>
      </c>
      <c r="E69" t="str">
        <f>Filtered!AD59</f>
        <v>Yes</v>
      </c>
      <c r="F69" t="b">
        <f t="shared" si="10"/>
        <v>0</v>
      </c>
      <c r="G69" t="b">
        <f t="shared" si="11"/>
        <v>0</v>
      </c>
      <c r="H69" t="b">
        <f t="shared" si="12"/>
        <v>1</v>
      </c>
      <c r="I69" t="b">
        <f t="shared" si="13"/>
        <v>0</v>
      </c>
      <c r="J69" t="b">
        <f t="shared" si="14"/>
        <v>0</v>
      </c>
      <c r="K69" t="b">
        <f t="shared" si="15"/>
        <v>0</v>
      </c>
      <c r="L69" t="b">
        <f t="shared" si="16"/>
        <v>0</v>
      </c>
      <c r="M69" t="b">
        <f t="shared" si="17"/>
        <v>0</v>
      </c>
      <c r="N69" s="535"/>
      <c r="O69" s="558"/>
      <c r="R69" s="535"/>
      <c r="S69" s="558"/>
      <c r="V69" s="535"/>
      <c r="W69" s="558"/>
      <c r="Z69" s="535"/>
      <c r="AA69" s="558"/>
      <c r="AD69" s="535"/>
      <c r="AE69" s="558"/>
      <c r="AH69" s="535"/>
      <c r="AI69" s="558"/>
      <c r="AL69" s="535"/>
      <c r="AP69" s="535"/>
    </row>
    <row r="70">
      <c r="A70" s="552"/>
      <c r="B70" s="552"/>
      <c r="C70" t="str">
        <f>Filtered!I60</f>
        <v>IEEE Transactions on Automatic Control</v>
      </c>
      <c r="D70" t="str">
        <f>Filtered!J60</f>
        <v>Physics &amp; Mathematics</v>
      </c>
      <c r="E70" t="str">
        <f>Filtered!AD60</f>
        <v>Unsure</v>
      </c>
      <c r="F70" t="b">
        <f t="shared" si="10"/>
        <v>0</v>
      </c>
      <c r="G70" t="b">
        <f t="shared" si="11"/>
        <v>0</v>
      </c>
      <c r="H70" t="b">
        <f t="shared" si="12"/>
        <v>0</v>
      </c>
      <c r="I70" t="b">
        <f t="shared" si="13"/>
        <v>0</v>
      </c>
      <c r="J70" t="b">
        <f t="shared" si="14"/>
        <v>0</v>
      </c>
      <c r="K70" t="b">
        <f t="shared" si="15"/>
        <v>0</v>
      </c>
      <c r="L70" t="b">
        <f t="shared" si="16"/>
        <v>1</v>
      </c>
      <c r="M70" t="b">
        <f t="shared" si="17"/>
        <v>0</v>
      </c>
      <c r="N70" s="535"/>
      <c r="O70" s="558"/>
      <c r="R70" s="535"/>
      <c r="S70" s="558"/>
      <c r="V70" s="535"/>
      <c r="W70" s="558"/>
      <c r="Z70" s="535"/>
      <c r="AA70" s="558"/>
      <c r="AD70" s="535"/>
      <c r="AE70" s="558"/>
      <c r="AH70" s="535"/>
      <c r="AI70" s="558"/>
      <c r="AL70" s="535"/>
      <c r="AP70" s="535"/>
    </row>
    <row r="71">
      <c r="A71" s="552"/>
      <c r="B71" s="552"/>
      <c r="C71" t="str">
        <f>Filtered!I61</f>
        <v>IEEE Transactions on Industrial Electronics</v>
      </c>
      <c r="D71" t="str">
        <f>Filtered!J61</f>
        <v>Engineering &amp; Computer Science</v>
      </c>
      <c r="E71" t="str">
        <f>Filtered!AD61</f>
        <v>Unsure</v>
      </c>
      <c r="F71" t="b">
        <f t="shared" si="10"/>
        <v>0</v>
      </c>
      <c r="G71" t="b">
        <f t="shared" si="11"/>
        <v>0</v>
      </c>
      <c r="H71" t="b">
        <f t="shared" si="12"/>
        <v>1</v>
      </c>
      <c r="I71" t="b">
        <f t="shared" si="13"/>
        <v>0</v>
      </c>
      <c r="J71" t="b">
        <f t="shared" si="14"/>
        <v>0</v>
      </c>
      <c r="K71" t="b">
        <f t="shared" si="15"/>
        <v>0</v>
      </c>
      <c r="L71" t="b">
        <f t="shared" si="16"/>
        <v>0</v>
      </c>
      <c r="M71" t="b">
        <f t="shared" si="17"/>
        <v>0</v>
      </c>
      <c r="N71" s="535"/>
      <c r="O71" s="558"/>
      <c r="R71" s="535"/>
      <c r="S71" s="558"/>
      <c r="V71" s="535"/>
      <c r="W71" s="558"/>
      <c r="Z71" s="535"/>
      <c r="AA71" s="558"/>
      <c r="AD71" s="535"/>
      <c r="AE71" s="558"/>
      <c r="AH71" s="535"/>
      <c r="AI71" s="558"/>
      <c r="AL71" s="535"/>
      <c r="AP71" s="535"/>
    </row>
    <row r="72">
      <c r="A72" s="552"/>
      <c r="B72" s="552"/>
      <c r="C72" t="str">
        <f>Filtered!I62</f>
        <v>IEEE Transactions on Pattern Analysis and Machine Intelligence</v>
      </c>
      <c r="D72" t="str">
        <f>Filtered!J62</f>
        <v/>
      </c>
      <c r="E72" t="str">
        <f>Filtered!AD62</f>
        <v>Unsure</v>
      </c>
      <c r="F72" t="b">
        <f t="shared" si="10"/>
        <v>0</v>
      </c>
      <c r="G72" t="b">
        <f t="shared" si="11"/>
        <v>0</v>
      </c>
      <c r="H72" t="b">
        <f t="shared" si="12"/>
        <v>0</v>
      </c>
      <c r="I72" t="b">
        <f t="shared" si="13"/>
        <v>0</v>
      </c>
      <c r="J72" t="b">
        <f t="shared" si="14"/>
        <v>0</v>
      </c>
      <c r="K72" t="b">
        <f t="shared" si="15"/>
        <v>0</v>
      </c>
      <c r="L72" t="b">
        <f t="shared" si="16"/>
        <v>0</v>
      </c>
      <c r="M72" t="b">
        <f t="shared" si="17"/>
        <v>0</v>
      </c>
      <c r="N72" s="535"/>
      <c r="O72" s="558"/>
      <c r="R72" s="535"/>
      <c r="S72" s="558"/>
      <c r="V72" s="535"/>
      <c r="W72" s="558"/>
      <c r="Z72" s="535"/>
      <c r="AA72" s="558"/>
      <c r="AD72" s="535"/>
      <c r="AE72" s="558"/>
      <c r="AH72" s="535"/>
      <c r="AI72" s="558"/>
      <c r="AL72" s="535"/>
      <c r="AP72" s="535"/>
    </row>
    <row r="73">
      <c r="A73" s="552"/>
      <c r="B73" s="552"/>
      <c r="C73" t="str">
        <f>Filtered!I63</f>
        <v>IEEE Transactions on Power Electronics</v>
      </c>
      <c r="D73" t="str">
        <f>Filtered!J63</f>
        <v>Engineering &amp; Computer Science</v>
      </c>
      <c r="E73" t="str">
        <f>Filtered!AD63</f>
        <v>Unsure</v>
      </c>
      <c r="F73" t="b">
        <f t="shared" si="10"/>
        <v>0</v>
      </c>
      <c r="G73" t="b">
        <f t="shared" si="11"/>
        <v>0</v>
      </c>
      <c r="H73" t="b">
        <f t="shared" si="12"/>
        <v>1</v>
      </c>
      <c r="I73" t="b">
        <f t="shared" si="13"/>
        <v>0</v>
      </c>
      <c r="J73" t="b">
        <f t="shared" si="14"/>
        <v>0</v>
      </c>
      <c r="K73" t="b">
        <f t="shared" si="15"/>
        <v>0</v>
      </c>
      <c r="L73" t="b">
        <f t="shared" si="16"/>
        <v>0</v>
      </c>
      <c r="M73" t="b">
        <f t="shared" si="17"/>
        <v>0</v>
      </c>
      <c r="N73" s="535"/>
      <c r="O73" s="558"/>
      <c r="R73" s="535"/>
      <c r="S73" s="558"/>
      <c r="V73" s="535"/>
      <c r="W73" s="558"/>
      <c r="Z73" s="535"/>
      <c r="AA73" s="558"/>
      <c r="AD73" s="535"/>
      <c r="AE73" s="558"/>
      <c r="AH73" s="535"/>
      <c r="AI73" s="558"/>
      <c r="AL73" s="535"/>
      <c r="AP73" s="535"/>
    </row>
    <row r="74">
      <c r="A74" s="552"/>
      <c r="B74" s="552"/>
      <c r="C74" t="str">
        <f>Filtered!I64</f>
        <v>IEEE Transactions on Signal Processing</v>
      </c>
      <c r="D74" t="str">
        <f>Filtered!J64</f>
        <v>Physics &amp; Mathematics</v>
      </c>
      <c r="E74" t="str">
        <f>Filtered!AD64</f>
        <v>Unsure</v>
      </c>
      <c r="F74" t="b">
        <f t="shared" si="10"/>
        <v>0</v>
      </c>
      <c r="G74" t="b">
        <f t="shared" si="11"/>
        <v>0</v>
      </c>
      <c r="H74" t="b">
        <f t="shared" si="12"/>
        <v>0</v>
      </c>
      <c r="I74" t="b">
        <f t="shared" si="13"/>
        <v>0</v>
      </c>
      <c r="J74" t="b">
        <f t="shared" si="14"/>
        <v>0</v>
      </c>
      <c r="K74" t="b">
        <f t="shared" si="15"/>
        <v>0</v>
      </c>
      <c r="L74" t="b">
        <f t="shared" si="16"/>
        <v>1</v>
      </c>
      <c r="M74" t="b">
        <f t="shared" si="17"/>
        <v>0</v>
      </c>
      <c r="N74" s="535"/>
      <c r="O74" s="558"/>
      <c r="R74" s="535"/>
      <c r="S74" s="558"/>
      <c r="V74" s="535"/>
      <c r="W74" s="558"/>
      <c r="Z74" s="535"/>
      <c r="AA74" s="558"/>
      <c r="AD74" s="535"/>
      <c r="AE74" s="558"/>
      <c r="AH74" s="535"/>
      <c r="AI74" s="558"/>
      <c r="AL74" s="535"/>
      <c r="AP74" s="535"/>
    </row>
    <row r="75">
      <c r="A75" s="552"/>
      <c r="B75" s="552"/>
      <c r="C75" t="str">
        <f>Filtered!I65</f>
        <v>Immunity</v>
      </c>
      <c r="D75" t="str">
        <f>Filtered!J65</f>
        <v>Health &amp; Medical Sciences</v>
      </c>
      <c r="E75" t="str">
        <f>Filtered!AD65</f>
        <v>Unsure</v>
      </c>
      <c r="F75" t="b">
        <f t="shared" si="10"/>
        <v>0</v>
      </c>
      <c r="G75" t="b">
        <f t="shared" si="11"/>
        <v>0</v>
      </c>
      <c r="H75" t="b">
        <f t="shared" si="12"/>
        <v>0</v>
      </c>
      <c r="I75" t="b">
        <f t="shared" si="13"/>
        <v>1</v>
      </c>
      <c r="J75" t="b">
        <f t="shared" si="14"/>
        <v>0</v>
      </c>
      <c r="K75" t="b">
        <f t="shared" si="15"/>
        <v>0</v>
      </c>
      <c r="L75" t="b">
        <f t="shared" si="16"/>
        <v>0</v>
      </c>
      <c r="M75" t="b">
        <f t="shared" si="17"/>
        <v>0</v>
      </c>
      <c r="N75" s="535"/>
      <c r="O75" s="558"/>
      <c r="R75" s="535"/>
      <c r="S75" s="558"/>
      <c r="V75" s="535"/>
      <c r="W75" s="558"/>
      <c r="Z75" s="535"/>
      <c r="AA75" s="558"/>
      <c r="AD75" s="535"/>
      <c r="AE75" s="558"/>
      <c r="AH75" s="535"/>
      <c r="AI75" s="558"/>
      <c r="AL75" s="535"/>
      <c r="AP75" s="535"/>
    </row>
    <row r="76">
      <c r="A76" s="552"/>
      <c r="B76" s="552"/>
      <c r="C76" t="str">
        <f>Filtered!I66</f>
        <v>International Journal of Communication</v>
      </c>
      <c r="D76" t="str">
        <f>Filtered!J66</f>
        <v>Humanities, Literature &amp; Arts</v>
      </c>
      <c r="E76" t="str">
        <f>Filtered!AD66</f>
        <v>Unsure</v>
      </c>
      <c r="F76" t="b">
        <f t="shared" si="10"/>
        <v>0</v>
      </c>
      <c r="G76" t="b">
        <f t="shared" si="11"/>
        <v>0</v>
      </c>
      <c r="H76" t="b">
        <f t="shared" si="12"/>
        <v>0</v>
      </c>
      <c r="I76" t="b">
        <f t="shared" si="13"/>
        <v>0</v>
      </c>
      <c r="J76" t="b">
        <f t="shared" si="14"/>
        <v>1</v>
      </c>
      <c r="K76" t="b">
        <f t="shared" si="15"/>
        <v>0</v>
      </c>
      <c r="L76" t="b">
        <f t="shared" si="16"/>
        <v>0</v>
      </c>
      <c r="M76" t="b">
        <f t="shared" si="17"/>
        <v>0</v>
      </c>
      <c r="N76" s="535"/>
      <c r="O76" s="558"/>
      <c r="R76" s="535"/>
      <c r="S76" s="558"/>
      <c r="V76" s="535"/>
      <c r="W76" s="558"/>
      <c r="Z76" s="535"/>
      <c r="AA76" s="558"/>
      <c r="AD76" s="535"/>
      <c r="AE76" s="558"/>
      <c r="AH76" s="535"/>
      <c r="AI76" s="558"/>
      <c r="AL76" s="535"/>
      <c r="AP76" s="535"/>
    </row>
    <row r="77">
      <c r="A77" s="552"/>
      <c r="B77" s="552"/>
      <c r="C77" t="str">
        <f>Filtered!I67</f>
        <v>International Journal of Production Economics</v>
      </c>
      <c r="D77" t="str">
        <f>Filtered!J67</f>
        <v>Business, Economics &amp; Management</v>
      </c>
      <c r="E77" t="str">
        <f>Filtered!AD67</f>
        <v>Unsure</v>
      </c>
      <c r="F77" t="b">
        <f t="shared" si="10"/>
        <v>1</v>
      </c>
      <c r="G77" t="b">
        <f t="shared" si="11"/>
        <v>0</v>
      </c>
      <c r="H77" t="b">
        <f t="shared" si="12"/>
        <v>0</v>
      </c>
      <c r="I77" t="b">
        <f t="shared" si="13"/>
        <v>0</v>
      </c>
      <c r="J77" t="b">
        <f t="shared" si="14"/>
        <v>0</v>
      </c>
      <c r="K77" t="b">
        <f t="shared" si="15"/>
        <v>0</v>
      </c>
      <c r="L77" t="b">
        <f t="shared" si="16"/>
        <v>0</v>
      </c>
      <c r="M77" t="b">
        <f t="shared" si="17"/>
        <v>0</v>
      </c>
      <c r="N77" s="535"/>
      <c r="O77" s="558"/>
      <c r="R77" s="535"/>
      <c r="S77" s="558"/>
      <c r="V77" s="535"/>
      <c r="W77" s="558"/>
      <c r="Z77" s="535"/>
      <c r="AA77" s="558"/>
      <c r="AD77" s="535"/>
      <c r="AE77" s="558"/>
      <c r="AH77" s="535"/>
      <c r="AI77" s="558"/>
      <c r="AL77" s="535"/>
      <c r="AP77" s="535"/>
    </row>
    <row r="78">
      <c r="A78" s="552"/>
      <c r="B78" s="552"/>
      <c r="C78" t="str">
        <f>Filtered!I68</f>
        <v>Journal of the American Medical Association</v>
      </c>
      <c r="D78" t="str">
        <f>Filtered!J68</f>
        <v>Health &amp; Medical Sciences</v>
      </c>
      <c r="E78" t="str">
        <f>Filtered!AD68</f>
        <v>Unsure</v>
      </c>
      <c r="F78" t="b">
        <f t="shared" si="10"/>
        <v>0</v>
      </c>
      <c r="G78" t="b">
        <f t="shared" si="11"/>
        <v>0</v>
      </c>
      <c r="H78" t="b">
        <f t="shared" si="12"/>
        <v>0</v>
      </c>
      <c r="I78" t="b">
        <f t="shared" si="13"/>
        <v>1</v>
      </c>
      <c r="J78" t="b">
        <f t="shared" si="14"/>
        <v>0</v>
      </c>
      <c r="K78" t="b">
        <f t="shared" si="15"/>
        <v>0</v>
      </c>
      <c r="L78" t="b">
        <f t="shared" si="16"/>
        <v>0</v>
      </c>
      <c r="M78" t="b">
        <f t="shared" si="17"/>
        <v>0</v>
      </c>
      <c r="N78" s="535"/>
      <c r="O78" s="558"/>
      <c r="R78" s="535"/>
      <c r="S78" s="558"/>
      <c r="V78" s="535"/>
      <c r="W78" s="558"/>
      <c r="Z78" s="535"/>
      <c r="AA78" s="558"/>
      <c r="AD78" s="535"/>
      <c r="AE78" s="558"/>
      <c r="AH78" s="535"/>
      <c r="AI78" s="558"/>
      <c r="AL78" s="535"/>
      <c r="AP78" s="535"/>
    </row>
    <row r="79">
      <c r="A79" s="552"/>
      <c r="B79" s="552"/>
      <c r="C79" t="str">
        <f>Filtered!I69</f>
        <v>Journal of Allergy and Clinical Immunology</v>
      </c>
      <c r="D79" t="str">
        <f>Filtered!J69</f>
        <v/>
      </c>
      <c r="E79" t="str">
        <f>Filtered!AD69</f>
        <v>Unsure</v>
      </c>
      <c r="F79" t="b">
        <f t="shared" si="10"/>
        <v>0</v>
      </c>
      <c r="G79" t="b">
        <f t="shared" si="11"/>
        <v>0</v>
      </c>
      <c r="H79" t="b">
        <f t="shared" si="12"/>
        <v>0</v>
      </c>
      <c r="I79" t="b">
        <f t="shared" si="13"/>
        <v>0</v>
      </c>
      <c r="J79" t="b">
        <f t="shared" si="14"/>
        <v>0</v>
      </c>
      <c r="K79" t="b">
        <f t="shared" si="15"/>
        <v>0</v>
      </c>
      <c r="L79" t="b">
        <f t="shared" si="16"/>
        <v>0</v>
      </c>
      <c r="M79" t="b">
        <f t="shared" si="17"/>
        <v>0</v>
      </c>
      <c r="N79" s="535"/>
      <c r="O79" s="558"/>
      <c r="R79" s="535"/>
      <c r="S79" s="558"/>
      <c r="V79" s="535"/>
      <c r="W79" s="558"/>
      <c r="Z79" s="535"/>
      <c r="AA79" s="558"/>
      <c r="AD79" s="535"/>
      <c r="AE79" s="558"/>
      <c r="AH79" s="535"/>
      <c r="AI79" s="558"/>
      <c r="AL79" s="535"/>
      <c r="AP79" s="535"/>
    </row>
    <row r="80">
      <c r="A80" s="552"/>
      <c r="B80" s="552"/>
      <c r="C80" t="str">
        <f>Filtered!I70</f>
        <v>Journal of Banking &amp; Finance</v>
      </c>
      <c r="D80" t="str">
        <f>Filtered!J70</f>
        <v>Business, Economics &amp; Management</v>
      </c>
      <c r="E80" t="str">
        <f>Filtered!AD70</f>
        <v>Unsure</v>
      </c>
      <c r="F80" t="b">
        <f t="shared" si="10"/>
        <v>1</v>
      </c>
      <c r="G80" t="b">
        <f t="shared" si="11"/>
        <v>0</v>
      </c>
      <c r="H80" t="b">
        <f t="shared" si="12"/>
        <v>0</v>
      </c>
      <c r="I80" t="b">
        <f t="shared" si="13"/>
        <v>0</v>
      </c>
      <c r="J80" t="b">
        <f t="shared" si="14"/>
        <v>0</v>
      </c>
      <c r="K80" t="b">
        <f t="shared" si="15"/>
        <v>0</v>
      </c>
      <c r="L80" t="b">
        <f t="shared" si="16"/>
        <v>0</v>
      </c>
      <c r="M80" t="b">
        <f t="shared" si="17"/>
        <v>0</v>
      </c>
      <c r="N80" s="535"/>
      <c r="O80" s="558"/>
      <c r="R80" s="535"/>
      <c r="S80" s="558"/>
      <c r="V80" s="535"/>
      <c r="W80" s="558"/>
      <c r="Z80" s="535"/>
      <c r="AA80" s="558"/>
      <c r="AD80" s="535"/>
      <c r="AE80" s="558"/>
      <c r="AH80" s="535"/>
      <c r="AI80" s="558"/>
      <c r="AL80" s="535"/>
      <c r="AP80" s="535"/>
    </row>
    <row r="81">
      <c r="A81" s="552"/>
      <c r="B81" s="552"/>
      <c r="C81" t="str">
        <f>Filtered!I71</f>
        <v>Journal of Business Ethics</v>
      </c>
      <c r="D81" t="str">
        <f>Filtered!J71</f>
        <v>Business, Economics &amp; Management,
Social Sciences</v>
      </c>
      <c r="E81" t="str">
        <f>Filtered!AD71</f>
        <v>Unsure</v>
      </c>
      <c r="F81" t="b">
        <f t="shared" si="10"/>
        <v>1</v>
      </c>
      <c r="G81" t="b">
        <f t="shared" si="11"/>
        <v>0</v>
      </c>
      <c r="H81" t="b">
        <f t="shared" si="12"/>
        <v>0</v>
      </c>
      <c r="I81" t="b">
        <f t="shared" si="13"/>
        <v>0</v>
      </c>
      <c r="J81" t="b">
        <f t="shared" si="14"/>
        <v>0</v>
      </c>
      <c r="K81" t="b">
        <f t="shared" si="15"/>
        <v>0</v>
      </c>
      <c r="L81" t="b">
        <f t="shared" si="16"/>
        <v>0</v>
      </c>
      <c r="M81" t="b">
        <f t="shared" si="17"/>
        <v>1</v>
      </c>
      <c r="N81" s="535"/>
      <c r="O81" s="558"/>
      <c r="R81" s="535"/>
      <c r="S81" s="558"/>
      <c r="V81" s="535"/>
      <c r="W81" s="558"/>
      <c r="Z81" s="535"/>
      <c r="AA81" s="558"/>
      <c r="AD81" s="535"/>
      <c r="AE81" s="558"/>
      <c r="AH81" s="535"/>
      <c r="AI81" s="558"/>
      <c r="AL81" s="535"/>
      <c r="AP81" s="535"/>
    </row>
    <row r="82">
      <c r="A82" s="552"/>
      <c r="B82" s="552"/>
      <c r="C82" t="str">
        <f>Filtered!I72</f>
        <v>Journal of Business Research</v>
      </c>
      <c r="D82" t="str">
        <f>Filtered!J72</f>
        <v>Business, Economics &amp; Management</v>
      </c>
      <c r="E82" t="str">
        <f>Filtered!AD72</f>
        <v>Unsure</v>
      </c>
      <c r="F82" t="b">
        <f t="shared" si="10"/>
        <v>1</v>
      </c>
      <c r="G82" t="b">
        <f t="shared" si="11"/>
        <v>0</v>
      </c>
      <c r="H82" t="b">
        <f t="shared" si="12"/>
        <v>0</v>
      </c>
      <c r="I82" t="b">
        <f t="shared" si="13"/>
        <v>0</v>
      </c>
      <c r="J82" t="b">
        <f t="shared" si="14"/>
        <v>0</v>
      </c>
      <c r="K82" t="b">
        <f t="shared" si="15"/>
        <v>0</v>
      </c>
      <c r="L82" t="b">
        <f t="shared" si="16"/>
        <v>0</v>
      </c>
      <c r="M82" t="b">
        <f t="shared" si="17"/>
        <v>0</v>
      </c>
      <c r="N82" s="535"/>
      <c r="O82" s="558"/>
      <c r="R82" s="535"/>
      <c r="S82" s="558"/>
      <c r="V82" s="535"/>
      <c r="W82" s="558"/>
      <c r="Z82" s="535"/>
      <c r="AA82" s="558"/>
      <c r="AD82" s="535"/>
      <c r="AE82" s="558"/>
      <c r="AH82" s="535"/>
      <c r="AI82" s="558"/>
      <c r="AL82" s="535"/>
      <c r="AP82" s="535"/>
    </row>
    <row r="83">
      <c r="A83" s="552"/>
      <c r="B83" s="552"/>
      <c r="C83" t="str">
        <f>Filtered!I73</f>
        <v>Journal of Cleaner Production</v>
      </c>
      <c r="D83" t="str">
        <f>Filtered!J73</f>
        <v/>
      </c>
      <c r="E83" t="str">
        <f>Filtered!AD73</f>
        <v>Unsure</v>
      </c>
      <c r="F83" t="b">
        <f t="shared" si="10"/>
        <v>0</v>
      </c>
      <c r="G83" t="b">
        <f t="shared" si="11"/>
        <v>0</v>
      </c>
      <c r="H83" t="b">
        <f t="shared" si="12"/>
        <v>0</v>
      </c>
      <c r="I83" t="b">
        <f t="shared" si="13"/>
        <v>0</v>
      </c>
      <c r="J83" t="b">
        <f t="shared" si="14"/>
        <v>0</v>
      </c>
      <c r="K83" t="b">
        <f t="shared" si="15"/>
        <v>0</v>
      </c>
      <c r="L83" t="b">
        <f t="shared" si="16"/>
        <v>0</v>
      </c>
      <c r="M83" t="b">
        <f t="shared" si="17"/>
        <v>0</v>
      </c>
      <c r="N83" s="535"/>
      <c r="O83" s="558"/>
      <c r="R83" s="535"/>
      <c r="S83" s="558"/>
      <c r="V83" s="535"/>
      <c r="W83" s="558"/>
      <c r="Z83" s="535"/>
      <c r="AA83" s="558"/>
      <c r="AD83" s="535"/>
      <c r="AE83" s="558"/>
      <c r="AH83" s="535"/>
      <c r="AI83" s="558"/>
      <c r="AL83" s="535"/>
      <c r="AP83" s="535"/>
    </row>
    <row r="84">
      <c r="A84" s="552"/>
      <c r="B84" s="552"/>
      <c r="C84" t="str">
        <f>Filtered!I74</f>
        <v>Journal of Clinical Oncology</v>
      </c>
      <c r="D84" t="str">
        <f>Filtered!J74</f>
        <v>Health &amp; Medical Sciences</v>
      </c>
      <c r="E84" t="str">
        <f>Filtered!AD74</f>
        <v>Unsure</v>
      </c>
      <c r="F84" t="b">
        <f t="shared" si="10"/>
        <v>0</v>
      </c>
      <c r="G84" t="b">
        <f t="shared" si="11"/>
        <v>0</v>
      </c>
      <c r="H84" t="b">
        <f t="shared" si="12"/>
        <v>0</v>
      </c>
      <c r="I84" t="b">
        <f t="shared" si="13"/>
        <v>1</v>
      </c>
      <c r="J84" t="b">
        <f t="shared" si="14"/>
        <v>0</v>
      </c>
      <c r="K84" t="b">
        <f t="shared" si="15"/>
        <v>0</v>
      </c>
      <c r="L84" t="b">
        <f t="shared" si="16"/>
        <v>0</v>
      </c>
      <c r="M84" t="b">
        <f t="shared" si="17"/>
        <v>0</v>
      </c>
      <c r="N84" s="535"/>
      <c r="O84" s="558"/>
      <c r="R84" s="535"/>
      <c r="S84" s="558"/>
      <c r="V84" s="535"/>
      <c r="W84" s="558"/>
      <c r="Z84" s="535"/>
      <c r="AA84" s="558"/>
      <c r="AD84" s="535"/>
      <c r="AE84" s="558"/>
      <c r="AH84" s="535"/>
      <c r="AI84" s="558"/>
      <c r="AL84" s="535"/>
      <c r="AP84" s="535"/>
    </row>
    <row r="85">
      <c r="A85" s="552"/>
      <c r="B85" s="552"/>
      <c r="C85" t="str">
        <f>Filtered!I75</f>
        <v>Journal of Communication</v>
      </c>
      <c r="D85" t="str">
        <f>Filtered!J75</f>
        <v>Humanities, Literature &amp; Arts</v>
      </c>
      <c r="E85" t="str">
        <f>Filtered!AD75</f>
        <v>Unsure</v>
      </c>
      <c r="F85" t="b">
        <f t="shared" si="10"/>
        <v>0</v>
      </c>
      <c r="G85" t="b">
        <f t="shared" si="11"/>
        <v>0</v>
      </c>
      <c r="H85" t="b">
        <f t="shared" si="12"/>
        <v>0</v>
      </c>
      <c r="I85" t="b">
        <f t="shared" si="13"/>
        <v>0</v>
      </c>
      <c r="J85" t="b">
        <f t="shared" si="14"/>
        <v>1</v>
      </c>
      <c r="K85" t="b">
        <f t="shared" si="15"/>
        <v>0</v>
      </c>
      <c r="L85" t="b">
        <f t="shared" si="16"/>
        <v>0</v>
      </c>
      <c r="M85" t="b">
        <f t="shared" si="17"/>
        <v>0</v>
      </c>
      <c r="N85" s="535"/>
      <c r="O85" s="558"/>
      <c r="R85" s="535"/>
      <c r="S85" s="558"/>
      <c r="V85" s="535"/>
      <c r="W85" s="558"/>
      <c r="Z85" s="535"/>
      <c r="AA85" s="558"/>
      <c r="AD85" s="535"/>
      <c r="AE85" s="558"/>
      <c r="AH85" s="535"/>
      <c r="AI85" s="558"/>
      <c r="AL85" s="535"/>
      <c r="AP85" s="535"/>
    </row>
    <row r="86">
      <c r="A86" s="552"/>
      <c r="B86" s="552"/>
      <c r="C86" t="str">
        <f>Filtered!I76</f>
        <v>Journal of Cosmology and Astroparticle Physics</v>
      </c>
      <c r="D86" t="str">
        <f>Filtered!J76</f>
        <v>Physics &amp; Mathematics</v>
      </c>
      <c r="E86" t="str">
        <f>Filtered!AD76</f>
        <v>No</v>
      </c>
      <c r="F86" t="b">
        <f t="shared" si="10"/>
        <v>0</v>
      </c>
      <c r="G86" t="b">
        <f t="shared" si="11"/>
        <v>0</v>
      </c>
      <c r="H86" t="b">
        <f t="shared" si="12"/>
        <v>0</v>
      </c>
      <c r="I86" t="b">
        <f t="shared" si="13"/>
        <v>0</v>
      </c>
      <c r="J86" t="b">
        <f t="shared" si="14"/>
        <v>0</v>
      </c>
      <c r="K86" t="b">
        <f t="shared" si="15"/>
        <v>0</v>
      </c>
      <c r="L86" t="b">
        <f t="shared" si="16"/>
        <v>1</v>
      </c>
      <c r="M86" t="b">
        <f t="shared" si="17"/>
        <v>0</v>
      </c>
      <c r="N86" s="535"/>
      <c r="O86" s="558"/>
      <c r="R86" s="535"/>
      <c r="S86" s="558"/>
      <c r="V86" s="535"/>
      <c r="W86" s="558"/>
      <c r="Z86" s="535"/>
      <c r="AA86" s="558"/>
      <c r="AD86" s="535"/>
      <c r="AE86" s="558"/>
      <c r="AH86" s="535"/>
      <c r="AI86" s="558"/>
      <c r="AL86" s="535"/>
      <c r="AP86" s="535"/>
    </row>
    <row r="87">
      <c r="A87" s="552"/>
      <c r="B87" s="552"/>
      <c r="C87" t="str">
        <f>Filtered!I77</f>
        <v>Journal of Economic Perspectives</v>
      </c>
      <c r="D87" t="str">
        <f>Filtered!J77</f>
        <v>Business, Economics &amp; Management</v>
      </c>
      <c r="E87" t="str">
        <f>Filtered!AD77</f>
        <v>Unsure</v>
      </c>
      <c r="F87" t="b">
        <f t="shared" si="10"/>
        <v>1</v>
      </c>
      <c r="G87" t="b">
        <f t="shared" si="11"/>
        <v>0</v>
      </c>
      <c r="H87" t="b">
        <f t="shared" si="12"/>
        <v>0</v>
      </c>
      <c r="I87" t="b">
        <f t="shared" si="13"/>
        <v>0</v>
      </c>
      <c r="J87" t="b">
        <f t="shared" si="14"/>
        <v>0</v>
      </c>
      <c r="K87" t="b">
        <f t="shared" si="15"/>
        <v>0</v>
      </c>
      <c r="L87" t="b">
        <f t="shared" si="16"/>
        <v>0</v>
      </c>
      <c r="M87" t="b">
        <f t="shared" si="17"/>
        <v>0</v>
      </c>
      <c r="N87" s="535"/>
      <c r="O87" s="558"/>
      <c r="R87" s="535"/>
      <c r="S87" s="558"/>
      <c r="V87" s="535"/>
      <c r="W87" s="558"/>
      <c r="Z87" s="535"/>
      <c r="AA87" s="558"/>
      <c r="AD87" s="535"/>
      <c r="AE87" s="558"/>
      <c r="AH87" s="535"/>
      <c r="AI87" s="558"/>
      <c r="AL87" s="535"/>
      <c r="AP87" s="535"/>
    </row>
    <row r="88">
      <c r="A88" s="552"/>
      <c r="B88" s="552"/>
      <c r="C88" t="str">
        <f>Filtered!I78</f>
        <v>Journal of Educational Psychology</v>
      </c>
      <c r="D88" t="str">
        <f>Filtered!J78</f>
        <v>Social Sciences</v>
      </c>
      <c r="E88" t="str">
        <f>Filtered!AD78</f>
        <v>Yes</v>
      </c>
      <c r="F88" t="b">
        <f t="shared" si="10"/>
        <v>0</v>
      </c>
      <c r="G88" t="b">
        <f t="shared" si="11"/>
        <v>0</v>
      </c>
      <c r="H88" t="b">
        <f t="shared" si="12"/>
        <v>0</v>
      </c>
      <c r="I88" t="b">
        <f t="shared" si="13"/>
        <v>0</v>
      </c>
      <c r="J88" t="b">
        <f t="shared" si="14"/>
        <v>0</v>
      </c>
      <c r="K88" t="b">
        <f t="shared" si="15"/>
        <v>0</v>
      </c>
      <c r="L88" t="b">
        <f t="shared" si="16"/>
        <v>0</v>
      </c>
      <c r="M88" t="b">
        <f t="shared" si="17"/>
        <v>1</v>
      </c>
      <c r="N88" s="535"/>
      <c r="O88" s="558"/>
      <c r="R88" s="535"/>
      <c r="S88" s="558"/>
      <c r="V88" s="535"/>
      <c r="W88" s="558"/>
      <c r="Z88" s="535"/>
      <c r="AA88" s="558"/>
      <c r="AD88" s="535"/>
      <c r="AE88" s="558"/>
      <c r="AH88" s="535"/>
      <c r="AI88" s="558"/>
      <c r="AL88" s="535"/>
      <c r="AP88" s="535"/>
    </row>
    <row r="89">
      <c r="A89" s="552"/>
      <c r="B89" s="552"/>
      <c r="C89" t="str">
        <f>Filtered!I79</f>
        <v>Journal of Financial Economics</v>
      </c>
      <c r="D89" t="str">
        <f>Filtered!J79</f>
        <v>Business, Economics &amp; Management</v>
      </c>
      <c r="E89" t="str">
        <f>Filtered!AD79</f>
        <v>Unsure</v>
      </c>
      <c r="F89" t="b">
        <f t="shared" si="10"/>
        <v>1</v>
      </c>
      <c r="G89" t="b">
        <f t="shared" si="11"/>
        <v>0</v>
      </c>
      <c r="H89" t="b">
        <f t="shared" si="12"/>
        <v>0</v>
      </c>
      <c r="I89" t="b">
        <f t="shared" si="13"/>
        <v>0</v>
      </c>
      <c r="J89" t="b">
        <f t="shared" si="14"/>
        <v>0</v>
      </c>
      <c r="K89" t="b">
        <f t="shared" si="15"/>
        <v>0</v>
      </c>
      <c r="L89" t="b">
        <f t="shared" si="16"/>
        <v>0</v>
      </c>
      <c r="M89" t="b">
        <f t="shared" si="17"/>
        <v>0</v>
      </c>
      <c r="N89" s="535"/>
      <c r="O89" s="558"/>
      <c r="R89" s="535"/>
      <c r="S89" s="558"/>
      <c r="V89" s="535"/>
      <c r="W89" s="558"/>
      <c r="Z89" s="535"/>
      <c r="AA89" s="558"/>
      <c r="AD89" s="535"/>
      <c r="AE89" s="558"/>
      <c r="AH89" s="535"/>
      <c r="AI89" s="558"/>
      <c r="AL89" s="535"/>
      <c r="AP89" s="535"/>
    </row>
    <row r="90">
      <c r="A90" s="552"/>
      <c r="B90" s="552"/>
      <c r="C90" t="str">
        <f>Filtered!I80</f>
        <v>Journal of Geophysical Research</v>
      </c>
      <c r="D90" t="str">
        <f>Filtered!J80</f>
        <v>Physics &amp; Mathematics</v>
      </c>
      <c r="E90" t="str">
        <f>Filtered!AD80</f>
        <v>Unsure</v>
      </c>
      <c r="F90" t="b">
        <f t="shared" si="10"/>
        <v>0</v>
      </c>
      <c r="G90" t="b">
        <f t="shared" si="11"/>
        <v>0</v>
      </c>
      <c r="H90" t="b">
        <f t="shared" si="12"/>
        <v>0</v>
      </c>
      <c r="I90" t="b">
        <f t="shared" si="13"/>
        <v>0</v>
      </c>
      <c r="J90" t="b">
        <f t="shared" si="14"/>
        <v>0</v>
      </c>
      <c r="K90" t="b">
        <f t="shared" si="15"/>
        <v>0</v>
      </c>
      <c r="L90" t="b">
        <f t="shared" si="16"/>
        <v>1</v>
      </c>
      <c r="M90" t="b">
        <f t="shared" si="17"/>
        <v>0</v>
      </c>
      <c r="N90" s="535"/>
      <c r="O90" s="558"/>
      <c r="R90" s="535"/>
      <c r="S90" s="558"/>
      <c r="V90" s="535"/>
      <c r="W90" s="558"/>
      <c r="Z90" s="535"/>
      <c r="AA90" s="558"/>
      <c r="AD90" s="535"/>
      <c r="AE90" s="558"/>
      <c r="AH90" s="535"/>
      <c r="AI90" s="558"/>
      <c r="AL90" s="535"/>
      <c r="AP90" s="535"/>
    </row>
    <row r="91">
      <c r="A91" s="552"/>
      <c r="B91" s="552"/>
      <c r="C91" t="str">
        <f>Filtered!I81</f>
        <v>Journal of Hepatology</v>
      </c>
      <c r="D91" t="str">
        <f>Filtered!J81</f>
        <v/>
      </c>
      <c r="E91" t="str">
        <f>Filtered!AD81</f>
        <v>Unsure</v>
      </c>
      <c r="F91" t="b">
        <f t="shared" si="10"/>
        <v>0</v>
      </c>
      <c r="G91" t="b">
        <f t="shared" si="11"/>
        <v>0</v>
      </c>
      <c r="H91" t="b">
        <f t="shared" si="12"/>
        <v>0</v>
      </c>
      <c r="I91" t="b">
        <f t="shared" si="13"/>
        <v>0</v>
      </c>
      <c r="J91" t="b">
        <f t="shared" si="14"/>
        <v>0</v>
      </c>
      <c r="K91" t="b">
        <f t="shared" si="15"/>
        <v>0</v>
      </c>
      <c r="L91" t="b">
        <f t="shared" si="16"/>
        <v>0</v>
      </c>
      <c r="M91" t="b">
        <f t="shared" si="17"/>
        <v>0</v>
      </c>
      <c r="N91" s="535"/>
      <c r="O91" s="558"/>
      <c r="R91" s="535"/>
      <c r="S91" s="558"/>
      <c r="V91" s="535"/>
      <c r="W91" s="558"/>
      <c r="Z91" s="535"/>
      <c r="AA91" s="558"/>
      <c r="AD91" s="535"/>
      <c r="AE91" s="558"/>
      <c r="AH91" s="535"/>
      <c r="AI91" s="558"/>
      <c r="AL91" s="535"/>
      <c r="AP91" s="535"/>
    </row>
    <row r="92">
      <c r="A92" s="552"/>
      <c r="B92" s="552"/>
      <c r="C92" t="str">
        <f>Filtered!I82</f>
        <v>Journal of High Energy Physics</v>
      </c>
      <c r="D92" t="str">
        <f>Filtered!J82</f>
        <v>Physics &amp; Mathematics</v>
      </c>
      <c r="E92" t="str">
        <f>Filtered!AD82</f>
        <v>Unsure</v>
      </c>
      <c r="F92" t="b">
        <f t="shared" si="10"/>
        <v>0</v>
      </c>
      <c r="G92" t="b">
        <f t="shared" si="11"/>
        <v>0</v>
      </c>
      <c r="H92" t="b">
        <f t="shared" si="12"/>
        <v>0</v>
      </c>
      <c r="I92" t="b">
        <f t="shared" si="13"/>
        <v>0</v>
      </c>
      <c r="J92" t="b">
        <f t="shared" si="14"/>
        <v>0</v>
      </c>
      <c r="K92" t="b">
        <f t="shared" si="15"/>
        <v>0</v>
      </c>
      <c r="L92" t="b">
        <f t="shared" si="16"/>
        <v>1</v>
      </c>
      <c r="M92" t="b">
        <f t="shared" si="17"/>
        <v>0</v>
      </c>
      <c r="N92" s="535"/>
      <c r="O92" s="558"/>
      <c r="R92" s="535"/>
      <c r="S92" s="558"/>
      <c r="V92" s="535"/>
      <c r="W92" s="558"/>
      <c r="Z92" s="535"/>
      <c r="AA92" s="558"/>
      <c r="AD92" s="535"/>
      <c r="AE92" s="558"/>
      <c r="AH92" s="535"/>
      <c r="AI92" s="558"/>
      <c r="AL92" s="535"/>
      <c r="AP92" s="535"/>
    </row>
    <row r="93">
      <c r="A93" s="552"/>
      <c r="B93" s="552"/>
      <c r="C93" t="str">
        <f>Filtered!I83</f>
        <v>Journal of Management</v>
      </c>
      <c r="D93" t="str">
        <f>Filtered!J83</f>
        <v>Business, Economics &amp; Management</v>
      </c>
      <c r="E93" t="str">
        <f>Filtered!AD83</f>
        <v>Yes</v>
      </c>
      <c r="F93" t="b">
        <f t="shared" si="10"/>
        <v>1</v>
      </c>
      <c r="G93" t="b">
        <f t="shared" si="11"/>
        <v>0</v>
      </c>
      <c r="H93" t="b">
        <f t="shared" si="12"/>
        <v>0</v>
      </c>
      <c r="I93" t="b">
        <f t="shared" si="13"/>
        <v>0</v>
      </c>
      <c r="J93" t="b">
        <f t="shared" si="14"/>
        <v>0</v>
      </c>
      <c r="K93" t="b">
        <f t="shared" si="15"/>
        <v>0</v>
      </c>
      <c r="L93" t="b">
        <f t="shared" si="16"/>
        <v>0</v>
      </c>
      <c r="M93" t="b">
        <f t="shared" si="17"/>
        <v>0</v>
      </c>
      <c r="N93" s="535"/>
      <c r="O93" s="558"/>
      <c r="R93" s="535"/>
      <c r="S93" s="558"/>
      <c r="V93" s="535"/>
      <c r="W93" s="558"/>
      <c r="Z93" s="535"/>
      <c r="AA93" s="558"/>
      <c r="AD93" s="535"/>
      <c r="AE93" s="558"/>
      <c r="AH93" s="535"/>
      <c r="AI93" s="558"/>
      <c r="AL93" s="535"/>
      <c r="AP93" s="535"/>
    </row>
    <row r="94">
      <c r="A94" s="552"/>
      <c r="B94" s="552"/>
      <c r="C94" t="str">
        <f>Filtered!I84</f>
        <v>Journal of Materials Chemistry. A</v>
      </c>
      <c r="D94" t="str">
        <f>Filtered!J84</f>
        <v>Chemical &amp; Materials Sciences, Engineering &amp; Computer Science</v>
      </c>
      <c r="E94" t="str">
        <f>Filtered!AD84</f>
        <v>Unsure</v>
      </c>
      <c r="F94" t="b">
        <f t="shared" si="10"/>
        <v>0</v>
      </c>
      <c r="G94" t="b">
        <f t="shared" si="11"/>
        <v>1</v>
      </c>
      <c r="H94" t="b">
        <f t="shared" si="12"/>
        <v>1</v>
      </c>
      <c r="I94" t="b">
        <f t="shared" si="13"/>
        <v>0</v>
      </c>
      <c r="J94" t="b">
        <f t="shared" si="14"/>
        <v>0</v>
      </c>
      <c r="K94" t="b">
        <f t="shared" si="15"/>
        <v>0</v>
      </c>
      <c r="L94" t="b">
        <f t="shared" si="16"/>
        <v>0</v>
      </c>
      <c r="M94" t="b">
        <f t="shared" si="17"/>
        <v>0</v>
      </c>
      <c r="N94" s="535"/>
      <c r="O94" s="558"/>
      <c r="R94" s="535"/>
      <c r="S94" s="558"/>
      <c r="V94" s="535"/>
      <c r="W94" s="558"/>
      <c r="Z94" s="535"/>
      <c r="AA94" s="558"/>
      <c r="AD94" s="535"/>
      <c r="AE94" s="558"/>
      <c r="AH94" s="535"/>
      <c r="AI94" s="558"/>
      <c r="AL94" s="535"/>
      <c r="AP94" s="535"/>
    </row>
    <row r="95">
      <c r="A95" s="552"/>
      <c r="B95" s="552"/>
      <c r="C95" t="str">
        <f>Filtered!I85</f>
        <v>Journal of Pragmatics</v>
      </c>
      <c r="D95" t="str">
        <f>Filtered!J85</f>
        <v>Humanities, Literature &amp; Arts</v>
      </c>
      <c r="E95" t="str">
        <f>Filtered!AD85</f>
        <v>Unsure</v>
      </c>
      <c r="F95" t="b">
        <f t="shared" si="10"/>
        <v>0</v>
      </c>
      <c r="G95" t="b">
        <f t="shared" si="11"/>
        <v>0</v>
      </c>
      <c r="H95" t="b">
        <f t="shared" si="12"/>
        <v>0</v>
      </c>
      <c r="I95" t="b">
        <f t="shared" si="13"/>
        <v>0</v>
      </c>
      <c r="J95" t="b">
        <f t="shared" si="14"/>
        <v>1</v>
      </c>
      <c r="K95" t="b">
        <f t="shared" si="15"/>
        <v>0</v>
      </c>
      <c r="L95" t="b">
        <f t="shared" si="16"/>
        <v>0</v>
      </c>
      <c r="M95" t="b">
        <f t="shared" si="17"/>
        <v>0</v>
      </c>
      <c r="N95" s="535"/>
      <c r="O95" s="558"/>
      <c r="R95" s="535"/>
      <c r="S95" s="558"/>
      <c r="V95" s="535"/>
      <c r="W95" s="558"/>
      <c r="Z95" s="535"/>
      <c r="AA95" s="558"/>
      <c r="AD95" s="535"/>
      <c r="AE95" s="558"/>
      <c r="AH95" s="535"/>
      <c r="AI95" s="558"/>
      <c r="AL95" s="535"/>
      <c r="AP95" s="535"/>
    </row>
    <row r="96">
      <c r="A96" s="552"/>
      <c r="B96" s="552"/>
      <c r="C96" t="str">
        <f>Filtered!I86</f>
        <v>Journal of the American Chemical Society</v>
      </c>
      <c r="D96" t="str">
        <f>Filtered!J86</f>
        <v>Chemical &amp; Materials Sciences</v>
      </c>
      <c r="E96" t="str">
        <f>Filtered!AD86</f>
        <v>Unsure</v>
      </c>
      <c r="F96" t="b">
        <f t="shared" si="10"/>
        <v>0</v>
      </c>
      <c r="G96" t="b">
        <f t="shared" si="11"/>
        <v>1</v>
      </c>
      <c r="H96" t="b">
        <f t="shared" si="12"/>
        <v>0</v>
      </c>
      <c r="I96" t="b">
        <f t="shared" si="13"/>
        <v>0</v>
      </c>
      <c r="J96" t="b">
        <f t="shared" si="14"/>
        <v>0</v>
      </c>
      <c r="K96" t="b">
        <f t="shared" si="15"/>
        <v>0</v>
      </c>
      <c r="L96" t="b">
        <f t="shared" si="16"/>
        <v>0</v>
      </c>
      <c r="M96" t="b">
        <f t="shared" si="17"/>
        <v>0</v>
      </c>
      <c r="N96" s="535"/>
      <c r="O96" s="558"/>
      <c r="R96" s="535"/>
      <c r="S96" s="558"/>
      <c r="V96" s="535"/>
      <c r="W96" s="558"/>
      <c r="Z96" s="535"/>
      <c r="AA96" s="558"/>
      <c r="AD96" s="535"/>
      <c r="AE96" s="558"/>
      <c r="AH96" s="535"/>
      <c r="AI96" s="558"/>
      <c r="AL96" s="535"/>
      <c r="AP96" s="535"/>
    </row>
    <row r="97">
      <c r="A97" s="552"/>
      <c r="B97" s="552"/>
      <c r="C97" t="str">
        <f>Filtered!I87</f>
        <v>Journal of the American College of Cardiology</v>
      </c>
      <c r="D97" t="str">
        <f>Filtered!J87</f>
        <v>Health &amp; Medical Sciences</v>
      </c>
      <c r="E97" t="str">
        <f>Filtered!AD87</f>
        <v>Unsure</v>
      </c>
      <c r="F97" t="b">
        <f t="shared" si="10"/>
        <v>0</v>
      </c>
      <c r="G97" t="b">
        <f t="shared" si="11"/>
        <v>0</v>
      </c>
      <c r="H97" t="b">
        <f t="shared" si="12"/>
        <v>0</v>
      </c>
      <c r="I97" t="b">
        <f t="shared" si="13"/>
        <v>1</v>
      </c>
      <c r="J97" t="b">
        <f t="shared" si="14"/>
        <v>0</v>
      </c>
      <c r="K97" t="b">
        <f t="shared" si="15"/>
        <v>0</v>
      </c>
      <c r="L97" t="b">
        <f t="shared" si="16"/>
        <v>0</v>
      </c>
      <c r="M97" t="b">
        <f t="shared" si="17"/>
        <v>0</v>
      </c>
      <c r="N97" s="535"/>
      <c r="O97" s="558"/>
      <c r="R97" s="535"/>
      <c r="S97" s="558"/>
      <c r="V97" s="535"/>
      <c r="W97" s="558"/>
      <c r="Z97" s="535"/>
      <c r="AA97" s="558"/>
      <c r="AD97" s="535"/>
      <c r="AE97" s="558"/>
      <c r="AH97" s="535"/>
      <c r="AI97" s="558"/>
      <c r="AL97" s="535"/>
      <c r="AP97" s="535"/>
    </row>
    <row r="98">
      <c r="A98" s="552"/>
      <c r="B98" s="552"/>
      <c r="C98" t="str">
        <f>Filtered!I88</f>
        <v>Journal of Youth and Adolescence</v>
      </c>
      <c r="D98" t="str">
        <f>Filtered!J88</f>
        <v>Social Sciences</v>
      </c>
      <c r="E98" t="str">
        <f>Filtered!AD88</f>
        <v>Unsure</v>
      </c>
      <c r="F98" t="b">
        <f t="shared" si="10"/>
        <v>0</v>
      </c>
      <c r="G98" t="b">
        <f t="shared" si="11"/>
        <v>0</v>
      </c>
      <c r="H98" t="b">
        <f t="shared" si="12"/>
        <v>0</v>
      </c>
      <c r="I98" t="b">
        <f t="shared" si="13"/>
        <v>0</v>
      </c>
      <c r="J98" t="b">
        <f t="shared" si="14"/>
        <v>0</v>
      </c>
      <c r="K98" t="b">
        <f t="shared" si="15"/>
        <v>0</v>
      </c>
      <c r="L98" t="b">
        <f t="shared" si="16"/>
        <v>0</v>
      </c>
      <c r="M98" t="b">
        <f t="shared" si="17"/>
        <v>1</v>
      </c>
      <c r="N98" s="535"/>
      <c r="O98" s="558"/>
      <c r="R98" s="535"/>
      <c r="S98" s="558"/>
      <c r="V98" s="535"/>
      <c r="W98" s="558"/>
      <c r="Z98" s="535"/>
      <c r="AA98" s="558"/>
      <c r="AD98" s="535"/>
      <c r="AE98" s="558"/>
      <c r="AH98" s="535"/>
      <c r="AI98" s="558"/>
      <c r="AL98" s="535"/>
      <c r="AP98" s="535"/>
    </row>
    <row r="99">
      <c r="A99" s="552"/>
      <c r="B99" s="552"/>
      <c r="C99" t="str">
        <f>Filtered!I89</f>
        <v>Journalism</v>
      </c>
      <c r="D99" t="str">
        <f>Filtered!J89</f>
        <v>Humanities, Literature &amp; Arts</v>
      </c>
      <c r="E99" t="str">
        <f>Filtered!AD89</f>
        <v>Unsure</v>
      </c>
      <c r="F99" t="b">
        <f t="shared" si="10"/>
        <v>0</v>
      </c>
      <c r="G99" t="b">
        <f t="shared" si="11"/>
        <v>0</v>
      </c>
      <c r="H99" t="b">
        <f t="shared" si="12"/>
        <v>0</v>
      </c>
      <c r="I99" t="b">
        <f t="shared" si="13"/>
        <v>0</v>
      </c>
      <c r="J99" t="b">
        <f t="shared" si="14"/>
        <v>1</v>
      </c>
      <c r="K99" t="b">
        <f t="shared" si="15"/>
        <v>0</v>
      </c>
      <c r="L99" t="b">
        <f t="shared" si="16"/>
        <v>0</v>
      </c>
      <c r="M99" t="b">
        <f t="shared" si="17"/>
        <v>0</v>
      </c>
      <c r="N99" s="535"/>
      <c r="O99" s="558"/>
      <c r="R99" s="535"/>
      <c r="S99" s="558"/>
      <c r="V99" s="535"/>
      <c r="W99" s="558"/>
      <c r="Z99" s="535"/>
      <c r="AA99" s="558"/>
      <c r="AD99" s="535"/>
      <c r="AE99" s="558"/>
      <c r="AH99" s="535"/>
      <c r="AI99" s="558"/>
      <c r="AL99" s="535"/>
      <c r="AP99" s="535"/>
    </row>
    <row r="100">
      <c r="A100" s="552"/>
      <c r="B100" s="552"/>
      <c r="C100" t="str">
        <f>Filtered!I90</f>
        <v>Journalism Practice</v>
      </c>
      <c r="D100" t="str">
        <f>Filtered!J90</f>
        <v>Humanities, Literature &amp; Arts</v>
      </c>
      <c r="E100" t="str">
        <f>Filtered!AD90</f>
        <v>Unsure</v>
      </c>
      <c r="F100" t="b">
        <f t="shared" si="10"/>
        <v>0</v>
      </c>
      <c r="G100" t="b">
        <f t="shared" si="11"/>
        <v>0</v>
      </c>
      <c r="H100" t="b">
        <f t="shared" si="12"/>
        <v>0</v>
      </c>
      <c r="I100" t="b">
        <f t="shared" si="13"/>
        <v>0</v>
      </c>
      <c r="J100" t="b">
        <f t="shared" si="14"/>
        <v>1</v>
      </c>
      <c r="K100" t="b">
        <f t="shared" si="15"/>
        <v>0</v>
      </c>
      <c r="L100" t="b">
        <f t="shared" si="16"/>
        <v>0</v>
      </c>
      <c r="M100" t="b">
        <f t="shared" si="17"/>
        <v>0</v>
      </c>
      <c r="N100" s="535"/>
      <c r="O100" s="558"/>
      <c r="R100" s="535"/>
      <c r="S100" s="558"/>
      <c r="V100" s="535"/>
      <c r="W100" s="558"/>
      <c r="Z100" s="535"/>
      <c r="AA100" s="558"/>
      <c r="AD100" s="535"/>
      <c r="AE100" s="558"/>
      <c r="AH100" s="535"/>
      <c r="AI100" s="558"/>
      <c r="AL100" s="535"/>
      <c r="AP100" s="535"/>
    </row>
    <row r="101">
      <c r="A101" s="552"/>
      <c r="B101" s="552"/>
      <c r="C101" t="str">
        <f>Filtered!I91</f>
        <v>Journalism Studies</v>
      </c>
      <c r="D101" t="str">
        <f>Filtered!J91</f>
        <v>Humanities, Literature &amp; Arts</v>
      </c>
      <c r="E101" t="str">
        <f>Filtered!AD91</f>
        <v>Unsure</v>
      </c>
      <c r="F101" t="b">
        <f t="shared" si="10"/>
        <v>0</v>
      </c>
      <c r="G101" t="b">
        <f t="shared" si="11"/>
        <v>0</v>
      </c>
      <c r="H101" t="b">
        <f t="shared" si="12"/>
        <v>0</v>
      </c>
      <c r="I101" t="b">
        <f t="shared" si="13"/>
        <v>0</v>
      </c>
      <c r="J101" t="b">
        <f t="shared" si="14"/>
        <v>1</v>
      </c>
      <c r="K101" t="b">
        <f t="shared" si="15"/>
        <v>0</v>
      </c>
      <c r="L101" t="b">
        <f t="shared" si="16"/>
        <v>0</v>
      </c>
      <c r="M101" t="b">
        <f t="shared" si="17"/>
        <v>0</v>
      </c>
      <c r="N101" s="535"/>
      <c r="O101" s="558"/>
      <c r="R101" s="535"/>
      <c r="S101" s="558"/>
      <c r="V101" s="535"/>
      <c r="W101" s="558"/>
      <c r="Z101" s="535"/>
      <c r="AA101" s="558"/>
      <c r="AD101" s="535"/>
      <c r="AE101" s="558"/>
      <c r="AH101" s="535"/>
      <c r="AI101" s="558"/>
      <c r="AL101" s="535"/>
      <c r="AP101" s="535"/>
    </row>
    <row r="102">
      <c r="A102" s="552"/>
      <c r="B102" s="552"/>
      <c r="C102" t="str">
        <f>Filtered!I92</f>
        <v>Land Use Policy</v>
      </c>
      <c r="D102" t="str">
        <f>Filtered!J92</f>
        <v>Social Sciences</v>
      </c>
      <c r="E102" t="str">
        <f>Filtered!AD92</f>
        <v>Unsure</v>
      </c>
      <c r="F102" t="b">
        <f t="shared" si="10"/>
        <v>0</v>
      </c>
      <c r="G102" t="b">
        <f t="shared" si="11"/>
        <v>0</v>
      </c>
      <c r="H102" t="b">
        <f t="shared" si="12"/>
        <v>0</v>
      </c>
      <c r="I102" t="b">
        <f t="shared" si="13"/>
        <v>0</v>
      </c>
      <c r="J102" t="b">
        <f t="shared" si="14"/>
        <v>0</v>
      </c>
      <c r="K102" t="b">
        <f t="shared" si="15"/>
        <v>0</v>
      </c>
      <c r="L102" t="b">
        <f t="shared" si="16"/>
        <v>0</v>
      </c>
      <c r="M102" t="b">
        <f t="shared" si="17"/>
        <v>1</v>
      </c>
      <c r="N102" s="535"/>
      <c r="O102" s="558"/>
      <c r="R102" s="535"/>
      <c r="S102" s="558"/>
      <c r="V102" s="535"/>
      <c r="W102" s="558"/>
      <c r="Z102" s="535"/>
      <c r="AA102" s="558"/>
      <c r="AD102" s="535"/>
      <c r="AE102" s="558"/>
      <c r="AH102" s="535"/>
      <c r="AI102" s="558"/>
      <c r="AL102" s="535"/>
      <c r="AP102" s="535"/>
    </row>
    <row r="103">
      <c r="A103" s="552"/>
      <c r="B103" s="552"/>
      <c r="C103" t="str">
        <f>Filtered!I93</f>
        <v>Language Learning</v>
      </c>
      <c r="D103" t="str">
        <f>Filtered!J93</f>
        <v>Humanities, Literature &amp; Arts</v>
      </c>
      <c r="E103" t="str">
        <f>Filtered!AD93</f>
        <v>Unsure</v>
      </c>
      <c r="F103" t="b">
        <f t="shared" si="10"/>
        <v>0</v>
      </c>
      <c r="G103" t="b">
        <f t="shared" si="11"/>
        <v>0</v>
      </c>
      <c r="H103" t="b">
        <f t="shared" si="12"/>
        <v>0</v>
      </c>
      <c r="I103" t="b">
        <f t="shared" si="13"/>
        <v>0</v>
      </c>
      <c r="J103" t="b">
        <f t="shared" si="14"/>
        <v>1</v>
      </c>
      <c r="K103" t="b">
        <f t="shared" si="15"/>
        <v>0</v>
      </c>
      <c r="L103" t="b">
        <f t="shared" si="16"/>
        <v>0</v>
      </c>
      <c r="M103" t="b">
        <f t="shared" si="17"/>
        <v>0</v>
      </c>
      <c r="N103" s="535"/>
      <c r="O103" s="558"/>
      <c r="R103" s="535"/>
      <c r="S103" s="558"/>
      <c r="V103" s="535"/>
      <c r="W103" s="558"/>
      <c r="Z103" s="535"/>
      <c r="AA103" s="558"/>
      <c r="AD103" s="535"/>
      <c r="AE103" s="558"/>
      <c r="AH103" s="535"/>
      <c r="AI103" s="558"/>
      <c r="AL103" s="535"/>
      <c r="AP103" s="535"/>
    </row>
    <row r="104">
      <c r="A104" s="552"/>
      <c r="B104" s="552"/>
      <c r="C104" t="str">
        <f>Filtered!I94</f>
        <v>Lingua</v>
      </c>
      <c r="D104" t="str">
        <f>Filtered!J94</f>
        <v>Humanities, Literature &amp; Arts</v>
      </c>
      <c r="E104" t="str">
        <f>Filtered!AD94</f>
        <v>Unsure</v>
      </c>
      <c r="F104" t="b">
        <f t="shared" si="10"/>
        <v>0</v>
      </c>
      <c r="G104" t="b">
        <f t="shared" si="11"/>
        <v>0</v>
      </c>
      <c r="H104" t="b">
        <f t="shared" si="12"/>
        <v>0</v>
      </c>
      <c r="I104" t="b">
        <f t="shared" si="13"/>
        <v>0</v>
      </c>
      <c r="J104" t="b">
        <f t="shared" si="14"/>
        <v>1</v>
      </c>
      <c r="K104" t="b">
        <f t="shared" si="15"/>
        <v>0</v>
      </c>
      <c r="L104" t="b">
        <f t="shared" si="16"/>
        <v>0</v>
      </c>
      <c r="M104" t="b">
        <f t="shared" si="17"/>
        <v>0</v>
      </c>
      <c r="N104" s="535"/>
      <c r="O104" s="558"/>
      <c r="R104" s="535"/>
      <c r="S104" s="558"/>
      <c r="V104" s="535"/>
      <c r="W104" s="558"/>
      <c r="Z104" s="535"/>
      <c r="AA104" s="558"/>
      <c r="AD104" s="535"/>
      <c r="AE104" s="558"/>
      <c r="AH104" s="535"/>
      <c r="AI104" s="558"/>
      <c r="AL104" s="535"/>
      <c r="AP104" s="535"/>
    </row>
    <row r="105">
      <c r="A105" s="552"/>
      <c r="B105" s="552"/>
      <c r="C105" t="str">
        <f>Filtered!I95</f>
        <v>Management Information Systems Quarterly</v>
      </c>
      <c r="D105" t="str">
        <f>Filtered!J95</f>
        <v>Business, Economics &amp; Management</v>
      </c>
      <c r="E105" t="str">
        <f>Filtered!AD95</f>
        <v>Unsure</v>
      </c>
      <c r="F105" t="b">
        <f t="shared" si="10"/>
        <v>1</v>
      </c>
      <c r="G105" t="b">
        <f t="shared" si="11"/>
        <v>0</v>
      </c>
      <c r="H105" t="b">
        <f t="shared" si="12"/>
        <v>0</v>
      </c>
      <c r="I105" t="b">
        <f t="shared" si="13"/>
        <v>0</v>
      </c>
      <c r="J105" t="b">
        <f t="shared" si="14"/>
        <v>0</v>
      </c>
      <c r="K105" t="b">
        <f t="shared" si="15"/>
        <v>0</v>
      </c>
      <c r="L105" t="b">
        <f t="shared" si="16"/>
        <v>0</v>
      </c>
      <c r="M105" t="b">
        <f t="shared" si="17"/>
        <v>0</v>
      </c>
      <c r="N105" s="535"/>
      <c r="O105" s="558"/>
      <c r="R105" s="535"/>
      <c r="S105" s="558"/>
      <c r="V105" s="535"/>
      <c r="W105" s="558"/>
      <c r="Z105" s="535"/>
      <c r="AA105" s="558"/>
      <c r="AD105" s="535"/>
      <c r="AE105" s="558"/>
      <c r="AH105" s="535"/>
      <c r="AI105" s="558"/>
      <c r="AL105" s="535"/>
      <c r="AP105" s="535"/>
    </row>
    <row r="106">
      <c r="A106" s="552"/>
      <c r="B106" s="552"/>
      <c r="C106" t="str">
        <f>Filtered!I96</f>
        <v>Management Science</v>
      </c>
      <c r="D106" t="str">
        <f>Filtered!J96</f>
        <v>Business, Economics &amp; Management</v>
      </c>
      <c r="E106" t="str">
        <f>Filtered!AD96</f>
        <v>Unsure</v>
      </c>
      <c r="F106" t="b">
        <f t="shared" si="10"/>
        <v>1</v>
      </c>
      <c r="G106" t="b">
        <f t="shared" si="11"/>
        <v>0</v>
      </c>
      <c r="H106" t="b">
        <f t="shared" si="12"/>
        <v>0</v>
      </c>
      <c r="I106" t="b">
        <f t="shared" si="13"/>
        <v>0</v>
      </c>
      <c r="J106" t="b">
        <f t="shared" si="14"/>
        <v>0</v>
      </c>
      <c r="K106" t="b">
        <f t="shared" si="15"/>
        <v>0</v>
      </c>
      <c r="L106" t="b">
        <f t="shared" si="16"/>
        <v>0</v>
      </c>
      <c r="M106" t="b">
        <f t="shared" si="17"/>
        <v>0</v>
      </c>
      <c r="N106" s="535"/>
      <c r="O106" s="558"/>
      <c r="R106" s="535"/>
      <c r="S106" s="558"/>
      <c r="V106" s="535"/>
      <c r="W106" s="558"/>
      <c r="Z106" s="535"/>
      <c r="AA106" s="558"/>
      <c r="AD106" s="535"/>
      <c r="AE106" s="558"/>
      <c r="AH106" s="535"/>
      <c r="AI106" s="558"/>
      <c r="AL106" s="535"/>
      <c r="AP106" s="535"/>
    </row>
    <row r="107">
      <c r="A107" s="552"/>
      <c r="B107" s="552"/>
      <c r="C107" t="str">
        <f>Filtered!I97</f>
        <v>Media, Culture &amp; Society</v>
      </c>
      <c r="D107" t="str">
        <f>Filtered!J97</f>
        <v>Humanities, Literature &amp; Arts</v>
      </c>
      <c r="E107" t="str">
        <f>Filtered!AD97</f>
        <v>Unsure</v>
      </c>
      <c r="F107" t="b">
        <f t="shared" si="10"/>
        <v>0</v>
      </c>
      <c r="G107" t="b">
        <f t="shared" si="11"/>
        <v>0</v>
      </c>
      <c r="H107" t="b">
        <f t="shared" si="12"/>
        <v>0</v>
      </c>
      <c r="I107" t="b">
        <f t="shared" si="13"/>
        <v>0</v>
      </c>
      <c r="J107" t="b">
        <f t="shared" si="14"/>
        <v>1</v>
      </c>
      <c r="K107" t="b">
        <f t="shared" si="15"/>
        <v>0</v>
      </c>
      <c r="L107" t="b">
        <f t="shared" si="16"/>
        <v>0</v>
      </c>
      <c r="M107" t="b">
        <f t="shared" si="17"/>
        <v>0</v>
      </c>
      <c r="N107" s="535"/>
      <c r="O107" s="558"/>
      <c r="R107" s="535"/>
      <c r="S107" s="558"/>
      <c r="V107" s="535"/>
      <c r="W107" s="558"/>
      <c r="Z107" s="535"/>
      <c r="AA107" s="558"/>
      <c r="AD107" s="535"/>
      <c r="AE107" s="558"/>
      <c r="AH107" s="535"/>
      <c r="AI107" s="558"/>
      <c r="AL107" s="535"/>
      <c r="AP107" s="535"/>
    </row>
    <row r="108">
      <c r="A108" s="552"/>
      <c r="B108" s="552"/>
      <c r="C108" t="str">
        <f>Filtered!I98</f>
        <v>Molecular Cell</v>
      </c>
      <c r="D108" t="str">
        <f>Filtered!J98</f>
        <v>Life Sciences &amp; Earth Sciences</v>
      </c>
      <c r="E108" t="str">
        <f>Filtered!AD98</f>
        <v>Unsure</v>
      </c>
      <c r="F108" t="b">
        <f t="shared" si="10"/>
        <v>0</v>
      </c>
      <c r="G108" t="b">
        <f t="shared" si="11"/>
        <v>0</v>
      </c>
      <c r="H108" t="b">
        <f t="shared" si="12"/>
        <v>0</v>
      </c>
      <c r="I108" t="b">
        <f t="shared" si="13"/>
        <v>0</v>
      </c>
      <c r="J108" t="b">
        <f t="shared" si="14"/>
        <v>0</v>
      </c>
      <c r="K108" t="b">
        <f t="shared" si="15"/>
        <v>1</v>
      </c>
      <c r="L108" t="b">
        <f t="shared" si="16"/>
        <v>0</v>
      </c>
      <c r="M108" t="b">
        <f t="shared" si="17"/>
        <v>0</v>
      </c>
      <c r="N108" s="535"/>
      <c r="O108" s="558"/>
      <c r="R108" s="535"/>
      <c r="S108" s="558"/>
      <c r="V108" s="535"/>
      <c r="W108" s="558"/>
      <c r="Z108" s="535"/>
      <c r="AA108" s="558"/>
      <c r="AD108" s="535"/>
      <c r="AE108" s="558"/>
      <c r="AH108" s="535"/>
      <c r="AI108" s="558"/>
      <c r="AL108" s="535"/>
      <c r="AP108" s="535"/>
    </row>
    <row r="109">
      <c r="A109" s="552"/>
      <c r="B109" s="552"/>
      <c r="C109" t="str">
        <f>Filtered!I99</f>
        <v>Monthly Notices of the Royal Astronomical Society</v>
      </c>
      <c r="D109" t="str">
        <f>Filtered!J99</f>
        <v>Physics &amp; Mathematics</v>
      </c>
      <c r="E109" t="str">
        <f>Filtered!AD99</f>
        <v>Unsure</v>
      </c>
      <c r="F109" t="b">
        <f t="shared" si="10"/>
        <v>0</v>
      </c>
      <c r="G109" t="b">
        <f t="shared" si="11"/>
        <v>0</v>
      </c>
      <c r="H109" t="b">
        <f t="shared" si="12"/>
        <v>0</v>
      </c>
      <c r="I109" t="b">
        <f t="shared" si="13"/>
        <v>0</v>
      </c>
      <c r="J109" t="b">
        <f t="shared" si="14"/>
        <v>0</v>
      </c>
      <c r="K109" t="b">
        <f t="shared" si="15"/>
        <v>0</v>
      </c>
      <c r="L109" t="b">
        <f t="shared" si="16"/>
        <v>1</v>
      </c>
      <c r="M109" t="b">
        <f t="shared" si="17"/>
        <v>0</v>
      </c>
      <c r="N109" s="535"/>
      <c r="O109" s="558"/>
      <c r="R109" s="535"/>
      <c r="S109" s="558"/>
      <c r="V109" s="535"/>
      <c r="W109" s="558"/>
      <c r="Z109" s="535"/>
      <c r="AA109" s="558"/>
      <c r="AD109" s="535"/>
      <c r="AE109" s="558"/>
      <c r="AH109" s="535"/>
      <c r="AI109" s="558"/>
      <c r="AL109" s="535"/>
      <c r="AP109" s="535"/>
    </row>
    <row r="110">
      <c r="A110" s="552"/>
      <c r="B110" s="552"/>
      <c r="C110" t="str">
        <f>Filtered!I100</f>
        <v>Nano Letters</v>
      </c>
      <c r="D110" t="str">
        <f>Filtered!J100</f>
        <v>Chemical &amp; Materials Sciences,
Engineering &amp; Computer Science</v>
      </c>
      <c r="E110" t="str">
        <f>Filtered!AD100</f>
        <v>Yes</v>
      </c>
      <c r="F110" t="b">
        <f t="shared" si="10"/>
        <v>0</v>
      </c>
      <c r="G110" t="b">
        <f t="shared" si="11"/>
        <v>1</v>
      </c>
      <c r="H110" t="b">
        <f t="shared" si="12"/>
        <v>1</v>
      </c>
      <c r="I110" t="b">
        <f t="shared" si="13"/>
        <v>0</v>
      </c>
      <c r="J110" t="b">
        <f t="shared" si="14"/>
        <v>0</v>
      </c>
      <c r="K110" t="b">
        <f t="shared" si="15"/>
        <v>0</v>
      </c>
      <c r="L110" t="b">
        <f t="shared" si="16"/>
        <v>0</v>
      </c>
      <c r="M110" t="b">
        <f t="shared" si="17"/>
        <v>0</v>
      </c>
      <c r="N110" s="535"/>
      <c r="O110" s="558"/>
      <c r="R110" s="535"/>
      <c r="S110" s="558"/>
      <c r="V110" s="535"/>
      <c r="W110" s="558"/>
      <c r="Z110" s="535"/>
      <c r="AA110" s="558"/>
      <c r="AD110" s="535"/>
      <c r="AE110" s="558"/>
      <c r="AH110" s="535"/>
      <c r="AI110" s="558"/>
      <c r="AL110" s="535"/>
      <c r="AP110" s="535"/>
    </row>
    <row r="111">
      <c r="A111" s="552"/>
      <c r="B111" s="552"/>
      <c r="C111" t="str">
        <f>Filtered!I101</f>
        <v>Nanoscale</v>
      </c>
      <c r="D111" t="str">
        <f>Filtered!J101</f>
        <v>Chemical &amp; Materials Sciences,
Engineering &amp; Computer Science</v>
      </c>
      <c r="E111" t="str">
        <f>Filtered!AD101</f>
        <v>Yes</v>
      </c>
      <c r="F111" t="b">
        <f t="shared" si="10"/>
        <v>0</v>
      </c>
      <c r="G111" t="b">
        <f t="shared" si="11"/>
        <v>1</v>
      </c>
      <c r="H111" t="b">
        <f t="shared" si="12"/>
        <v>1</v>
      </c>
      <c r="I111" t="b">
        <f t="shared" si="13"/>
        <v>0</v>
      </c>
      <c r="J111" t="b">
        <f t="shared" si="14"/>
        <v>0</v>
      </c>
      <c r="K111" t="b">
        <f t="shared" si="15"/>
        <v>0</v>
      </c>
      <c r="L111" t="b">
        <f t="shared" si="16"/>
        <v>0</v>
      </c>
      <c r="M111" t="b">
        <f t="shared" si="17"/>
        <v>0</v>
      </c>
      <c r="N111" s="535"/>
      <c r="O111" s="558"/>
      <c r="R111" s="535"/>
      <c r="S111" s="558"/>
      <c r="V111" s="535"/>
      <c r="W111" s="558"/>
      <c r="Z111" s="535"/>
      <c r="AA111" s="558"/>
      <c r="AD111" s="535"/>
      <c r="AE111" s="558"/>
      <c r="AH111" s="535"/>
      <c r="AI111" s="558"/>
      <c r="AL111" s="535"/>
      <c r="AP111" s="535"/>
    </row>
    <row r="112">
      <c r="A112" s="552"/>
      <c r="B112" s="552"/>
      <c r="C112" t="str">
        <f>Filtered!I102</f>
        <v>Nature</v>
      </c>
      <c r="D112" t="str">
        <f>Filtered!J102</f>
        <v>Life Sciences &amp; Earth Sciences</v>
      </c>
      <c r="E112" t="str">
        <f>Filtered!AD102</f>
        <v>Unsure</v>
      </c>
      <c r="F112" t="b">
        <f t="shared" si="10"/>
        <v>0</v>
      </c>
      <c r="G112" t="b">
        <f t="shared" si="11"/>
        <v>0</v>
      </c>
      <c r="H112" t="b">
        <f t="shared" si="12"/>
        <v>0</v>
      </c>
      <c r="I112" t="b">
        <f t="shared" si="13"/>
        <v>0</v>
      </c>
      <c r="J112" t="b">
        <f t="shared" si="14"/>
        <v>0</v>
      </c>
      <c r="K112" t="b">
        <f t="shared" si="15"/>
        <v>1</v>
      </c>
      <c r="L112" t="b">
        <f t="shared" si="16"/>
        <v>0</v>
      </c>
      <c r="M112" t="b">
        <f t="shared" si="17"/>
        <v>0</v>
      </c>
      <c r="N112" s="535"/>
      <c r="O112" s="558"/>
      <c r="R112" s="535"/>
      <c r="S112" s="558"/>
      <c r="V112" s="535"/>
      <c r="W112" s="558"/>
      <c r="Z112" s="535"/>
      <c r="AA112" s="558"/>
      <c r="AD112" s="535"/>
      <c r="AE112" s="558"/>
      <c r="AH112" s="535"/>
      <c r="AI112" s="558"/>
      <c r="AL112" s="535"/>
      <c r="AP112" s="535"/>
    </row>
    <row r="113">
      <c r="A113" s="552"/>
      <c r="B113" s="552"/>
      <c r="C113" t="str">
        <f>Filtered!I103</f>
        <v>Nature Biotechnology</v>
      </c>
      <c r="D113" t="str">
        <f>Filtered!J103</f>
        <v>Life Sciences &amp; Earth Sciences</v>
      </c>
      <c r="E113" t="str">
        <f>Filtered!AD103</f>
        <v>Unsure</v>
      </c>
      <c r="F113" t="b">
        <f t="shared" si="10"/>
        <v>0</v>
      </c>
      <c r="G113" t="b">
        <f t="shared" si="11"/>
        <v>0</v>
      </c>
      <c r="H113" t="b">
        <f t="shared" si="12"/>
        <v>0</v>
      </c>
      <c r="I113" t="b">
        <f t="shared" si="13"/>
        <v>0</v>
      </c>
      <c r="J113" t="b">
        <f t="shared" si="14"/>
        <v>0</v>
      </c>
      <c r="K113" t="b">
        <f t="shared" si="15"/>
        <v>1</v>
      </c>
      <c r="L113" t="b">
        <f t="shared" si="16"/>
        <v>0</v>
      </c>
      <c r="M113" t="b">
        <f t="shared" si="17"/>
        <v>0</v>
      </c>
      <c r="N113" s="535"/>
      <c r="O113" s="558"/>
      <c r="R113" s="535"/>
      <c r="S113" s="558"/>
      <c r="V113" s="535"/>
      <c r="W113" s="558"/>
      <c r="Z113" s="535"/>
      <c r="AA113" s="558"/>
      <c r="AD113" s="535"/>
      <c r="AE113" s="558"/>
      <c r="AH113" s="535"/>
      <c r="AI113" s="558"/>
      <c r="AL113" s="535"/>
      <c r="AP113" s="535"/>
    </row>
    <row r="114">
      <c r="A114" s="552"/>
      <c r="B114" s="552"/>
      <c r="C114" t="str">
        <f>Filtered!I104</f>
        <v>Nature Cell Biology</v>
      </c>
      <c r="D114" t="str">
        <f>Filtered!J104</f>
        <v>Life Sciences &amp; Earth Sciences</v>
      </c>
      <c r="E114" t="str">
        <f>Filtered!AD104</f>
        <v>Unsure</v>
      </c>
      <c r="F114" t="b">
        <f t="shared" si="10"/>
        <v>0</v>
      </c>
      <c r="G114" t="b">
        <f t="shared" si="11"/>
        <v>0</v>
      </c>
      <c r="H114" t="b">
        <f t="shared" si="12"/>
        <v>0</v>
      </c>
      <c r="I114" t="b">
        <f t="shared" si="13"/>
        <v>0</v>
      </c>
      <c r="J114" t="b">
        <f t="shared" si="14"/>
        <v>0</v>
      </c>
      <c r="K114" t="b">
        <f t="shared" si="15"/>
        <v>1</v>
      </c>
      <c r="L114" t="b">
        <f t="shared" si="16"/>
        <v>0</v>
      </c>
      <c r="M114" t="b">
        <f t="shared" si="17"/>
        <v>0</v>
      </c>
      <c r="N114" s="535"/>
      <c r="O114" s="558"/>
      <c r="R114" s="535"/>
      <c r="S114" s="558"/>
      <c r="V114" s="535"/>
      <c r="W114" s="558"/>
      <c r="Z114" s="535"/>
      <c r="AA114" s="558"/>
      <c r="AD114" s="535"/>
      <c r="AE114" s="558"/>
      <c r="AH114" s="535"/>
      <c r="AI114" s="558"/>
      <c r="AL114" s="535"/>
      <c r="AP114" s="535"/>
    </row>
    <row r="115">
      <c r="A115" s="552"/>
      <c r="B115" s="552"/>
      <c r="C115" t="str">
        <f>Filtered!I105</f>
        <v>Nature Chemistry</v>
      </c>
      <c r="D115" t="str">
        <f>Filtered!J105</f>
        <v>Chemical &amp; Materials Sciences</v>
      </c>
      <c r="E115" t="str">
        <f>Filtered!AD105</f>
        <v>Unsure</v>
      </c>
      <c r="F115" t="b">
        <f t="shared" si="10"/>
        <v>0</v>
      </c>
      <c r="G115" t="b">
        <f t="shared" si="11"/>
        <v>1</v>
      </c>
      <c r="H115" t="b">
        <f t="shared" si="12"/>
        <v>0</v>
      </c>
      <c r="I115" t="b">
        <f t="shared" si="13"/>
        <v>0</v>
      </c>
      <c r="J115" t="b">
        <f t="shared" si="14"/>
        <v>0</v>
      </c>
      <c r="K115" t="b">
        <f t="shared" si="15"/>
        <v>0</v>
      </c>
      <c r="L115" t="b">
        <f t="shared" si="16"/>
        <v>0</v>
      </c>
      <c r="M115" t="b">
        <f t="shared" si="17"/>
        <v>0</v>
      </c>
      <c r="N115" s="535"/>
      <c r="O115" s="558"/>
      <c r="R115" s="535"/>
      <c r="S115" s="558"/>
      <c r="V115" s="535"/>
      <c r="W115" s="558"/>
      <c r="Z115" s="535"/>
      <c r="AA115" s="558"/>
      <c r="AD115" s="535"/>
      <c r="AE115" s="558"/>
      <c r="AH115" s="535"/>
      <c r="AI115" s="558"/>
      <c r="AL115" s="535"/>
      <c r="AP115" s="535"/>
    </row>
    <row r="116">
      <c r="A116" s="552"/>
      <c r="B116" s="552"/>
      <c r="C116" t="str">
        <f>Filtered!I106</f>
        <v>Nature Climate Change</v>
      </c>
      <c r="D116" t="str">
        <f>Filtered!J106</f>
        <v>Life Sciences &amp; Earth Sciences</v>
      </c>
      <c r="E116" t="str">
        <f>Filtered!AD106</f>
        <v>Unsure</v>
      </c>
      <c r="F116" t="b">
        <f t="shared" si="10"/>
        <v>0</v>
      </c>
      <c r="G116" t="b">
        <f t="shared" si="11"/>
        <v>0</v>
      </c>
      <c r="H116" t="b">
        <f t="shared" si="12"/>
        <v>0</v>
      </c>
      <c r="I116" t="b">
        <f t="shared" si="13"/>
        <v>0</v>
      </c>
      <c r="J116" t="b">
        <f t="shared" si="14"/>
        <v>0</v>
      </c>
      <c r="K116" t="b">
        <f t="shared" si="15"/>
        <v>1</v>
      </c>
      <c r="L116" t="b">
        <f t="shared" si="16"/>
        <v>0</v>
      </c>
      <c r="M116" t="b">
        <f t="shared" si="17"/>
        <v>0</v>
      </c>
      <c r="N116" s="535"/>
      <c r="O116" s="558"/>
      <c r="R116" s="535"/>
      <c r="S116" s="558"/>
      <c r="V116" s="535"/>
      <c r="W116" s="558"/>
      <c r="Z116" s="535"/>
      <c r="AA116" s="558"/>
      <c r="AD116" s="535"/>
      <c r="AE116" s="558"/>
      <c r="AH116" s="535"/>
      <c r="AI116" s="558"/>
      <c r="AL116" s="535"/>
      <c r="AP116" s="535"/>
    </row>
    <row r="117">
      <c r="A117" s="552"/>
      <c r="B117" s="552"/>
      <c r="C117" t="str">
        <f>Filtered!I107</f>
        <v>Nature Communications</v>
      </c>
      <c r="D117" t="str">
        <f>Filtered!J107</f>
        <v>Life Sciences &amp; Earth Sciences</v>
      </c>
      <c r="E117" t="str">
        <f>Filtered!AD107</f>
        <v>Unsure</v>
      </c>
      <c r="F117" t="b">
        <f t="shared" si="10"/>
        <v>0</v>
      </c>
      <c r="G117" t="b">
        <f t="shared" si="11"/>
        <v>0</v>
      </c>
      <c r="H117" t="b">
        <f t="shared" si="12"/>
        <v>0</v>
      </c>
      <c r="I117" t="b">
        <f t="shared" si="13"/>
        <v>0</v>
      </c>
      <c r="J117" t="b">
        <f t="shared" si="14"/>
        <v>0</v>
      </c>
      <c r="K117" t="b">
        <f t="shared" si="15"/>
        <v>1</v>
      </c>
      <c r="L117" t="b">
        <f t="shared" si="16"/>
        <v>0</v>
      </c>
      <c r="M117" t="b">
        <f t="shared" si="17"/>
        <v>0</v>
      </c>
      <c r="N117" s="535"/>
      <c r="O117" s="558"/>
      <c r="R117" s="535"/>
      <c r="S117" s="558"/>
      <c r="V117" s="535"/>
      <c r="W117" s="558"/>
      <c r="Z117" s="535"/>
      <c r="AA117" s="558"/>
      <c r="AD117" s="535"/>
      <c r="AE117" s="558"/>
      <c r="AH117" s="535"/>
      <c r="AI117" s="558"/>
      <c r="AL117" s="535"/>
      <c r="AP117" s="535"/>
    </row>
    <row r="118">
      <c r="A118" s="552"/>
      <c r="B118" s="552"/>
      <c r="C118" t="str">
        <f>Filtered!I108</f>
        <v>Nature Genetics</v>
      </c>
      <c r="D118" t="str">
        <f>Filtered!J108</f>
        <v>Health &amp; Medical Sciences,
Life Sciences &amp; Earth Sciences</v>
      </c>
      <c r="E118" t="str">
        <f>Filtered!AD108</f>
        <v>Unsure</v>
      </c>
      <c r="F118" t="b">
        <f t="shared" si="10"/>
        <v>0</v>
      </c>
      <c r="G118" t="b">
        <f t="shared" si="11"/>
        <v>0</v>
      </c>
      <c r="H118" t="b">
        <f t="shared" si="12"/>
        <v>0</v>
      </c>
      <c r="I118" t="b">
        <f t="shared" si="13"/>
        <v>1</v>
      </c>
      <c r="J118" t="b">
        <f t="shared" si="14"/>
        <v>0</v>
      </c>
      <c r="K118" t="b">
        <f t="shared" si="15"/>
        <v>1</v>
      </c>
      <c r="L118" t="b">
        <f t="shared" si="16"/>
        <v>0</v>
      </c>
      <c r="M118" t="b">
        <f t="shared" si="17"/>
        <v>0</v>
      </c>
      <c r="N118" s="535"/>
      <c r="O118" s="558"/>
      <c r="R118" s="535"/>
      <c r="S118" s="558"/>
      <c r="V118" s="535"/>
      <c r="W118" s="558"/>
      <c r="Z118" s="535"/>
      <c r="AA118" s="558"/>
      <c r="AD118" s="535"/>
      <c r="AE118" s="558"/>
      <c r="AH118" s="535"/>
      <c r="AI118" s="558"/>
      <c r="AL118" s="535"/>
      <c r="AP118" s="535"/>
    </row>
    <row r="119">
      <c r="A119" s="552"/>
      <c r="B119" s="552"/>
      <c r="C119" t="str">
        <f>Filtered!I109</f>
        <v>Nature Immunology</v>
      </c>
      <c r="D119" t="str">
        <f>Filtered!J109</f>
        <v/>
      </c>
      <c r="E119" t="str">
        <f>Filtered!AD109</f>
        <v>Unsure</v>
      </c>
      <c r="F119" t="b">
        <f t="shared" si="10"/>
        <v>0</v>
      </c>
      <c r="G119" t="b">
        <f t="shared" si="11"/>
        <v>0</v>
      </c>
      <c r="H119" t="b">
        <f t="shared" si="12"/>
        <v>0</v>
      </c>
      <c r="I119" t="b">
        <f t="shared" si="13"/>
        <v>0</v>
      </c>
      <c r="J119" t="b">
        <f t="shared" si="14"/>
        <v>0</v>
      </c>
      <c r="K119" t="b">
        <f t="shared" si="15"/>
        <v>0</v>
      </c>
      <c r="L119" t="b">
        <f t="shared" si="16"/>
        <v>0</v>
      </c>
      <c r="M119" t="b">
        <f t="shared" si="17"/>
        <v>0</v>
      </c>
      <c r="N119" s="535"/>
      <c r="O119" s="558"/>
      <c r="R119" s="535"/>
      <c r="S119" s="558"/>
      <c r="V119" s="535"/>
      <c r="W119" s="558"/>
      <c r="Z119" s="535"/>
      <c r="AA119" s="558"/>
      <c r="AD119" s="535"/>
      <c r="AE119" s="558"/>
      <c r="AH119" s="535"/>
      <c r="AI119" s="558"/>
      <c r="AL119" s="535"/>
      <c r="AP119" s="535"/>
    </row>
    <row r="120">
      <c r="A120" s="552"/>
      <c r="B120" s="552"/>
      <c r="C120" t="str">
        <f>Filtered!I110</f>
        <v>Nature Materials</v>
      </c>
      <c r="D120" t="str">
        <f>Filtered!J110</f>
        <v>Chemical &amp; Materials Sciences,
Engineering &amp; Computer Science</v>
      </c>
      <c r="E120" t="str">
        <f>Filtered!AD110</f>
        <v>Unsure</v>
      </c>
      <c r="F120" t="b">
        <f t="shared" si="10"/>
        <v>0</v>
      </c>
      <c r="G120" t="b">
        <f t="shared" si="11"/>
        <v>1</v>
      </c>
      <c r="H120" t="b">
        <f t="shared" si="12"/>
        <v>1</v>
      </c>
      <c r="I120" t="b">
        <f t="shared" si="13"/>
        <v>0</v>
      </c>
      <c r="J120" t="b">
        <f t="shared" si="14"/>
        <v>0</v>
      </c>
      <c r="K120" t="b">
        <f t="shared" si="15"/>
        <v>0</v>
      </c>
      <c r="L120" t="b">
        <f t="shared" si="16"/>
        <v>0</v>
      </c>
      <c r="M120" t="b">
        <f t="shared" si="17"/>
        <v>0</v>
      </c>
      <c r="N120" s="535"/>
      <c r="O120" s="558"/>
      <c r="R120" s="535"/>
      <c r="S120" s="558"/>
      <c r="V120" s="535"/>
      <c r="W120" s="558"/>
      <c r="Z120" s="535"/>
      <c r="AA120" s="558"/>
      <c r="AD120" s="535"/>
      <c r="AE120" s="558"/>
      <c r="AH120" s="535"/>
      <c r="AI120" s="558"/>
      <c r="AL120" s="535"/>
      <c r="AP120" s="535"/>
    </row>
    <row r="121">
      <c r="A121" s="552"/>
      <c r="B121" s="552"/>
      <c r="C121" t="str">
        <f>Filtered!I111</f>
        <v>Nature Medicine</v>
      </c>
      <c r="D121" t="str">
        <f>Filtered!J111</f>
        <v>Health &amp; Medical Sciences</v>
      </c>
      <c r="E121" t="str">
        <f>Filtered!AD111</f>
        <v>Unsure</v>
      </c>
      <c r="F121" t="b">
        <f t="shared" si="10"/>
        <v>0</v>
      </c>
      <c r="G121" t="b">
        <f t="shared" si="11"/>
        <v>0</v>
      </c>
      <c r="H121" t="b">
        <f t="shared" si="12"/>
        <v>0</v>
      </c>
      <c r="I121" t="b">
        <f t="shared" si="13"/>
        <v>1</v>
      </c>
      <c r="J121" t="b">
        <f t="shared" si="14"/>
        <v>0</v>
      </c>
      <c r="K121" t="b">
        <f t="shared" si="15"/>
        <v>0</v>
      </c>
      <c r="L121" t="b">
        <f t="shared" si="16"/>
        <v>0</v>
      </c>
      <c r="M121" t="b">
        <f t="shared" si="17"/>
        <v>0</v>
      </c>
      <c r="N121" s="535"/>
      <c r="O121" s="558"/>
      <c r="R121" s="535"/>
      <c r="S121" s="558"/>
      <c r="V121" s="535"/>
      <c r="W121" s="558"/>
      <c r="Z121" s="535"/>
      <c r="AA121" s="558"/>
      <c r="AD121" s="535"/>
      <c r="AE121" s="558"/>
      <c r="AH121" s="535"/>
      <c r="AI121" s="558"/>
      <c r="AL121" s="535"/>
      <c r="AP121" s="535"/>
    </row>
    <row r="122">
      <c r="A122" s="552"/>
      <c r="B122" s="552"/>
      <c r="C122" t="str">
        <f>Filtered!I112</f>
        <v>Nature Methods</v>
      </c>
      <c r="D122" t="str">
        <f>Filtered!J112</f>
        <v>Life Sciences &amp; Earth Sciences</v>
      </c>
      <c r="E122" t="str">
        <f>Filtered!AD112</f>
        <v>Unsure</v>
      </c>
      <c r="F122" t="b">
        <f t="shared" si="10"/>
        <v>0</v>
      </c>
      <c r="G122" t="b">
        <f t="shared" si="11"/>
        <v>0</v>
      </c>
      <c r="H122" t="b">
        <f t="shared" si="12"/>
        <v>0</v>
      </c>
      <c r="I122" t="b">
        <f t="shared" si="13"/>
        <v>0</v>
      </c>
      <c r="J122" t="b">
        <f t="shared" si="14"/>
        <v>0</v>
      </c>
      <c r="K122" t="b">
        <f t="shared" si="15"/>
        <v>1</v>
      </c>
      <c r="L122" t="b">
        <f t="shared" si="16"/>
        <v>0</v>
      </c>
      <c r="M122" t="b">
        <f t="shared" si="17"/>
        <v>0</v>
      </c>
      <c r="N122" s="535"/>
      <c r="O122" s="558"/>
      <c r="R122" s="535"/>
      <c r="S122" s="558"/>
      <c r="V122" s="535"/>
      <c r="W122" s="558"/>
      <c r="Z122" s="535"/>
      <c r="AA122" s="558"/>
      <c r="AD122" s="535"/>
      <c r="AE122" s="558"/>
      <c r="AH122" s="535"/>
      <c r="AI122" s="558"/>
      <c r="AL122" s="535"/>
      <c r="AP122" s="535"/>
    </row>
    <row r="123">
      <c r="A123" s="552"/>
      <c r="B123" s="552"/>
      <c r="C123" t="str">
        <f>Filtered!I113</f>
        <v>Nature Nanotechnology</v>
      </c>
      <c r="D123" t="str">
        <f>Filtered!J113</f>
        <v>Chemical &amp; Materials Sciences,
Engineering &amp; Computer Science</v>
      </c>
      <c r="E123" t="str">
        <f>Filtered!AD113</f>
        <v>Unsure</v>
      </c>
      <c r="F123" t="b">
        <f t="shared" si="10"/>
        <v>0</v>
      </c>
      <c r="G123" t="b">
        <f t="shared" si="11"/>
        <v>1</v>
      </c>
      <c r="H123" t="b">
        <f t="shared" si="12"/>
        <v>1</v>
      </c>
      <c r="I123" t="b">
        <f t="shared" si="13"/>
        <v>0</v>
      </c>
      <c r="J123" t="b">
        <f t="shared" si="14"/>
        <v>0</v>
      </c>
      <c r="K123" t="b">
        <f t="shared" si="15"/>
        <v>0</v>
      </c>
      <c r="L123" t="b">
        <f t="shared" si="16"/>
        <v>0</v>
      </c>
      <c r="M123" t="b">
        <f t="shared" si="17"/>
        <v>0</v>
      </c>
      <c r="N123" s="535"/>
      <c r="O123" s="558"/>
      <c r="R123" s="535"/>
      <c r="S123" s="558"/>
      <c r="V123" s="535"/>
      <c r="W123" s="558"/>
      <c r="Z123" s="535"/>
      <c r="AA123" s="558"/>
      <c r="AD123" s="535"/>
      <c r="AE123" s="558"/>
      <c r="AH123" s="535"/>
      <c r="AI123" s="558"/>
      <c r="AL123" s="535"/>
      <c r="AP123" s="535"/>
    </row>
    <row r="124">
      <c r="A124" s="552"/>
      <c r="B124" s="552"/>
      <c r="C124" t="str">
        <f>Filtered!I114</f>
        <v>Nature Neuroscience</v>
      </c>
      <c r="D124" t="str">
        <f>Filtered!J114</f>
        <v>Health &amp; Medical Sciences</v>
      </c>
      <c r="E124" t="str">
        <f>Filtered!AD114</f>
        <v>Unsure</v>
      </c>
      <c r="F124" t="b">
        <f t="shared" si="10"/>
        <v>0</v>
      </c>
      <c r="G124" t="b">
        <f t="shared" si="11"/>
        <v>0</v>
      </c>
      <c r="H124" t="b">
        <f t="shared" si="12"/>
        <v>0</v>
      </c>
      <c r="I124" t="b">
        <f t="shared" si="13"/>
        <v>1</v>
      </c>
      <c r="J124" t="b">
        <f t="shared" si="14"/>
        <v>0</v>
      </c>
      <c r="K124" t="b">
        <f t="shared" si="15"/>
        <v>0</v>
      </c>
      <c r="L124" t="b">
        <f t="shared" si="16"/>
        <v>0</v>
      </c>
      <c r="M124" t="b">
        <f t="shared" si="17"/>
        <v>0</v>
      </c>
      <c r="N124" s="535"/>
      <c r="O124" s="558"/>
      <c r="R124" s="535"/>
      <c r="S124" s="558"/>
      <c r="V124" s="535"/>
      <c r="W124" s="558"/>
      <c r="Z124" s="535"/>
      <c r="AA124" s="558"/>
      <c r="AD124" s="535"/>
      <c r="AE124" s="558"/>
      <c r="AH124" s="535"/>
      <c r="AI124" s="558"/>
      <c r="AL124" s="535"/>
      <c r="AP124" s="535"/>
    </row>
    <row r="125">
      <c r="A125" s="552"/>
      <c r="B125" s="552"/>
      <c r="C125" t="str">
        <f>Filtered!I115</f>
        <v>Nature Photonics</v>
      </c>
      <c r="D125" t="str">
        <f>Filtered!J115</f>
        <v>Engineering &amp; Computer Science,
Physics &amp; Mathematics</v>
      </c>
      <c r="E125" t="str">
        <f>Filtered!AD115</f>
        <v>Unsure</v>
      </c>
      <c r="F125" t="b">
        <f t="shared" si="10"/>
        <v>0</v>
      </c>
      <c r="G125" t="b">
        <f t="shared" si="11"/>
        <v>0</v>
      </c>
      <c r="H125" t="b">
        <f t="shared" si="12"/>
        <v>1</v>
      </c>
      <c r="I125" t="b">
        <f t="shared" si="13"/>
        <v>0</v>
      </c>
      <c r="J125" t="b">
        <f t="shared" si="14"/>
        <v>0</v>
      </c>
      <c r="K125" t="b">
        <f t="shared" si="15"/>
        <v>0</v>
      </c>
      <c r="L125" t="b">
        <f t="shared" si="16"/>
        <v>1</v>
      </c>
      <c r="M125" t="b">
        <f t="shared" si="17"/>
        <v>0</v>
      </c>
      <c r="N125" s="535"/>
      <c r="O125" s="558"/>
      <c r="R125" s="535"/>
      <c r="S125" s="558"/>
      <c r="V125" s="535"/>
      <c r="W125" s="558"/>
      <c r="Z125" s="535"/>
      <c r="AA125" s="558"/>
      <c r="AD125" s="535"/>
      <c r="AE125" s="558"/>
      <c r="AH125" s="535"/>
      <c r="AI125" s="558"/>
      <c r="AL125" s="535"/>
      <c r="AP125" s="535"/>
    </row>
    <row r="126">
      <c r="A126" s="552"/>
      <c r="B126" s="552"/>
      <c r="C126" t="str">
        <f>Filtered!I116</f>
        <v>Nature Physics</v>
      </c>
      <c r="D126" t="str">
        <f>Filtered!J116</f>
        <v>Physics &amp; Mathematics</v>
      </c>
      <c r="E126" t="str">
        <f>Filtered!AD116</f>
        <v>Unsure</v>
      </c>
      <c r="F126" t="b">
        <f t="shared" si="10"/>
        <v>0</v>
      </c>
      <c r="G126" t="b">
        <f t="shared" si="11"/>
        <v>0</v>
      </c>
      <c r="H126" t="b">
        <f t="shared" si="12"/>
        <v>0</v>
      </c>
      <c r="I126" t="b">
        <f t="shared" si="13"/>
        <v>0</v>
      </c>
      <c r="J126" t="b">
        <f t="shared" si="14"/>
        <v>0</v>
      </c>
      <c r="K126" t="b">
        <f t="shared" si="15"/>
        <v>0</v>
      </c>
      <c r="L126" t="b">
        <f t="shared" si="16"/>
        <v>1</v>
      </c>
      <c r="M126" t="b">
        <f t="shared" si="17"/>
        <v>0</v>
      </c>
      <c r="N126" s="535"/>
      <c r="O126" s="558"/>
      <c r="R126" s="535"/>
      <c r="S126" s="558"/>
      <c r="V126" s="535"/>
      <c r="W126" s="558"/>
      <c r="Z126" s="535"/>
      <c r="AA126" s="558"/>
      <c r="AD126" s="535"/>
      <c r="AE126" s="558"/>
      <c r="AH126" s="535"/>
      <c r="AI126" s="558"/>
      <c r="AL126" s="535"/>
      <c r="AP126" s="535"/>
    </row>
    <row r="127">
      <c r="A127" s="552"/>
      <c r="B127" s="552"/>
      <c r="C127" t="str">
        <f>Filtered!I117</f>
        <v>Nature Reviews Cancer</v>
      </c>
      <c r="D127" t="str">
        <f>Filtered!J117</f>
        <v/>
      </c>
      <c r="E127" t="str">
        <f>Filtered!AD117</f>
        <v>Yes</v>
      </c>
      <c r="F127" t="b">
        <f t="shared" si="10"/>
        <v>0</v>
      </c>
      <c r="G127" t="b">
        <f t="shared" si="11"/>
        <v>0</v>
      </c>
      <c r="H127" t="b">
        <f t="shared" si="12"/>
        <v>0</v>
      </c>
      <c r="I127" t="b">
        <f t="shared" si="13"/>
        <v>0</v>
      </c>
      <c r="J127" t="b">
        <f t="shared" si="14"/>
        <v>0</v>
      </c>
      <c r="K127" t="b">
        <f t="shared" si="15"/>
        <v>0</v>
      </c>
      <c r="L127" t="b">
        <f t="shared" si="16"/>
        <v>0</v>
      </c>
      <c r="M127" t="b">
        <f t="shared" si="17"/>
        <v>0</v>
      </c>
      <c r="N127" s="535"/>
      <c r="O127" s="558"/>
      <c r="R127" s="535"/>
      <c r="S127" s="558"/>
      <c r="V127" s="535"/>
      <c r="W127" s="558"/>
      <c r="Z127" s="535"/>
      <c r="AA127" s="558"/>
      <c r="AD127" s="535"/>
      <c r="AE127" s="558"/>
      <c r="AH127" s="535"/>
      <c r="AI127" s="558"/>
      <c r="AL127" s="535"/>
      <c r="AP127" s="535"/>
    </row>
    <row r="128">
      <c r="A128" s="552"/>
      <c r="B128" s="552"/>
      <c r="C128" t="str">
        <f>Filtered!I118</f>
        <v>Nature Reviews Genetics</v>
      </c>
      <c r="D128" t="str">
        <f>Filtered!J118</f>
        <v>Life Sciences &amp; Earth Sciences</v>
      </c>
      <c r="E128" t="str">
        <f>Filtered!AD118</f>
        <v>Yes</v>
      </c>
      <c r="F128" t="b">
        <f t="shared" si="10"/>
        <v>0</v>
      </c>
      <c r="G128" t="b">
        <f t="shared" si="11"/>
        <v>0</v>
      </c>
      <c r="H128" t="b">
        <f t="shared" si="12"/>
        <v>0</v>
      </c>
      <c r="I128" t="b">
        <f t="shared" si="13"/>
        <v>0</v>
      </c>
      <c r="J128" t="b">
        <f t="shared" si="14"/>
        <v>0</v>
      </c>
      <c r="K128" t="b">
        <f t="shared" si="15"/>
        <v>1</v>
      </c>
      <c r="L128" t="b">
        <f t="shared" si="16"/>
        <v>0</v>
      </c>
      <c r="M128" t="b">
        <f t="shared" si="17"/>
        <v>0</v>
      </c>
      <c r="N128" s="535"/>
      <c r="O128" s="558"/>
      <c r="R128" s="535"/>
      <c r="S128" s="558"/>
      <c r="V128" s="535"/>
      <c r="W128" s="558"/>
      <c r="Z128" s="535"/>
      <c r="AA128" s="558"/>
      <c r="AD128" s="535"/>
      <c r="AE128" s="558"/>
      <c r="AH128" s="535"/>
      <c r="AI128" s="558"/>
      <c r="AL128" s="535"/>
      <c r="AP128" s="535"/>
    </row>
    <row r="129">
      <c r="A129" s="552"/>
      <c r="B129" s="552"/>
      <c r="C129" t="str">
        <f>Filtered!I119</f>
        <v>Nature Reviews Immunology</v>
      </c>
      <c r="D129" t="str">
        <f>Filtered!J119</f>
        <v/>
      </c>
      <c r="E129" t="str">
        <f>Filtered!AD119</f>
        <v>Yes</v>
      </c>
      <c r="F129" t="b">
        <f t="shared" si="10"/>
        <v>0</v>
      </c>
      <c r="G129" t="b">
        <f t="shared" si="11"/>
        <v>0</v>
      </c>
      <c r="H129" t="b">
        <f t="shared" si="12"/>
        <v>0</v>
      </c>
      <c r="I129" t="b">
        <f t="shared" si="13"/>
        <v>0</v>
      </c>
      <c r="J129" t="b">
        <f t="shared" si="14"/>
        <v>0</v>
      </c>
      <c r="K129" t="b">
        <f t="shared" si="15"/>
        <v>0</v>
      </c>
      <c r="L129" t="b">
        <f t="shared" si="16"/>
        <v>0</v>
      </c>
      <c r="M129" t="b">
        <f t="shared" si="17"/>
        <v>0</v>
      </c>
      <c r="N129" s="535"/>
      <c r="O129" s="558"/>
      <c r="R129" s="535"/>
      <c r="S129" s="558"/>
      <c r="V129" s="535"/>
      <c r="W129" s="558"/>
      <c r="Z129" s="535"/>
      <c r="AA129" s="558"/>
      <c r="AD129" s="535"/>
      <c r="AE129" s="558"/>
      <c r="AH129" s="535"/>
      <c r="AI129" s="558"/>
      <c r="AL129" s="535"/>
      <c r="AP129" s="535"/>
    </row>
    <row r="130">
      <c r="A130" s="552"/>
      <c r="B130" s="552"/>
      <c r="C130" t="str">
        <f>Filtered!I120</f>
        <v>Nature Reviews Neuroscience</v>
      </c>
      <c r="D130" t="str">
        <f>Filtered!J120</f>
        <v/>
      </c>
      <c r="E130" t="str">
        <f>Filtered!AD120</f>
        <v>Yes</v>
      </c>
      <c r="F130" t="b">
        <f t="shared" si="10"/>
        <v>0</v>
      </c>
      <c r="G130" t="b">
        <f t="shared" si="11"/>
        <v>0</v>
      </c>
      <c r="H130" t="b">
        <f t="shared" si="12"/>
        <v>0</v>
      </c>
      <c r="I130" t="b">
        <f t="shared" si="13"/>
        <v>0</v>
      </c>
      <c r="J130" t="b">
        <f t="shared" si="14"/>
        <v>0</v>
      </c>
      <c r="K130" t="b">
        <f t="shared" si="15"/>
        <v>0</v>
      </c>
      <c r="L130" t="b">
        <f t="shared" si="16"/>
        <v>0</v>
      </c>
      <c r="M130" t="b">
        <f t="shared" si="17"/>
        <v>0</v>
      </c>
      <c r="N130" s="535"/>
      <c r="O130" s="558"/>
      <c r="R130" s="535"/>
      <c r="S130" s="558"/>
      <c r="V130" s="535"/>
      <c r="W130" s="558"/>
      <c r="Z130" s="535"/>
      <c r="AA130" s="558"/>
      <c r="AD130" s="535"/>
      <c r="AE130" s="558"/>
      <c r="AH130" s="535"/>
      <c r="AI130" s="558"/>
      <c r="AL130" s="535"/>
      <c r="AP130" s="535"/>
    </row>
    <row r="131">
      <c r="A131" s="552"/>
      <c r="B131" s="552"/>
      <c r="C131" t="str">
        <f>Filtered!I121</f>
        <v>Nature Reviews. Drug Discovery</v>
      </c>
      <c r="D131" t="str">
        <f>Filtered!J121</f>
        <v/>
      </c>
      <c r="E131" t="str">
        <f>Filtered!AD121</f>
        <v>Yes</v>
      </c>
      <c r="F131" t="b">
        <f t="shared" si="10"/>
        <v>0</v>
      </c>
      <c r="G131" t="b">
        <f t="shared" si="11"/>
        <v>0</v>
      </c>
      <c r="H131" t="b">
        <f t="shared" si="12"/>
        <v>0</v>
      </c>
      <c r="I131" t="b">
        <f t="shared" si="13"/>
        <v>0</v>
      </c>
      <c r="J131" t="b">
        <f t="shared" si="14"/>
        <v>0</v>
      </c>
      <c r="K131" t="b">
        <f t="shared" si="15"/>
        <v>0</v>
      </c>
      <c r="L131" t="b">
        <f t="shared" si="16"/>
        <v>0</v>
      </c>
      <c r="M131" t="b">
        <f t="shared" si="17"/>
        <v>0</v>
      </c>
      <c r="N131" s="535"/>
      <c r="O131" s="558"/>
      <c r="R131" s="535"/>
      <c r="S131" s="558"/>
      <c r="V131" s="535"/>
      <c r="W131" s="558"/>
      <c r="Z131" s="535"/>
      <c r="AA131" s="558"/>
      <c r="AD131" s="535"/>
      <c r="AE131" s="558"/>
      <c r="AH131" s="535"/>
      <c r="AI131" s="558"/>
      <c r="AL131" s="535"/>
      <c r="AP131" s="535"/>
    </row>
    <row r="132">
      <c r="A132" s="552"/>
      <c r="B132" s="552"/>
      <c r="C132" t="str">
        <f>Filtered!I122</f>
        <v>Nature Reviews. Molecular Cell Biology</v>
      </c>
      <c r="D132" t="str">
        <f>Filtered!J122</f>
        <v>Life Sciences &amp; Earth Sciences</v>
      </c>
      <c r="E132" t="str">
        <f>Filtered!AD122</f>
        <v>Yes</v>
      </c>
      <c r="F132" t="b">
        <f t="shared" si="10"/>
        <v>0</v>
      </c>
      <c r="G132" t="b">
        <f t="shared" si="11"/>
        <v>0</v>
      </c>
      <c r="H132" t="b">
        <f t="shared" si="12"/>
        <v>0</v>
      </c>
      <c r="I132" t="b">
        <f t="shared" si="13"/>
        <v>0</v>
      </c>
      <c r="J132" t="b">
        <f t="shared" si="14"/>
        <v>0</v>
      </c>
      <c r="K132" t="b">
        <f t="shared" si="15"/>
        <v>1</v>
      </c>
      <c r="L132" t="b">
        <f t="shared" si="16"/>
        <v>0</v>
      </c>
      <c r="M132" t="b">
        <f t="shared" si="17"/>
        <v>0</v>
      </c>
      <c r="N132" s="535"/>
      <c r="O132" s="558"/>
      <c r="R132" s="535"/>
      <c r="S132" s="558"/>
      <c r="V132" s="535"/>
      <c r="W132" s="558"/>
      <c r="Z132" s="535"/>
      <c r="AA132" s="558"/>
      <c r="AD132" s="535"/>
      <c r="AE132" s="558"/>
      <c r="AH132" s="535"/>
      <c r="AI132" s="558"/>
      <c r="AL132" s="535"/>
      <c r="AP132" s="535"/>
    </row>
    <row r="133">
      <c r="A133" s="552"/>
      <c r="B133" s="552"/>
      <c r="C133" t="str">
        <f>Filtered!I123</f>
        <v>Neural Information Processing Systems (NIPS)</v>
      </c>
      <c r="D133" t="str">
        <f>Filtered!J123</f>
        <v>Engineering &amp; Computer Science</v>
      </c>
      <c r="E133" t="str">
        <f>Filtered!AD123</f>
        <v>Unsure</v>
      </c>
      <c r="F133" t="b">
        <f t="shared" si="10"/>
        <v>0</v>
      </c>
      <c r="G133" t="b">
        <f t="shared" si="11"/>
        <v>0</v>
      </c>
      <c r="H133" t="b">
        <f t="shared" si="12"/>
        <v>1</v>
      </c>
      <c r="I133" t="b">
        <f t="shared" si="13"/>
        <v>0</v>
      </c>
      <c r="J133" t="b">
        <f t="shared" si="14"/>
        <v>0</v>
      </c>
      <c r="K133" t="b">
        <f t="shared" si="15"/>
        <v>0</v>
      </c>
      <c r="L133" t="b">
        <f t="shared" si="16"/>
        <v>0</v>
      </c>
      <c r="M133" t="b">
        <f t="shared" si="17"/>
        <v>0</v>
      </c>
      <c r="N133" s="535"/>
      <c r="O133" s="558"/>
      <c r="R133" s="535"/>
      <c r="S133" s="558"/>
      <c r="V133" s="535"/>
      <c r="W133" s="558"/>
      <c r="Z133" s="535"/>
      <c r="AA133" s="558"/>
      <c r="AD133" s="535"/>
      <c r="AE133" s="558"/>
      <c r="AH133" s="535"/>
      <c r="AI133" s="558"/>
      <c r="AL133" s="535"/>
      <c r="AP133" s="535"/>
    </row>
    <row r="134">
      <c r="A134" s="552"/>
      <c r="B134" s="552"/>
      <c r="C134" t="str">
        <f>Filtered!I124</f>
        <v>NeuroImage</v>
      </c>
      <c r="D134" t="str">
        <f>Filtered!J124</f>
        <v/>
      </c>
      <c r="E134" t="str">
        <f>Filtered!AD124</f>
        <v>Unsure</v>
      </c>
      <c r="F134" t="b">
        <f t="shared" si="10"/>
        <v>0</v>
      </c>
      <c r="G134" t="b">
        <f t="shared" si="11"/>
        <v>0</v>
      </c>
      <c r="H134" t="b">
        <f t="shared" si="12"/>
        <v>0</v>
      </c>
      <c r="I134" t="b">
        <f t="shared" si="13"/>
        <v>0</v>
      </c>
      <c r="J134" t="b">
        <f t="shared" si="14"/>
        <v>0</v>
      </c>
      <c r="K134" t="b">
        <f t="shared" si="15"/>
        <v>0</v>
      </c>
      <c r="L134" t="b">
        <f t="shared" si="16"/>
        <v>0</v>
      </c>
      <c r="M134" t="b">
        <f t="shared" si="17"/>
        <v>0</v>
      </c>
      <c r="N134" s="535"/>
      <c r="O134" s="558"/>
      <c r="R134" s="535"/>
      <c r="S134" s="558"/>
      <c r="V134" s="535"/>
      <c r="W134" s="558"/>
      <c r="Z134" s="535"/>
      <c r="AA134" s="558"/>
      <c r="AD134" s="535"/>
      <c r="AE134" s="558"/>
      <c r="AH134" s="535"/>
      <c r="AI134" s="558"/>
      <c r="AL134" s="535"/>
      <c r="AP134" s="535"/>
    </row>
    <row r="135">
      <c r="A135" s="552"/>
      <c r="B135" s="552"/>
      <c r="C135" t="str">
        <f>Filtered!I125</f>
        <v>Neuron</v>
      </c>
      <c r="D135" t="str">
        <f>Filtered!J125</f>
        <v>Health &amp; Medical Sciences,
Life Sciences &amp; Earth Sciences</v>
      </c>
      <c r="E135" t="str">
        <f>Filtered!AD125</f>
        <v>Yes</v>
      </c>
      <c r="F135" t="b">
        <f t="shared" si="10"/>
        <v>0</v>
      </c>
      <c r="G135" t="b">
        <f t="shared" si="11"/>
        <v>0</v>
      </c>
      <c r="H135" t="b">
        <f t="shared" si="12"/>
        <v>0</v>
      </c>
      <c r="I135" t="b">
        <f t="shared" si="13"/>
        <v>1</v>
      </c>
      <c r="J135" t="b">
        <f t="shared" si="14"/>
        <v>0</v>
      </c>
      <c r="K135" t="b">
        <f t="shared" si="15"/>
        <v>1</v>
      </c>
      <c r="L135" t="b">
        <f t="shared" si="16"/>
        <v>0</v>
      </c>
      <c r="M135" t="b">
        <f t="shared" si="17"/>
        <v>0</v>
      </c>
      <c r="N135" s="535"/>
      <c r="O135" s="558"/>
      <c r="R135" s="535"/>
      <c r="S135" s="558"/>
      <c r="V135" s="535"/>
      <c r="W135" s="558"/>
      <c r="Z135" s="535"/>
      <c r="AA135" s="558"/>
      <c r="AD135" s="535"/>
      <c r="AE135" s="558"/>
      <c r="AH135" s="535"/>
      <c r="AI135" s="558"/>
      <c r="AL135" s="535"/>
      <c r="AP135" s="535"/>
    </row>
    <row r="136">
      <c r="A136" s="552"/>
      <c r="B136" s="552"/>
      <c r="C136" t="str">
        <f>Filtered!I126</f>
        <v>New Media and Society</v>
      </c>
      <c r="D136" t="str">
        <f>Filtered!J126</f>
        <v>Social Sciences</v>
      </c>
      <c r="E136" t="str">
        <f>Filtered!AD126</f>
        <v>Unsure</v>
      </c>
      <c r="F136" t="b">
        <f t="shared" si="10"/>
        <v>0</v>
      </c>
      <c r="G136" t="b">
        <f t="shared" si="11"/>
        <v>0</v>
      </c>
      <c r="H136" t="b">
        <f t="shared" si="12"/>
        <v>0</v>
      </c>
      <c r="I136" t="b">
        <f t="shared" si="13"/>
        <v>0</v>
      </c>
      <c r="J136" t="b">
        <f t="shared" si="14"/>
        <v>0</v>
      </c>
      <c r="K136" t="b">
        <f t="shared" si="15"/>
        <v>0</v>
      </c>
      <c r="L136" t="b">
        <f t="shared" si="16"/>
        <v>0</v>
      </c>
      <c r="M136" t="b">
        <f t="shared" si="17"/>
        <v>1</v>
      </c>
      <c r="N136" s="535"/>
      <c r="O136" s="558"/>
      <c r="R136" s="535"/>
      <c r="S136" s="558"/>
      <c r="V136" s="535"/>
      <c r="W136" s="558"/>
      <c r="Z136" s="535"/>
      <c r="AA136" s="558"/>
      <c r="AD136" s="535"/>
      <c r="AE136" s="558"/>
      <c r="AH136" s="535"/>
      <c r="AI136" s="558"/>
      <c r="AL136" s="535"/>
      <c r="AP136" s="535"/>
    </row>
    <row r="137">
      <c r="A137" s="552"/>
      <c r="B137" s="552"/>
      <c r="C137" t="str">
        <f>Filtered!I127</f>
        <v>Noûs</v>
      </c>
      <c r="D137" t="str">
        <f>Filtered!J127</f>
        <v>Social Sciences, Humanities, Literature &amp; Arts</v>
      </c>
      <c r="E137" t="str">
        <f>Filtered!AD127</f>
        <v>Yes</v>
      </c>
      <c r="F137" t="b">
        <f t="shared" si="10"/>
        <v>0</v>
      </c>
      <c r="G137" t="b">
        <f t="shared" si="11"/>
        <v>0</v>
      </c>
      <c r="H137" t="b">
        <f t="shared" si="12"/>
        <v>0</v>
      </c>
      <c r="I137" t="b">
        <f t="shared" si="13"/>
        <v>0</v>
      </c>
      <c r="J137" t="b">
        <f t="shared" si="14"/>
        <v>1</v>
      </c>
      <c r="K137" t="b">
        <f t="shared" si="15"/>
        <v>0</v>
      </c>
      <c r="L137" t="b">
        <f t="shared" si="16"/>
        <v>0</v>
      </c>
      <c r="M137" t="b">
        <f t="shared" si="17"/>
        <v>1</v>
      </c>
      <c r="N137" s="535"/>
      <c r="O137" s="558"/>
      <c r="R137" s="535"/>
      <c r="S137" s="558"/>
      <c r="V137" s="535"/>
      <c r="W137" s="558"/>
      <c r="Z137" s="535"/>
      <c r="AA137" s="558"/>
      <c r="AD137" s="535"/>
      <c r="AE137" s="558"/>
      <c r="AH137" s="535"/>
      <c r="AI137" s="558"/>
      <c r="AL137" s="535"/>
      <c r="AP137" s="535"/>
    </row>
    <row r="138">
      <c r="A138" s="552"/>
      <c r="B138" s="552"/>
      <c r="C138" t="str">
        <f>Filtered!I128</f>
        <v>Nucleic Acids Research</v>
      </c>
      <c r="D138" t="str">
        <f>Filtered!J128</f>
        <v>Life Sciences &amp; Earth Sciences</v>
      </c>
      <c r="E138" t="str">
        <f>Filtered!AD128</f>
        <v>Unsure</v>
      </c>
      <c r="F138" t="b">
        <f t="shared" si="10"/>
        <v>0</v>
      </c>
      <c r="G138" t="b">
        <f t="shared" si="11"/>
        <v>0</v>
      </c>
      <c r="H138" t="b">
        <f t="shared" si="12"/>
        <v>0</v>
      </c>
      <c r="I138" t="b">
        <f t="shared" si="13"/>
        <v>0</v>
      </c>
      <c r="J138" t="b">
        <f t="shared" si="14"/>
        <v>0</v>
      </c>
      <c r="K138" t="b">
        <f t="shared" si="15"/>
        <v>1</v>
      </c>
      <c r="L138" t="b">
        <f t="shared" si="16"/>
        <v>0</v>
      </c>
      <c r="M138" t="b">
        <f t="shared" si="17"/>
        <v>0</v>
      </c>
      <c r="N138" s="535"/>
      <c r="O138" s="558"/>
      <c r="R138" s="535"/>
      <c r="S138" s="558"/>
      <c r="V138" s="535"/>
      <c r="W138" s="558"/>
      <c r="Z138" s="535"/>
      <c r="AA138" s="558"/>
      <c r="AD138" s="535"/>
      <c r="AE138" s="558"/>
      <c r="AH138" s="535"/>
      <c r="AI138" s="558"/>
      <c r="AL138" s="535"/>
      <c r="AP138" s="535"/>
    </row>
    <row r="139">
      <c r="A139" s="552"/>
      <c r="B139" s="552"/>
      <c r="C139" t="str">
        <f>Filtered!I129</f>
        <v>Obstetrical &amp; Gynecological Survey</v>
      </c>
      <c r="D139" t="str">
        <f>Filtered!J129</f>
        <v/>
      </c>
      <c r="E139" t="str">
        <f>Filtered!AD129</f>
        <v>Unsure</v>
      </c>
      <c r="F139" t="b">
        <f t="shared" si="10"/>
        <v>0</v>
      </c>
      <c r="G139" t="b">
        <f t="shared" si="11"/>
        <v>0</v>
      </c>
      <c r="H139" t="b">
        <f t="shared" si="12"/>
        <v>0</v>
      </c>
      <c r="I139" t="b">
        <f t="shared" si="13"/>
        <v>0</v>
      </c>
      <c r="J139" t="b">
        <f t="shared" si="14"/>
        <v>0</v>
      </c>
      <c r="K139" t="b">
        <f t="shared" si="15"/>
        <v>0</v>
      </c>
      <c r="L139" t="b">
        <f t="shared" si="16"/>
        <v>0</v>
      </c>
      <c r="M139" t="b">
        <f t="shared" si="17"/>
        <v>0</v>
      </c>
      <c r="N139" s="535"/>
      <c r="O139" s="558"/>
      <c r="R139" s="535"/>
      <c r="S139" s="558"/>
      <c r="V139" s="535"/>
      <c r="W139" s="558"/>
      <c r="Z139" s="535"/>
      <c r="AA139" s="558"/>
      <c r="AD139" s="535"/>
      <c r="AE139" s="558"/>
      <c r="AH139" s="535"/>
      <c r="AI139" s="558"/>
      <c r="AL139" s="535"/>
      <c r="AP139" s="535"/>
    </row>
    <row r="140">
      <c r="A140" s="552"/>
      <c r="B140" s="552"/>
      <c r="C140" t="str">
        <f>Filtered!I130</f>
        <v>Optics Express</v>
      </c>
      <c r="D140" t="str">
        <f>Filtered!J130</f>
        <v>Physics &amp; Mathematics</v>
      </c>
      <c r="E140" t="str">
        <f>Filtered!AD130</f>
        <v>Yes</v>
      </c>
      <c r="F140" t="b">
        <f t="shared" si="10"/>
        <v>0</v>
      </c>
      <c r="G140" t="b">
        <f t="shared" si="11"/>
        <v>0</v>
      </c>
      <c r="H140" t="b">
        <f t="shared" si="12"/>
        <v>0</v>
      </c>
      <c r="I140" t="b">
        <f t="shared" si="13"/>
        <v>0</v>
      </c>
      <c r="J140" t="b">
        <f t="shared" si="14"/>
        <v>0</v>
      </c>
      <c r="K140" t="b">
        <f t="shared" si="15"/>
        <v>0</v>
      </c>
      <c r="L140" t="b">
        <f t="shared" si="16"/>
        <v>1</v>
      </c>
      <c r="M140" t="b">
        <f t="shared" si="17"/>
        <v>0</v>
      </c>
      <c r="N140" s="535"/>
      <c r="O140" s="558"/>
      <c r="R140" s="535"/>
      <c r="S140" s="558"/>
      <c r="V140" s="535"/>
      <c r="W140" s="558"/>
      <c r="Z140" s="535"/>
      <c r="AA140" s="558"/>
      <c r="AD140" s="535"/>
      <c r="AE140" s="558"/>
      <c r="AH140" s="535"/>
      <c r="AI140" s="558"/>
      <c r="AL140" s="535"/>
      <c r="AP140" s="535"/>
    </row>
    <row r="141">
      <c r="A141" s="552"/>
      <c r="B141" s="552"/>
      <c r="C141" t="str">
        <f>Filtered!I131</f>
        <v>Pediatrics</v>
      </c>
      <c r="D141" t="str">
        <f>Filtered!J131</f>
        <v/>
      </c>
      <c r="E141" t="str">
        <f>Filtered!AD131</f>
        <v>Yes</v>
      </c>
      <c r="F141" t="b">
        <f t="shared" si="10"/>
        <v>0</v>
      </c>
      <c r="G141" t="b">
        <f t="shared" si="11"/>
        <v>0</v>
      </c>
      <c r="H141" t="b">
        <f t="shared" si="12"/>
        <v>0</v>
      </c>
      <c r="I141" t="b">
        <f t="shared" si="13"/>
        <v>0</v>
      </c>
      <c r="J141" t="b">
        <f t="shared" si="14"/>
        <v>0</v>
      </c>
      <c r="K141" t="b">
        <f t="shared" si="15"/>
        <v>0</v>
      </c>
      <c r="L141" t="b">
        <f t="shared" si="16"/>
        <v>0</v>
      </c>
      <c r="M141" t="b">
        <f t="shared" si="17"/>
        <v>0</v>
      </c>
      <c r="N141" s="535"/>
      <c r="O141" s="558"/>
      <c r="R141" s="535"/>
      <c r="S141" s="558"/>
      <c r="V141" s="535"/>
      <c r="W141" s="558"/>
      <c r="Z141" s="535"/>
      <c r="AA141" s="558"/>
      <c r="AD141" s="535"/>
      <c r="AE141" s="558"/>
      <c r="AH141" s="535"/>
      <c r="AI141" s="558"/>
      <c r="AL141" s="535"/>
      <c r="AP141" s="535"/>
    </row>
    <row r="142">
      <c r="A142" s="552"/>
      <c r="B142" s="552"/>
      <c r="C142" t="str">
        <f>Filtered!I132</f>
        <v>Philosophical Studies</v>
      </c>
      <c r="D142" t="str">
        <f>Filtered!J132</f>
        <v>Humanities, Literature &amp; Arts</v>
      </c>
      <c r="E142" t="str">
        <f>Filtered!AD132</f>
        <v>Unsure</v>
      </c>
      <c r="F142" t="b">
        <f t="shared" si="10"/>
        <v>0</v>
      </c>
      <c r="G142" t="b">
        <f t="shared" si="11"/>
        <v>0</v>
      </c>
      <c r="H142" t="b">
        <f t="shared" si="12"/>
        <v>0</v>
      </c>
      <c r="I142" t="b">
        <f t="shared" si="13"/>
        <v>0</v>
      </c>
      <c r="J142" t="b">
        <f t="shared" si="14"/>
        <v>1</v>
      </c>
      <c r="K142" t="b">
        <f t="shared" si="15"/>
        <v>0</v>
      </c>
      <c r="L142" t="b">
        <f t="shared" si="16"/>
        <v>0</v>
      </c>
      <c r="M142" t="b">
        <f t="shared" si="17"/>
        <v>0</v>
      </c>
      <c r="N142" s="535"/>
      <c r="O142" s="558"/>
      <c r="R142" s="535"/>
      <c r="S142" s="558"/>
      <c r="V142" s="535"/>
      <c r="W142" s="558"/>
      <c r="Z142" s="535"/>
      <c r="AA142" s="558"/>
      <c r="AD142" s="535"/>
      <c r="AE142" s="558"/>
      <c r="AH142" s="535"/>
      <c r="AI142" s="558"/>
      <c r="AL142" s="535"/>
      <c r="AP142" s="535"/>
    </row>
    <row r="143">
      <c r="A143" s="552"/>
      <c r="B143" s="552"/>
      <c r="C143" t="str">
        <f>Filtered!I133</f>
        <v>Physical Review B</v>
      </c>
      <c r="D143" t="str">
        <f>Filtered!J133</f>
        <v>Physics &amp; Mathematics</v>
      </c>
      <c r="E143" t="str">
        <f>Filtered!AD133</f>
        <v>Yes</v>
      </c>
      <c r="F143" t="b">
        <f t="shared" si="10"/>
        <v>0</v>
      </c>
      <c r="G143" t="b">
        <f t="shared" si="11"/>
        <v>0</v>
      </c>
      <c r="H143" t="b">
        <f t="shared" si="12"/>
        <v>0</v>
      </c>
      <c r="I143" t="b">
        <f t="shared" si="13"/>
        <v>0</v>
      </c>
      <c r="J143" t="b">
        <f t="shared" si="14"/>
        <v>0</v>
      </c>
      <c r="K143" t="b">
        <f t="shared" si="15"/>
        <v>0</v>
      </c>
      <c r="L143" t="b">
        <f t="shared" si="16"/>
        <v>1</v>
      </c>
      <c r="M143" t="b">
        <f t="shared" si="17"/>
        <v>0</v>
      </c>
      <c r="N143" s="535"/>
      <c r="O143" s="558"/>
      <c r="R143" s="535"/>
      <c r="S143" s="558"/>
      <c r="V143" s="535"/>
      <c r="W143" s="558"/>
      <c r="Z143" s="535"/>
      <c r="AA143" s="558"/>
      <c r="AD143" s="535"/>
      <c r="AE143" s="558"/>
      <c r="AH143" s="535"/>
      <c r="AI143" s="558"/>
      <c r="AL143" s="535"/>
      <c r="AP143" s="535"/>
    </row>
    <row r="144">
      <c r="A144" s="552"/>
      <c r="B144" s="552"/>
      <c r="C144" t="str">
        <f>Filtered!I134</f>
        <v>Physical Review D</v>
      </c>
      <c r="D144" t="str">
        <f>Filtered!J134</f>
        <v>Physics &amp; Mathematics</v>
      </c>
      <c r="E144" t="str">
        <f>Filtered!AD134</f>
        <v>Yes</v>
      </c>
      <c r="F144" t="b">
        <f t="shared" si="10"/>
        <v>0</v>
      </c>
      <c r="G144" t="b">
        <f t="shared" si="11"/>
        <v>0</v>
      </c>
      <c r="H144" t="b">
        <f t="shared" si="12"/>
        <v>0</v>
      </c>
      <c r="I144" t="b">
        <f t="shared" si="13"/>
        <v>0</v>
      </c>
      <c r="J144" t="b">
        <f t="shared" si="14"/>
        <v>0</v>
      </c>
      <c r="K144" t="b">
        <f t="shared" si="15"/>
        <v>0</v>
      </c>
      <c r="L144" t="b">
        <f t="shared" si="16"/>
        <v>1</v>
      </c>
      <c r="M144" t="b">
        <f t="shared" si="17"/>
        <v>0</v>
      </c>
      <c r="N144" s="535"/>
      <c r="O144" s="558"/>
      <c r="R144" s="535"/>
      <c r="S144" s="558"/>
      <c r="V144" s="535"/>
      <c r="W144" s="558"/>
      <c r="Z144" s="535"/>
      <c r="AA144" s="558"/>
      <c r="AD144" s="535"/>
      <c r="AE144" s="558"/>
      <c r="AH144" s="535"/>
      <c r="AI144" s="558"/>
      <c r="AL144" s="535"/>
      <c r="AP144" s="535"/>
    </row>
    <row r="145">
      <c r="A145" s="552"/>
      <c r="B145" s="552"/>
      <c r="C145" t="str">
        <f>Filtered!I135</f>
        <v>Physical Review Letters</v>
      </c>
      <c r="D145" t="str">
        <f>Filtered!J135</f>
        <v>Physics &amp; Mathematics</v>
      </c>
      <c r="E145" t="str">
        <f>Filtered!AD135</f>
        <v>Yes</v>
      </c>
      <c r="F145" t="b">
        <f t="shared" si="10"/>
        <v>0</v>
      </c>
      <c r="G145" t="b">
        <f t="shared" si="11"/>
        <v>0</v>
      </c>
      <c r="H145" t="b">
        <f t="shared" si="12"/>
        <v>0</v>
      </c>
      <c r="I145" t="b">
        <f t="shared" si="13"/>
        <v>0</v>
      </c>
      <c r="J145" t="b">
        <f t="shared" si="14"/>
        <v>0</v>
      </c>
      <c r="K145" t="b">
        <f t="shared" si="15"/>
        <v>0</v>
      </c>
      <c r="L145" t="b">
        <f t="shared" si="16"/>
        <v>1</v>
      </c>
      <c r="M145" t="b">
        <f t="shared" si="17"/>
        <v>0</v>
      </c>
      <c r="N145" s="535"/>
      <c r="O145" s="558"/>
      <c r="R145" s="535"/>
      <c r="S145" s="558"/>
      <c r="V145" s="535"/>
      <c r="W145" s="558"/>
      <c r="Z145" s="535"/>
      <c r="AA145" s="558"/>
      <c r="AD145" s="535"/>
      <c r="AE145" s="558"/>
      <c r="AH145" s="535"/>
      <c r="AI145" s="558"/>
      <c r="AL145" s="535"/>
      <c r="AP145" s="535"/>
    </row>
    <row r="146">
      <c r="A146" s="552"/>
      <c r="B146" s="552"/>
      <c r="C146" t="str">
        <f>Filtered!I136</f>
        <v>Physical Review X</v>
      </c>
      <c r="D146" t="str">
        <f>Filtered!J136</f>
        <v>Physics &amp; Mathematics</v>
      </c>
      <c r="E146" t="str">
        <f>Filtered!AD136</f>
        <v>Yes</v>
      </c>
      <c r="F146" t="b">
        <f t="shared" si="10"/>
        <v>0</v>
      </c>
      <c r="G146" t="b">
        <f t="shared" si="11"/>
        <v>0</v>
      </c>
      <c r="H146" t="b">
        <f t="shared" si="12"/>
        <v>0</v>
      </c>
      <c r="I146" t="b">
        <f t="shared" si="13"/>
        <v>0</v>
      </c>
      <c r="J146" t="b">
        <f t="shared" si="14"/>
        <v>0</v>
      </c>
      <c r="K146" t="b">
        <f t="shared" si="15"/>
        <v>0</v>
      </c>
      <c r="L146" t="b">
        <f t="shared" si="16"/>
        <v>1</v>
      </c>
      <c r="M146" t="b">
        <f t="shared" si="17"/>
        <v>0</v>
      </c>
      <c r="N146" s="535"/>
      <c r="O146" s="558"/>
      <c r="R146" s="535"/>
      <c r="S146" s="558"/>
      <c r="V146" s="535"/>
      <c r="W146" s="558"/>
      <c r="Z146" s="535"/>
      <c r="AA146" s="558"/>
      <c r="AD146" s="535"/>
      <c r="AE146" s="558"/>
      <c r="AH146" s="535"/>
      <c r="AI146" s="558"/>
      <c r="AL146" s="535"/>
      <c r="AP146" s="535"/>
    </row>
    <row r="147">
      <c r="A147" s="552"/>
      <c r="B147" s="552"/>
      <c r="C147" t="str">
        <f>Filtered!I137</f>
        <v>Physics Letters B</v>
      </c>
      <c r="D147" t="str">
        <f>Filtered!J137</f>
        <v>Physics &amp; Mathematics</v>
      </c>
      <c r="E147" t="str">
        <f>Filtered!AD137</f>
        <v>Unsure</v>
      </c>
      <c r="F147" t="b">
        <f t="shared" si="10"/>
        <v>0</v>
      </c>
      <c r="G147" t="b">
        <f t="shared" si="11"/>
        <v>0</v>
      </c>
      <c r="H147" t="b">
        <f t="shared" si="12"/>
        <v>0</v>
      </c>
      <c r="I147" t="b">
        <f t="shared" si="13"/>
        <v>0</v>
      </c>
      <c r="J147" t="b">
        <f t="shared" si="14"/>
        <v>0</v>
      </c>
      <c r="K147" t="b">
        <f t="shared" si="15"/>
        <v>0</v>
      </c>
      <c r="L147" t="b">
        <f t="shared" si="16"/>
        <v>1</v>
      </c>
      <c r="M147" t="b">
        <f t="shared" si="17"/>
        <v>0</v>
      </c>
      <c r="N147" s="535"/>
      <c r="O147" s="558"/>
      <c r="R147" s="535"/>
      <c r="S147" s="558"/>
      <c r="V147" s="535"/>
      <c r="W147" s="558"/>
      <c r="Z147" s="535"/>
      <c r="AA147" s="558"/>
      <c r="AD147" s="535"/>
      <c r="AE147" s="558"/>
      <c r="AH147" s="535"/>
      <c r="AI147" s="558"/>
      <c r="AL147" s="535"/>
      <c r="AP147" s="535"/>
    </row>
    <row r="148">
      <c r="A148" s="552"/>
      <c r="B148" s="552"/>
      <c r="C148" t="str">
        <f>Filtered!I138</f>
        <v>PLoS One</v>
      </c>
      <c r="D148" t="str">
        <f>Filtered!J138</f>
        <v>Health &amp; Medical Sciences,
Life Sciences &amp; Earth Sciences</v>
      </c>
      <c r="E148" t="str">
        <f>Filtered!AD138</f>
        <v>Yes</v>
      </c>
      <c r="F148" t="b">
        <f t="shared" si="10"/>
        <v>0</v>
      </c>
      <c r="G148" t="b">
        <f t="shared" si="11"/>
        <v>0</v>
      </c>
      <c r="H148" t="b">
        <f t="shared" si="12"/>
        <v>0</v>
      </c>
      <c r="I148" t="b">
        <f t="shared" si="13"/>
        <v>1</v>
      </c>
      <c r="J148" t="b">
        <f t="shared" si="14"/>
        <v>0</v>
      </c>
      <c r="K148" t="b">
        <f t="shared" si="15"/>
        <v>1</v>
      </c>
      <c r="L148" t="b">
        <f t="shared" si="16"/>
        <v>0</v>
      </c>
      <c r="M148" t="b">
        <f t="shared" si="17"/>
        <v>0</v>
      </c>
      <c r="N148" s="535"/>
      <c r="O148" s="558"/>
      <c r="R148" s="535"/>
      <c r="S148" s="558"/>
      <c r="V148" s="535"/>
      <c r="W148" s="558"/>
      <c r="Z148" s="535"/>
      <c r="AA148" s="558"/>
      <c r="AD148" s="535"/>
      <c r="AE148" s="558"/>
      <c r="AH148" s="535"/>
      <c r="AI148" s="558"/>
      <c r="AL148" s="535"/>
      <c r="AP148" s="535"/>
    </row>
    <row r="149">
      <c r="A149" s="552"/>
      <c r="B149" s="552"/>
      <c r="C149" t="str">
        <f>Filtered!I139</f>
        <v>Proceedings of the National Academy of Sciences</v>
      </c>
      <c r="D149" t="str">
        <f>Filtered!J139</f>
        <v>Health &amp; Medical Sciences,
Life Sciences &amp; Earth Sciences</v>
      </c>
      <c r="E149" t="str">
        <f>Filtered!AD139</f>
        <v>Yes</v>
      </c>
      <c r="F149" t="b">
        <f t="shared" si="10"/>
        <v>0</v>
      </c>
      <c r="G149" t="b">
        <f t="shared" si="11"/>
        <v>0</v>
      </c>
      <c r="H149" t="b">
        <f t="shared" si="12"/>
        <v>0</v>
      </c>
      <c r="I149" t="b">
        <f t="shared" si="13"/>
        <v>1</v>
      </c>
      <c r="J149" t="b">
        <f t="shared" si="14"/>
        <v>0</v>
      </c>
      <c r="K149" t="b">
        <f t="shared" si="15"/>
        <v>1</v>
      </c>
      <c r="L149" t="b">
        <f t="shared" si="16"/>
        <v>0</v>
      </c>
      <c r="M149" t="b">
        <f t="shared" si="17"/>
        <v>0</v>
      </c>
      <c r="N149" s="535"/>
      <c r="O149" s="558"/>
      <c r="R149" s="535"/>
      <c r="S149" s="558"/>
      <c r="V149" s="535"/>
      <c r="W149" s="558"/>
      <c r="Z149" s="535"/>
      <c r="AA149" s="558"/>
      <c r="AD149" s="535"/>
      <c r="AE149" s="558"/>
      <c r="AH149" s="535"/>
      <c r="AI149" s="558"/>
      <c r="AL149" s="535"/>
      <c r="AP149" s="535"/>
    </row>
    <row r="150">
      <c r="A150" s="552"/>
      <c r="B150" s="552"/>
      <c r="C150" t="str">
        <f>Filtered!I140</f>
        <v>Progress in Human Geography</v>
      </c>
      <c r="D150" t="str">
        <f>Filtered!J140</f>
        <v>Social Sciences</v>
      </c>
      <c r="E150" t="str">
        <f>Filtered!AD140</f>
        <v>Yes</v>
      </c>
      <c r="F150" t="b">
        <f t="shared" si="10"/>
        <v>0</v>
      </c>
      <c r="G150" t="b">
        <f t="shared" si="11"/>
        <v>0</v>
      </c>
      <c r="H150" t="b">
        <f t="shared" si="12"/>
        <v>0</v>
      </c>
      <c r="I150" t="b">
        <f t="shared" si="13"/>
        <v>0</v>
      </c>
      <c r="J150" t="b">
        <f t="shared" si="14"/>
        <v>0</v>
      </c>
      <c r="K150" t="b">
        <f t="shared" si="15"/>
        <v>0</v>
      </c>
      <c r="L150" t="b">
        <f t="shared" si="16"/>
        <v>0</v>
      </c>
      <c r="M150" t="b">
        <f t="shared" si="17"/>
        <v>1</v>
      </c>
      <c r="N150" s="535"/>
      <c r="O150" s="558"/>
      <c r="R150" s="535"/>
      <c r="S150" s="558"/>
      <c r="V150" s="535"/>
      <c r="W150" s="558"/>
      <c r="Z150" s="535"/>
      <c r="AA150" s="558"/>
      <c r="AD150" s="535"/>
      <c r="AE150" s="558"/>
      <c r="AH150" s="535"/>
      <c r="AI150" s="558"/>
      <c r="AL150" s="535"/>
      <c r="AP150" s="535"/>
    </row>
    <row r="151">
      <c r="A151" s="552"/>
      <c r="B151" s="552"/>
      <c r="C151" t="str">
        <f>Filtered!I141</f>
        <v>Public Opinion Quarterly</v>
      </c>
      <c r="D151" t="str">
        <f>Filtered!J141</f>
        <v>Humanities, Literature &amp; Arts</v>
      </c>
      <c r="E151" t="str">
        <f>Filtered!AD141</f>
        <v>Unsure</v>
      </c>
      <c r="F151" t="b">
        <f t="shared" si="10"/>
        <v>0</v>
      </c>
      <c r="G151" t="b">
        <f t="shared" si="11"/>
        <v>0</v>
      </c>
      <c r="H151" t="b">
        <f t="shared" si="12"/>
        <v>0</v>
      </c>
      <c r="I151" t="b">
        <f t="shared" si="13"/>
        <v>0</v>
      </c>
      <c r="J151" t="b">
        <f t="shared" si="14"/>
        <v>1</v>
      </c>
      <c r="K151" t="b">
        <f t="shared" si="15"/>
        <v>0</v>
      </c>
      <c r="L151" t="b">
        <f t="shared" si="16"/>
        <v>0</v>
      </c>
      <c r="M151" t="b">
        <f t="shared" si="17"/>
        <v>0</v>
      </c>
      <c r="N151" s="535"/>
      <c r="O151" s="558"/>
      <c r="R151" s="535"/>
      <c r="S151" s="558"/>
      <c r="V151" s="535"/>
      <c r="W151" s="558"/>
      <c r="Z151" s="535"/>
      <c r="AA151" s="558"/>
      <c r="AD151" s="535"/>
      <c r="AE151" s="558"/>
      <c r="AH151" s="535"/>
      <c r="AI151" s="558"/>
      <c r="AL151" s="535"/>
      <c r="AP151" s="535"/>
    </row>
    <row r="152">
      <c r="A152" s="552"/>
      <c r="B152" s="552"/>
      <c r="C152" t="str">
        <f>Filtered!I142</f>
        <v>Regional Studies</v>
      </c>
      <c r="D152" t="str">
        <f>Filtered!J142</f>
        <v>Social Sciences</v>
      </c>
      <c r="E152" t="str">
        <f>Filtered!AD142</f>
        <v>Unsure</v>
      </c>
      <c r="F152" t="b">
        <f t="shared" si="10"/>
        <v>0</v>
      </c>
      <c r="G152" t="b">
        <f t="shared" si="11"/>
        <v>0</v>
      </c>
      <c r="H152" t="b">
        <f t="shared" si="12"/>
        <v>0</v>
      </c>
      <c r="I152" t="b">
        <f t="shared" si="13"/>
        <v>0</v>
      </c>
      <c r="J152" t="b">
        <f t="shared" si="14"/>
        <v>0</v>
      </c>
      <c r="K152" t="b">
        <f t="shared" si="15"/>
        <v>0</v>
      </c>
      <c r="L152" t="b">
        <f t="shared" si="16"/>
        <v>0</v>
      </c>
      <c r="M152" t="b">
        <f t="shared" si="17"/>
        <v>1</v>
      </c>
      <c r="N152" s="535"/>
      <c r="O152" s="558"/>
      <c r="R152" s="535"/>
      <c r="S152" s="558"/>
      <c r="V152" s="535"/>
      <c r="W152" s="558"/>
      <c r="Z152" s="535"/>
      <c r="AA152" s="558"/>
      <c r="AD152" s="535"/>
      <c r="AE152" s="558"/>
      <c r="AH152" s="535"/>
      <c r="AI152" s="558"/>
      <c r="AL152" s="535"/>
      <c r="AP152" s="535"/>
    </row>
    <row r="153">
      <c r="A153" s="552"/>
      <c r="B153" s="552"/>
      <c r="C153" t="str">
        <f>Filtered!I143</f>
        <v>Renewable and Sustainable Energy Reviews</v>
      </c>
      <c r="D153" t="str">
        <f>Filtered!J143</f>
        <v>Engineering &amp; Computer Science</v>
      </c>
      <c r="E153" t="str">
        <f>Filtered!AD143</f>
        <v>Unsure</v>
      </c>
      <c r="F153" t="b">
        <f t="shared" si="10"/>
        <v>0</v>
      </c>
      <c r="G153" t="b">
        <f t="shared" si="11"/>
        <v>0</v>
      </c>
      <c r="H153" t="b">
        <f t="shared" si="12"/>
        <v>1</v>
      </c>
      <c r="I153" t="b">
        <f t="shared" si="13"/>
        <v>0</v>
      </c>
      <c r="J153" t="b">
        <f t="shared" si="14"/>
        <v>0</v>
      </c>
      <c r="K153" t="b">
        <f t="shared" si="15"/>
        <v>0</v>
      </c>
      <c r="L153" t="b">
        <f t="shared" si="16"/>
        <v>0</v>
      </c>
      <c r="M153" t="b">
        <f t="shared" si="17"/>
        <v>0</v>
      </c>
      <c r="N153" s="535"/>
      <c r="O153" s="558"/>
      <c r="R153" s="535"/>
      <c r="S153" s="558"/>
      <c r="V153" s="535"/>
      <c r="W153" s="558"/>
      <c r="Z153" s="535"/>
      <c r="AA153" s="558"/>
      <c r="AD153" s="535"/>
      <c r="AE153" s="558"/>
      <c r="AH153" s="535"/>
      <c r="AI153" s="558"/>
      <c r="AL153" s="535"/>
      <c r="AP153" s="535"/>
    </row>
    <row r="154">
      <c r="A154" s="552"/>
      <c r="B154" s="552"/>
      <c r="C154" t="str">
        <f>Filtered!I144</f>
        <v>Research Policy</v>
      </c>
      <c r="D154" t="str">
        <f>Filtered!J144</f>
        <v>Social Sciences</v>
      </c>
      <c r="E154" t="str">
        <f>Filtered!AD144</f>
        <v>Unsure</v>
      </c>
      <c r="F154" t="b">
        <f t="shared" si="10"/>
        <v>0</v>
      </c>
      <c r="G154" t="b">
        <f t="shared" si="11"/>
        <v>0</v>
      </c>
      <c r="H154" t="b">
        <f t="shared" si="12"/>
        <v>0</v>
      </c>
      <c r="I154" t="b">
        <f t="shared" si="13"/>
        <v>0</v>
      </c>
      <c r="J154" t="b">
        <f t="shared" si="14"/>
        <v>0</v>
      </c>
      <c r="K154" t="b">
        <f t="shared" si="15"/>
        <v>0</v>
      </c>
      <c r="L154" t="b">
        <f t="shared" si="16"/>
        <v>0</v>
      </c>
      <c r="M154" t="b">
        <f t="shared" si="17"/>
        <v>1</v>
      </c>
      <c r="N154" s="535"/>
      <c r="O154" s="558"/>
      <c r="R154" s="535"/>
      <c r="S154" s="558"/>
      <c r="V154" s="535"/>
      <c r="W154" s="558"/>
      <c r="Z154" s="535"/>
      <c r="AA154" s="558"/>
      <c r="AD154" s="535"/>
      <c r="AE154" s="558"/>
      <c r="AH154" s="535"/>
      <c r="AI154" s="558"/>
      <c r="AL154" s="535"/>
      <c r="AP154" s="535"/>
    </row>
    <row r="155">
      <c r="A155" s="552"/>
      <c r="B155" s="552"/>
      <c r="C155" t="str">
        <f>Filtered!I145</f>
        <v>Review of Economics and Statistics</v>
      </c>
      <c r="D155" t="str">
        <f>Filtered!J145</f>
        <v>Business, Economics &amp; Management</v>
      </c>
      <c r="E155" t="str">
        <f>Filtered!AD145</f>
        <v>Unsure</v>
      </c>
      <c r="F155" t="b">
        <f t="shared" si="10"/>
        <v>1</v>
      </c>
      <c r="G155" t="b">
        <f t="shared" si="11"/>
        <v>0</v>
      </c>
      <c r="H155" t="b">
        <f t="shared" si="12"/>
        <v>0</v>
      </c>
      <c r="I155" t="b">
        <f t="shared" si="13"/>
        <v>0</v>
      </c>
      <c r="J155" t="b">
        <f t="shared" si="14"/>
        <v>0</v>
      </c>
      <c r="K155" t="b">
        <f t="shared" si="15"/>
        <v>0</v>
      </c>
      <c r="L155" t="b">
        <f t="shared" si="16"/>
        <v>0</v>
      </c>
      <c r="M155" t="b">
        <f t="shared" si="17"/>
        <v>0</v>
      </c>
      <c r="N155" s="535"/>
      <c r="O155" s="558"/>
      <c r="R155" s="535"/>
      <c r="S155" s="558"/>
      <c r="V155" s="535"/>
      <c r="W155" s="558"/>
      <c r="Z155" s="535"/>
      <c r="AA155" s="558"/>
      <c r="AD155" s="535"/>
      <c r="AE155" s="558"/>
      <c r="AH155" s="535"/>
      <c r="AI155" s="558"/>
      <c r="AL155" s="535"/>
      <c r="AP155" s="535"/>
    </row>
    <row r="156">
      <c r="A156" s="552"/>
      <c r="B156" s="552"/>
      <c r="C156" t="str">
        <f>Filtered!I146</f>
        <v>Reviews of Modern Physics</v>
      </c>
      <c r="D156" t="str">
        <f>Filtered!J146</f>
        <v>Physics &amp; Mathematics</v>
      </c>
      <c r="E156" t="str">
        <f>Filtered!AD146</f>
        <v>Yes</v>
      </c>
      <c r="F156" t="b">
        <f t="shared" si="10"/>
        <v>0</v>
      </c>
      <c r="G156" t="b">
        <f t="shared" si="11"/>
        <v>0</v>
      </c>
      <c r="H156" t="b">
        <f t="shared" si="12"/>
        <v>0</v>
      </c>
      <c r="I156" t="b">
        <f t="shared" si="13"/>
        <v>0</v>
      </c>
      <c r="J156" t="b">
        <f t="shared" si="14"/>
        <v>0</v>
      </c>
      <c r="K156" t="b">
        <f t="shared" si="15"/>
        <v>0</v>
      </c>
      <c r="L156" t="b">
        <f t="shared" si="16"/>
        <v>1</v>
      </c>
      <c r="M156" t="b">
        <f t="shared" si="17"/>
        <v>0</v>
      </c>
      <c r="N156" s="535"/>
      <c r="O156" s="558"/>
      <c r="R156" s="535"/>
      <c r="S156" s="558"/>
      <c r="V156" s="535"/>
      <c r="W156" s="558"/>
      <c r="Z156" s="535"/>
      <c r="AA156" s="558"/>
      <c r="AD156" s="535"/>
      <c r="AE156" s="558"/>
      <c r="AH156" s="535"/>
      <c r="AI156" s="558"/>
      <c r="AL156" s="535"/>
      <c r="AP156" s="535"/>
    </row>
    <row r="157">
      <c r="A157" s="552"/>
      <c r="B157" s="552"/>
      <c r="C157" t="str">
        <f>Filtered!I147</f>
        <v>Science</v>
      </c>
      <c r="D157" t="str">
        <f>Filtered!J147</f>
        <v>Life Sciences &amp; Earth Sciences</v>
      </c>
      <c r="E157" t="str">
        <f>Filtered!AD147</f>
        <v>Unsure</v>
      </c>
      <c r="F157" t="b">
        <f t="shared" si="10"/>
        <v>0</v>
      </c>
      <c r="G157" t="b">
        <f t="shared" si="11"/>
        <v>0</v>
      </c>
      <c r="H157" t="b">
        <f t="shared" si="12"/>
        <v>0</v>
      </c>
      <c r="I157" t="b">
        <f t="shared" si="13"/>
        <v>0</v>
      </c>
      <c r="J157" t="b">
        <f t="shared" si="14"/>
        <v>0</v>
      </c>
      <c r="K157" t="b">
        <f t="shared" si="15"/>
        <v>1</v>
      </c>
      <c r="L157" t="b">
        <f t="shared" si="16"/>
        <v>0</v>
      </c>
      <c r="M157" t="b">
        <f t="shared" si="17"/>
        <v>0</v>
      </c>
      <c r="N157" s="535"/>
      <c r="O157" s="558"/>
      <c r="R157" s="535"/>
      <c r="S157" s="558"/>
      <c r="V157" s="535"/>
      <c r="W157" s="558"/>
      <c r="Z157" s="535"/>
      <c r="AA157" s="558"/>
      <c r="AD157" s="535"/>
      <c r="AE157" s="558"/>
      <c r="AH157" s="535"/>
      <c r="AI157" s="558"/>
      <c r="AL157" s="535"/>
      <c r="AP157" s="535"/>
    </row>
    <row r="158">
      <c r="A158" s="552"/>
      <c r="B158" s="552"/>
      <c r="C158" t="str">
        <f>Filtered!I148</f>
        <v>Science Translational Medicine</v>
      </c>
      <c r="D158" t="str">
        <f>Filtered!J148</f>
        <v/>
      </c>
      <c r="E158" t="str">
        <f>Filtered!AD148</f>
        <v>Unsure</v>
      </c>
      <c r="F158" t="b">
        <f t="shared" si="10"/>
        <v>0</v>
      </c>
      <c r="G158" t="b">
        <f t="shared" si="11"/>
        <v>0</v>
      </c>
      <c r="H158" t="b">
        <f t="shared" si="12"/>
        <v>0</v>
      </c>
      <c r="I158" t="b">
        <f t="shared" si="13"/>
        <v>0</v>
      </c>
      <c r="J158" t="b">
        <f t="shared" si="14"/>
        <v>0</v>
      </c>
      <c r="K158" t="b">
        <f t="shared" si="15"/>
        <v>0</v>
      </c>
      <c r="L158" t="b">
        <f t="shared" si="16"/>
        <v>0</v>
      </c>
      <c r="M158" t="b">
        <f t="shared" si="17"/>
        <v>0</v>
      </c>
      <c r="N158" s="535"/>
      <c r="O158" s="558"/>
      <c r="R158" s="535"/>
      <c r="S158" s="558"/>
      <c r="V158" s="535"/>
      <c r="W158" s="558"/>
      <c r="Z158" s="535"/>
      <c r="AA158" s="558"/>
      <c r="AD158" s="535"/>
      <c r="AE158" s="558"/>
      <c r="AH158" s="535"/>
      <c r="AI158" s="558"/>
      <c r="AL158" s="535"/>
      <c r="AP158" s="535"/>
    </row>
    <row r="159">
      <c r="A159" s="552"/>
      <c r="B159" s="552"/>
      <c r="C159" t="str">
        <f>Filtered!I149</f>
        <v>Scientific Reports</v>
      </c>
      <c r="D159" t="str">
        <f>Filtered!J149</f>
        <v>Life Sciences &amp; Earth Sciences</v>
      </c>
      <c r="E159" t="str">
        <f>Filtered!AD149</f>
        <v>Yes</v>
      </c>
      <c r="F159" t="b">
        <f t="shared" si="10"/>
        <v>0</v>
      </c>
      <c r="G159" t="b">
        <f t="shared" si="11"/>
        <v>0</v>
      </c>
      <c r="H159" t="b">
        <f t="shared" si="12"/>
        <v>0</v>
      </c>
      <c r="I159" t="b">
        <f t="shared" si="13"/>
        <v>0</v>
      </c>
      <c r="J159" t="b">
        <f t="shared" si="14"/>
        <v>0</v>
      </c>
      <c r="K159" t="b">
        <f t="shared" si="15"/>
        <v>1</v>
      </c>
      <c r="L159" t="b">
        <f t="shared" si="16"/>
        <v>0</v>
      </c>
      <c r="M159" t="b">
        <f t="shared" si="17"/>
        <v>0</v>
      </c>
      <c r="N159" s="535"/>
      <c r="O159" s="558"/>
      <c r="R159" s="535"/>
      <c r="S159" s="558"/>
      <c r="V159" s="535"/>
      <c r="W159" s="558"/>
      <c r="Z159" s="535"/>
      <c r="AA159" s="558"/>
      <c r="AD159" s="535"/>
      <c r="AE159" s="558"/>
      <c r="AH159" s="535"/>
      <c r="AI159" s="558"/>
      <c r="AL159" s="535"/>
      <c r="AP159" s="535"/>
    </row>
    <row r="160">
      <c r="A160" s="552"/>
      <c r="B160" s="552"/>
      <c r="C160" t="str">
        <f>Filtered!I150</f>
        <v>Social Science &amp; Medicine</v>
      </c>
      <c r="D160" t="str">
        <f>Filtered!J150</f>
        <v>Social Sciences</v>
      </c>
      <c r="E160" t="str">
        <f>Filtered!AD150</f>
        <v>Unsure</v>
      </c>
      <c r="F160" t="b">
        <f t="shared" si="10"/>
        <v>0</v>
      </c>
      <c r="G160" t="b">
        <f t="shared" si="11"/>
        <v>0</v>
      </c>
      <c r="H160" t="b">
        <f t="shared" si="12"/>
        <v>0</v>
      </c>
      <c r="I160" t="b">
        <f t="shared" si="13"/>
        <v>0</v>
      </c>
      <c r="J160" t="b">
        <f t="shared" si="14"/>
        <v>0</v>
      </c>
      <c r="K160" t="b">
        <f t="shared" si="15"/>
        <v>0</v>
      </c>
      <c r="L160" t="b">
        <f t="shared" si="16"/>
        <v>0</v>
      </c>
      <c r="M160" t="b">
        <f t="shared" si="17"/>
        <v>1</v>
      </c>
      <c r="N160" s="535"/>
      <c r="O160" s="558"/>
      <c r="R160" s="535"/>
      <c r="S160" s="558"/>
      <c r="V160" s="535"/>
      <c r="W160" s="558"/>
      <c r="Z160" s="535"/>
      <c r="AA160" s="558"/>
      <c r="AD160" s="535"/>
      <c r="AE160" s="558"/>
      <c r="AH160" s="535"/>
      <c r="AI160" s="558"/>
      <c r="AL160" s="535"/>
      <c r="AP160" s="535"/>
    </row>
    <row r="161">
      <c r="A161" s="552"/>
      <c r="B161" s="552"/>
      <c r="C161" t="str">
        <f>Filtered!I151</f>
        <v>Strategic Management Journal</v>
      </c>
      <c r="D161" t="str">
        <f>Filtered!J151</f>
        <v>Business, Economics &amp; Management</v>
      </c>
      <c r="E161" t="str">
        <f>Filtered!AD151</f>
        <v>Unsure</v>
      </c>
      <c r="F161" t="b">
        <f t="shared" si="10"/>
        <v>1</v>
      </c>
      <c r="G161" t="b">
        <f t="shared" si="11"/>
        <v>0</v>
      </c>
      <c r="H161" t="b">
        <f t="shared" si="12"/>
        <v>0</v>
      </c>
      <c r="I161" t="b">
        <f t="shared" si="13"/>
        <v>0</v>
      </c>
      <c r="J161" t="b">
        <f t="shared" si="14"/>
        <v>0</v>
      </c>
      <c r="K161" t="b">
        <f t="shared" si="15"/>
        <v>0</v>
      </c>
      <c r="L161" t="b">
        <f t="shared" si="16"/>
        <v>0</v>
      </c>
      <c r="M161" t="b">
        <f t="shared" si="17"/>
        <v>0</v>
      </c>
      <c r="N161" s="535"/>
      <c r="O161" s="558"/>
      <c r="R161" s="535"/>
      <c r="S161" s="558"/>
      <c r="V161" s="535"/>
      <c r="W161" s="558"/>
      <c r="Z161" s="535"/>
      <c r="AA161" s="558"/>
      <c r="AD161" s="535"/>
      <c r="AE161" s="558"/>
      <c r="AH161" s="535"/>
      <c r="AI161" s="558"/>
      <c r="AL161" s="535"/>
      <c r="AP161" s="535"/>
    </row>
    <row r="162">
      <c r="A162" s="552"/>
      <c r="B162" s="552"/>
      <c r="C162" t="str">
        <f>Filtered!I152</f>
        <v>Synthese</v>
      </c>
      <c r="D162" t="str">
        <f>Filtered!J152</f>
        <v>Humanities, Literature &amp; Arts</v>
      </c>
      <c r="E162" t="str">
        <f>Filtered!AD152</f>
        <v>Unsure</v>
      </c>
      <c r="F162" t="b">
        <f t="shared" si="10"/>
        <v>0</v>
      </c>
      <c r="G162" t="b">
        <f t="shared" si="11"/>
        <v>0</v>
      </c>
      <c r="H162" t="b">
        <f t="shared" si="12"/>
        <v>0</v>
      </c>
      <c r="I162" t="b">
        <f t="shared" si="13"/>
        <v>0</v>
      </c>
      <c r="J162" t="b">
        <f t="shared" si="14"/>
        <v>1</v>
      </c>
      <c r="K162" t="b">
        <f t="shared" si="15"/>
        <v>0</v>
      </c>
      <c r="L162" t="b">
        <f t="shared" si="16"/>
        <v>0</v>
      </c>
      <c r="M162" t="b">
        <f t="shared" si="17"/>
        <v>0</v>
      </c>
      <c r="N162" s="535"/>
      <c r="O162" s="558"/>
      <c r="R162" s="535"/>
      <c r="S162" s="558"/>
      <c r="V162" s="535"/>
      <c r="W162" s="558"/>
      <c r="Z162" s="535"/>
      <c r="AA162" s="558"/>
      <c r="AD162" s="535"/>
      <c r="AE162" s="558"/>
      <c r="AH162" s="535"/>
      <c r="AI162" s="558"/>
      <c r="AL162" s="535"/>
      <c r="AP162" s="535"/>
    </row>
    <row r="163">
      <c r="A163" s="552"/>
      <c r="B163" s="552"/>
      <c r="C163" t="str">
        <f>Filtered!I153</f>
        <v>System</v>
      </c>
      <c r="D163" t="str">
        <f>Filtered!J153</f>
        <v>Humanities, Literature &amp; Arts</v>
      </c>
      <c r="E163" t="str">
        <f>Filtered!AD153</f>
        <v>Unsure</v>
      </c>
      <c r="F163" t="b">
        <f t="shared" si="10"/>
        <v>0</v>
      </c>
      <c r="G163" t="b">
        <f t="shared" si="11"/>
        <v>0</v>
      </c>
      <c r="H163" t="b">
        <f t="shared" si="12"/>
        <v>0</v>
      </c>
      <c r="I163" t="b">
        <f t="shared" si="13"/>
        <v>0</v>
      </c>
      <c r="J163" t="b">
        <f t="shared" si="14"/>
        <v>1</v>
      </c>
      <c r="K163" t="b">
        <f t="shared" si="15"/>
        <v>0</v>
      </c>
      <c r="L163" t="b">
        <f t="shared" si="16"/>
        <v>0</v>
      </c>
      <c r="M163" t="b">
        <f t="shared" si="17"/>
        <v>0</v>
      </c>
      <c r="N163" s="535"/>
      <c r="O163" s="558"/>
      <c r="R163" s="535"/>
      <c r="S163" s="558"/>
      <c r="V163" s="535"/>
      <c r="W163" s="558"/>
      <c r="Z163" s="535"/>
      <c r="AA163" s="558"/>
      <c r="AD163" s="535"/>
      <c r="AE163" s="558"/>
      <c r="AH163" s="535"/>
      <c r="AI163" s="558"/>
      <c r="AL163" s="535"/>
      <c r="AP163" s="535"/>
    </row>
    <row r="164">
      <c r="A164" s="552"/>
      <c r="B164" s="552"/>
      <c r="C164" t="str">
        <f>Filtered!I154</f>
        <v>Teaching and Teacher Education</v>
      </c>
      <c r="D164" t="str">
        <f>Filtered!J154</f>
        <v>Social Sciences</v>
      </c>
      <c r="E164" t="str">
        <f>Filtered!AD154</f>
        <v>Unsure</v>
      </c>
      <c r="F164" t="b">
        <f t="shared" si="10"/>
        <v>0</v>
      </c>
      <c r="G164" t="b">
        <f t="shared" si="11"/>
        <v>0</v>
      </c>
      <c r="H164" t="b">
        <f t="shared" si="12"/>
        <v>0</v>
      </c>
      <c r="I164" t="b">
        <f t="shared" si="13"/>
        <v>0</v>
      </c>
      <c r="J164" t="b">
        <f t="shared" si="14"/>
        <v>0</v>
      </c>
      <c r="K164" t="b">
        <f t="shared" si="15"/>
        <v>0</v>
      </c>
      <c r="L164" t="b">
        <f t="shared" si="16"/>
        <v>0</v>
      </c>
      <c r="M164" t="b">
        <f t="shared" si="17"/>
        <v>1</v>
      </c>
      <c r="N164" s="535"/>
      <c r="O164" s="558"/>
      <c r="R164" s="535"/>
      <c r="S164" s="558"/>
      <c r="V164" s="535"/>
      <c r="W164" s="558"/>
      <c r="Z164" s="535"/>
      <c r="AA164" s="558"/>
      <c r="AD164" s="535"/>
      <c r="AE164" s="558"/>
      <c r="AH164" s="535"/>
      <c r="AI164" s="558"/>
      <c r="AL164" s="535"/>
      <c r="AP164" s="535"/>
    </row>
    <row r="165">
      <c r="A165" s="552"/>
      <c r="B165" s="552"/>
      <c r="C165" t="str">
        <f>Filtered!I155</f>
        <v>TESOL Quarterly</v>
      </c>
      <c r="D165" t="str">
        <f>Filtered!J155</f>
        <v>Humanities, Literature &amp; Arts</v>
      </c>
      <c r="E165" t="str">
        <f>Filtered!AD155</f>
        <v>Unsure</v>
      </c>
      <c r="F165" t="b">
        <f t="shared" si="10"/>
        <v>0</v>
      </c>
      <c r="G165" t="b">
        <f t="shared" si="11"/>
        <v>0</v>
      </c>
      <c r="H165" t="b">
        <f t="shared" si="12"/>
        <v>0</v>
      </c>
      <c r="I165" t="b">
        <f t="shared" si="13"/>
        <v>0</v>
      </c>
      <c r="J165" t="b">
        <f t="shared" si="14"/>
        <v>1</v>
      </c>
      <c r="K165" t="b">
        <f t="shared" si="15"/>
        <v>0</v>
      </c>
      <c r="L165" t="b">
        <f t="shared" si="16"/>
        <v>0</v>
      </c>
      <c r="M165" t="b">
        <f t="shared" si="17"/>
        <v>0</v>
      </c>
      <c r="N165" s="535"/>
      <c r="O165" s="558"/>
      <c r="R165" s="535"/>
      <c r="S165" s="558"/>
      <c r="V165" s="535"/>
      <c r="W165" s="558"/>
      <c r="Z165" s="535"/>
      <c r="AA165" s="558"/>
      <c r="AD165" s="535"/>
      <c r="AE165" s="558"/>
      <c r="AH165" s="535"/>
      <c r="AI165" s="558"/>
      <c r="AL165" s="535"/>
      <c r="AP165" s="535"/>
    </row>
    <row r="166">
      <c r="A166" s="552"/>
      <c r="B166" s="552"/>
      <c r="C166" t="str">
        <f>Filtered!I156</f>
        <v>The Astrophysical Journal</v>
      </c>
      <c r="D166" t="str">
        <f>Filtered!J156</f>
        <v>Physics &amp; Mathematics</v>
      </c>
      <c r="E166" t="str">
        <f>Filtered!AD156</f>
        <v>Unsure</v>
      </c>
      <c r="F166" t="b">
        <f t="shared" si="10"/>
        <v>0</v>
      </c>
      <c r="G166" t="b">
        <f t="shared" si="11"/>
        <v>0</v>
      </c>
      <c r="H166" t="b">
        <f t="shared" si="12"/>
        <v>0</v>
      </c>
      <c r="I166" t="b">
        <f t="shared" si="13"/>
        <v>0</v>
      </c>
      <c r="J166" t="b">
        <f t="shared" si="14"/>
        <v>0</v>
      </c>
      <c r="K166" t="b">
        <f t="shared" si="15"/>
        <v>0</v>
      </c>
      <c r="L166" t="b">
        <f t="shared" si="16"/>
        <v>1</v>
      </c>
      <c r="M166" t="b">
        <f t="shared" si="17"/>
        <v>0</v>
      </c>
      <c r="N166" s="535"/>
      <c r="O166" s="558"/>
      <c r="R166" s="535"/>
      <c r="S166" s="558"/>
      <c r="V166" s="535"/>
      <c r="W166" s="558"/>
      <c r="Z166" s="535"/>
      <c r="AA166" s="558"/>
      <c r="AD166" s="535"/>
      <c r="AE166" s="558"/>
      <c r="AH166" s="535"/>
      <c r="AI166" s="558"/>
      <c r="AL166" s="535"/>
      <c r="AP166" s="535"/>
    </row>
    <row r="167">
      <c r="A167" s="552"/>
      <c r="B167" s="552"/>
      <c r="C167" t="str">
        <f>Filtered!I157</f>
        <v>The China Quarterly</v>
      </c>
      <c r="D167" t="str">
        <f>Filtered!J157</f>
        <v>Humanities, Literature &amp; Arts</v>
      </c>
      <c r="E167" t="str">
        <f>Filtered!AD157</f>
        <v>Unsure</v>
      </c>
      <c r="F167" t="b">
        <f t="shared" si="10"/>
        <v>0</v>
      </c>
      <c r="G167" t="b">
        <f t="shared" si="11"/>
        <v>0</v>
      </c>
      <c r="H167" t="b">
        <f t="shared" si="12"/>
        <v>0</v>
      </c>
      <c r="I167" t="b">
        <f t="shared" si="13"/>
        <v>0</v>
      </c>
      <c r="J167" t="b">
        <f t="shared" si="14"/>
        <v>1</v>
      </c>
      <c r="K167" t="b">
        <f t="shared" si="15"/>
        <v>0</v>
      </c>
      <c r="L167" t="b">
        <f t="shared" si="16"/>
        <v>0</v>
      </c>
      <c r="M167" t="b">
        <f t="shared" si="17"/>
        <v>0</v>
      </c>
      <c r="N167" s="535"/>
      <c r="O167" s="558"/>
      <c r="R167" s="535"/>
      <c r="S167" s="558"/>
      <c r="V167" s="535"/>
      <c r="W167" s="558"/>
      <c r="Z167" s="535"/>
      <c r="AA167" s="558"/>
      <c r="AD167" s="535"/>
      <c r="AE167" s="558"/>
      <c r="AH167" s="535"/>
      <c r="AI167" s="558"/>
      <c r="AL167" s="535"/>
      <c r="AP167" s="535"/>
    </row>
    <row r="168">
      <c r="A168" s="552"/>
      <c r="B168" s="552"/>
      <c r="C168" t="str">
        <f>Filtered!I158</f>
        <v>The Cochrane Database of Systematic Reviews</v>
      </c>
      <c r="D168" t="str">
        <f>Filtered!J158</f>
        <v>Health &amp; Medical Sciences</v>
      </c>
      <c r="E168" t="str">
        <f>Filtered!AD158</f>
        <v>Unsure</v>
      </c>
      <c r="F168" t="b">
        <f t="shared" si="10"/>
        <v>0</v>
      </c>
      <c r="G168" t="b">
        <f t="shared" si="11"/>
        <v>0</v>
      </c>
      <c r="H168" t="b">
        <f t="shared" si="12"/>
        <v>0</v>
      </c>
      <c r="I168" t="b">
        <f t="shared" si="13"/>
        <v>1</v>
      </c>
      <c r="J168" t="b">
        <f t="shared" si="14"/>
        <v>0</v>
      </c>
      <c r="K168" t="b">
        <f t="shared" si="15"/>
        <v>0</v>
      </c>
      <c r="L168" t="b">
        <f t="shared" si="16"/>
        <v>0</v>
      </c>
      <c r="M168" t="b">
        <f t="shared" si="17"/>
        <v>0</v>
      </c>
      <c r="N168" s="535"/>
      <c r="O168" s="558"/>
      <c r="R168" s="535"/>
      <c r="S168" s="558"/>
      <c r="V168" s="535"/>
      <c r="W168" s="558"/>
      <c r="Z168" s="535"/>
      <c r="AA168" s="558"/>
      <c r="AD168" s="535"/>
      <c r="AE168" s="558"/>
      <c r="AH168" s="535"/>
      <c r="AI168" s="558"/>
      <c r="AL168" s="535"/>
      <c r="AP168" s="535"/>
    </row>
    <row r="169">
      <c r="A169" s="552"/>
      <c r="B169" s="552"/>
      <c r="C169" t="str">
        <f>Filtered!I159</f>
        <v>The European Physical Journal C</v>
      </c>
      <c r="D169" t="str">
        <f>Filtered!J159</f>
        <v>Physics &amp; Mathematics</v>
      </c>
      <c r="E169" t="str">
        <f>Filtered!AD159</f>
        <v>Unsure</v>
      </c>
      <c r="F169" t="b">
        <f t="shared" si="10"/>
        <v>0</v>
      </c>
      <c r="G169" t="b">
        <f t="shared" si="11"/>
        <v>0</v>
      </c>
      <c r="H169" t="b">
        <f t="shared" si="12"/>
        <v>0</v>
      </c>
      <c r="I169" t="b">
        <f t="shared" si="13"/>
        <v>0</v>
      </c>
      <c r="J169" t="b">
        <f t="shared" si="14"/>
        <v>0</v>
      </c>
      <c r="K169" t="b">
        <f t="shared" si="15"/>
        <v>0</v>
      </c>
      <c r="L169" t="b">
        <f t="shared" si="16"/>
        <v>1</v>
      </c>
      <c r="M169" t="b">
        <f t="shared" si="17"/>
        <v>0</v>
      </c>
      <c r="N169" s="535"/>
      <c r="O169" s="558"/>
      <c r="R169" s="535"/>
      <c r="S169" s="558"/>
      <c r="V169" s="535"/>
      <c r="W169" s="558"/>
      <c r="Z169" s="535"/>
      <c r="AA169" s="558"/>
      <c r="AD169" s="535"/>
      <c r="AE169" s="558"/>
      <c r="AH169" s="535"/>
      <c r="AI169" s="558"/>
      <c r="AL169" s="535"/>
      <c r="AP169" s="535"/>
    </row>
    <row r="170">
      <c r="A170" s="552"/>
      <c r="B170" s="552"/>
      <c r="C170" t="str">
        <f>Filtered!I160</f>
        <v>The Journal of Clinical Investigation</v>
      </c>
      <c r="D170" t="str">
        <f>Filtered!J160</f>
        <v/>
      </c>
      <c r="E170" t="str">
        <f>Filtered!AD160</f>
        <v>Unsure</v>
      </c>
      <c r="F170" t="b">
        <f t="shared" si="10"/>
        <v>0</v>
      </c>
      <c r="G170" t="b">
        <f t="shared" si="11"/>
        <v>0</v>
      </c>
      <c r="H170" t="b">
        <f t="shared" si="12"/>
        <v>0</v>
      </c>
      <c r="I170" t="b">
        <f t="shared" si="13"/>
        <v>0</v>
      </c>
      <c r="J170" t="b">
        <f t="shared" si="14"/>
        <v>0</v>
      </c>
      <c r="K170" t="b">
        <f t="shared" si="15"/>
        <v>0</v>
      </c>
      <c r="L170" t="b">
        <f t="shared" si="16"/>
        <v>0</v>
      </c>
      <c r="M170" t="b">
        <f t="shared" si="17"/>
        <v>0</v>
      </c>
      <c r="N170" s="535"/>
      <c r="O170" s="558"/>
      <c r="R170" s="535"/>
      <c r="S170" s="558"/>
      <c r="V170" s="535"/>
      <c r="W170" s="558"/>
      <c r="Z170" s="535"/>
      <c r="AA170" s="558"/>
      <c r="AD170" s="535"/>
      <c r="AE170" s="558"/>
      <c r="AH170" s="535"/>
      <c r="AI170" s="558"/>
      <c r="AL170" s="535"/>
      <c r="AP170" s="535"/>
    </row>
    <row r="171">
      <c r="A171" s="552"/>
      <c r="B171" s="552"/>
      <c r="C171" t="str">
        <f>Filtered!I161</f>
        <v>The Journal of Finance</v>
      </c>
      <c r="D171" t="str">
        <f>Filtered!J161</f>
        <v>Business, Economics &amp; Management</v>
      </c>
      <c r="E171" t="str">
        <f>Filtered!AD161</f>
        <v>Unsure</v>
      </c>
      <c r="F171" t="b">
        <f t="shared" si="10"/>
        <v>1</v>
      </c>
      <c r="G171" t="b">
        <f t="shared" si="11"/>
        <v>0</v>
      </c>
      <c r="H171" t="b">
        <f t="shared" si="12"/>
        <v>0</v>
      </c>
      <c r="I171" t="b">
        <f t="shared" si="13"/>
        <v>0</v>
      </c>
      <c r="J171" t="b">
        <f t="shared" si="14"/>
        <v>0</v>
      </c>
      <c r="K171" t="b">
        <f t="shared" si="15"/>
        <v>0</v>
      </c>
      <c r="L171" t="b">
        <f t="shared" si="16"/>
        <v>0</v>
      </c>
      <c r="M171" t="b">
        <f t="shared" si="17"/>
        <v>0</v>
      </c>
      <c r="N171" s="535"/>
      <c r="O171" s="558"/>
      <c r="R171" s="535"/>
      <c r="S171" s="558"/>
      <c r="V171" s="535"/>
      <c r="W171" s="558"/>
      <c r="Z171" s="535"/>
      <c r="AA171" s="558"/>
      <c r="AD171" s="535"/>
      <c r="AE171" s="558"/>
      <c r="AH171" s="535"/>
      <c r="AI171" s="558"/>
      <c r="AL171" s="535"/>
      <c r="AP171" s="535"/>
    </row>
    <row r="172">
      <c r="A172" s="552"/>
      <c r="B172" s="552"/>
      <c r="C172" t="str">
        <f>Filtered!I162</f>
        <v>The Journal of Physical Chemistry Letters</v>
      </c>
      <c r="D172" t="str">
        <f>Filtered!J162</f>
        <v>Physics &amp; Mathematics, Chemical &amp; Materials Sciences</v>
      </c>
      <c r="E172" t="str">
        <f>Filtered!AD162</f>
        <v>Unsure</v>
      </c>
      <c r="F172" t="b">
        <f t="shared" si="10"/>
        <v>0</v>
      </c>
      <c r="G172" t="b">
        <f t="shared" si="11"/>
        <v>1</v>
      </c>
      <c r="H172" t="b">
        <f t="shared" si="12"/>
        <v>0</v>
      </c>
      <c r="I172" t="b">
        <f t="shared" si="13"/>
        <v>0</v>
      </c>
      <c r="J172" t="b">
        <f t="shared" si="14"/>
        <v>0</v>
      </c>
      <c r="K172" t="b">
        <f t="shared" si="15"/>
        <v>0</v>
      </c>
      <c r="L172" t="b">
        <f t="shared" si="16"/>
        <v>1</v>
      </c>
      <c r="M172" t="b">
        <f t="shared" si="17"/>
        <v>0</v>
      </c>
      <c r="N172" s="535"/>
      <c r="O172" s="558"/>
      <c r="R172" s="535"/>
      <c r="S172" s="558"/>
      <c r="V172" s="535"/>
      <c r="W172" s="558"/>
      <c r="Z172" s="535"/>
      <c r="AA172" s="558"/>
      <c r="AD172" s="535"/>
      <c r="AE172" s="558"/>
      <c r="AH172" s="535"/>
      <c r="AI172" s="558"/>
      <c r="AL172" s="535"/>
      <c r="AP172" s="535"/>
    </row>
    <row r="173">
      <c r="A173" s="552"/>
      <c r="B173" s="552"/>
      <c r="C173" t="str">
        <f>Filtered!I163</f>
        <v>The Lancet</v>
      </c>
      <c r="D173" t="str">
        <f>Filtered!J163</f>
        <v>Health &amp; Medical Sciences</v>
      </c>
      <c r="E173" t="str">
        <f>Filtered!AD163</f>
        <v>Unsure</v>
      </c>
      <c r="F173" t="b">
        <f t="shared" si="10"/>
        <v>0</v>
      </c>
      <c r="G173" t="b">
        <f t="shared" si="11"/>
        <v>0</v>
      </c>
      <c r="H173" t="b">
        <f t="shared" si="12"/>
        <v>0</v>
      </c>
      <c r="I173" t="b">
        <f t="shared" si="13"/>
        <v>1</v>
      </c>
      <c r="J173" t="b">
        <f t="shared" si="14"/>
        <v>0</v>
      </c>
      <c r="K173" t="b">
        <f t="shared" si="15"/>
        <v>0</v>
      </c>
      <c r="L173" t="b">
        <f t="shared" si="16"/>
        <v>0</v>
      </c>
      <c r="M173" t="b">
        <f t="shared" si="17"/>
        <v>0</v>
      </c>
      <c r="N173" s="535"/>
      <c r="O173" s="558"/>
      <c r="R173" s="535"/>
      <c r="S173" s="558"/>
      <c r="V173" s="535"/>
      <c r="W173" s="558"/>
      <c r="Z173" s="535"/>
      <c r="AA173" s="558"/>
      <c r="AD173" s="535"/>
      <c r="AE173" s="558"/>
      <c r="AH173" s="535"/>
      <c r="AI173" s="558"/>
      <c r="AL173" s="535"/>
      <c r="AP173" s="535"/>
    </row>
    <row r="174">
      <c r="A174" s="552"/>
      <c r="B174" s="552"/>
      <c r="C174" t="str">
        <f>Filtered!I164</f>
        <v>The Lancet Neurology</v>
      </c>
      <c r="D174" t="str">
        <f>Filtered!J164</f>
        <v/>
      </c>
      <c r="E174" t="str">
        <f>Filtered!AD164</f>
        <v>Unsure</v>
      </c>
      <c r="F174" t="b">
        <f t="shared" si="10"/>
        <v>0</v>
      </c>
      <c r="G174" t="b">
        <f t="shared" si="11"/>
        <v>0</v>
      </c>
      <c r="H174" t="b">
        <f t="shared" si="12"/>
        <v>0</v>
      </c>
      <c r="I174" t="b">
        <f t="shared" si="13"/>
        <v>0</v>
      </c>
      <c r="J174" t="b">
        <f t="shared" si="14"/>
        <v>0</v>
      </c>
      <c r="K174" t="b">
        <f t="shared" si="15"/>
        <v>0</v>
      </c>
      <c r="L174" t="b">
        <f t="shared" si="16"/>
        <v>0</v>
      </c>
      <c r="M174" t="b">
        <f t="shared" si="17"/>
        <v>0</v>
      </c>
      <c r="N174" s="535"/>
      <c r="O174" s="558"/>
      <c r="R174" s="535"/>
      <c r="S174" s="558"/>
      <c r="V174" s="535"/>
      <c r="W174" s="558"/>
      <c r="Z174" s="535"/>
      <c r="AA174" s="558"/>
      <c r="AD174" s="535"/>
      <c r="AE174" s="558"/>
      <c r="AH174" s="535"/>
      <c r="AI174" s="558"/>
      <c r="AL174" s="535"/>
      <c r="AP174" s="535"/>
    </row>
    <row r="175">
      <c r="A175" s="552"/>
      <c r="B175" s="552"/>
      <c r="C175" t="str">
        <f>Filtered!I165</f>
        <v>The Lancet Oncology</v>
      </c>
      <c r="D175" t="str">
        <f>Filtered!J165</f>
        <v>Health &amp; Medical Sciences</v>
      </c>
      <c r="E175" t="str">
        <f>Filtered!AD165</f>
        <v>Unsure</v>
      </c>
      <c r="F175" t="b">
        <f t="shared" si="10"/>
        <v>0</v>
      </c>
      <c r="G175" t="b">
        <f t="shared" si="11"/>
        <v>0</v>
      </c>
      <c r="H175" t="b">
        <f t="shared" si="12"/>
        <v>0</v>
      </c>
      <c r="I175" t="b">
        <f t="shared" si="13"/>
        <v>1</v>
      </c>
      <c r="J175" t="b">
        <f t="shared" si="14"/>
        <v>0</v>
      </c>
      <c r="K175" t="b">
        <f t="shared" si="15"/>
        <v>0</v>
      </c>
      <c r="L175" t="b">
        <f t="shared" si="16"/>
        <v>0</v>
      </c>
      <c r="M175" t="b">
        <f t="shared" si="17"/>
        <v>0</v>
      </c>
      <c r="N175" s="535"/>
      <c r="O175" s="558"/>
      <c r="R175" s="535"/>
      <c r="S175" s="558"/>
      <c r="V175" s="535"/>
      <c r="W175" s="558"/>
      <c r="Z175" s="535"/>
      <c r="AA175" s="558"/>
      <c r="AD175" s="535"/>
      <c r="AE175" s="558"/>
      <c r="AH175" s="535"/>
      <c r="AI175" s="558"/>
      <c r="AL175" s="535"/>
      <c r="AP175" s="535"/>
    </row>
    <row r="176">
      <c r="A176" s="552"/>
      <c r="B176" s="552"/>
      <c r="C176" t="str">
        <f>Filtered!I166</f>
        <v>The Modern Language Journal</v>
      </c>
      <c r="D176" t="str">
        <f>Filtered!J166</f>
        <v>Humanities, Literature &amp; Arts</v>
      </c>
      <c r="E176" t="str">
        <f>Filtered!AD166</f>
        <v>Unsure</v>
      </c>
      <c r="F176" t="b">
        <f t="shared" si="10"/>
        <v>0</v>
      </c>
      <c r="G176" t="b">
        <f t="shared" si="11"/>
        <v>0</v>
      </c>
      <c r="H176" t="b">
        <f t="shared" si="12"/>
        <v>0</v>
      </c>
      <c r="I176" t="b">
        <f t="shared" si="13"/>
        <v>0</v>
      </c>
      <c r="J176" t="b">
        <f t="shared" si="14"/>
        <v>1</v>
      </c>
      <c r="K176" t="b">
        <f t="shared" si="15"/>
        <v>0</v>
      </c>
      <c r="L176" t="b">
        <f t="shared" si="16"/>
        <v>0</v>
      </c>
      <c r="M176" t="b">
        <f t="shared" si="17"/>
        <v>0</v>
      </c>
      <c r="N176" s="535"/>
      <c r="O176" s="558"/>
      <c r="R176" s="535"/>
      <c r="S176" s="558"/>
      <c r="V176" s="535"/>
      <c r="W176" s="558"/>
      <c r="Z176" s="535"/>
      <c r="AA176" s="558"/>
      <c r="AD176" s="535"/>
      <c r="AE176" s="558"/>
      <c r="AH176" s="535"/>
      <c r="AI176" s="558"/>
      <c r="AL176" s="535"/>
      <c r="AP176" s="535"/>
    </row>
    <row r="177">
      <c r="A177" s="552"/>
      <c r="B177" s="552"/>
      <c r="C177" t="str">
        <f>Filtered!I167</f>
        <v>The New England Journal of Medicine</v>
      </c>
      <c r="D177" t="str">
        <f>Filtered!J167</f>
        <v>Health &amp; Medical Sciences</v>
      </c>
      <c r="E177" t="str">
        <f>Filtered!AD167</f>
        <v>Unsure</v>
      </c>
      <c r="F177" t="b">
        <f t="shared" si="10"/>
        <v>0</v>
      </c>
      <c r="G177" t="b">
        <f t="shared" si="11"/>
        <v>0</v>
      </c>
      <c r="H177" t="b">
        <f t="shared" si="12"/>
        <v>0</v>
      </c>
      <c r="I177" t="b">
        <f t="shared" si="13"/>
        <v>1</v>
      </c>
      <c r="J177" t="b">
        <f t="shared" si="14"/>
        <v>0</v>
      </c>
      <c r="K177" t="b">
        <f t="shared" si="15"/>
        <v>0</v>
      </c>
      <c r="L177" t="b">
        <f t="shared" si="16"/>
        <v>0</v>
      </c>
      <c r="M177" t="b">
        <f t="shared" si="17"/>
        <v>0</v>
      </c>
      <c r="N177" s="535"/>
      <c r="O177" s="558"/>
      <c r="R177" s="535"/>
      <c r="S177" s="558"/>
      <c r="V177" s="535"/>
      <c r="W177" s="558"/>
      <c r="Z177" s="535"/>
      <c r="AA177" s="558"/>
      <c r="AD177" s="535"/>
      <c r="AE177" s="558"/>
      <c r="AH177" s="535"/>
      <c r="AI177" s="558"/>
      <c r="AL177" s="535"/>
      <c r="AP177" s="535"/>
    </row>
    <row r="178">
      <c r="A178" s="552"/>
      <c r="B178" s="552"/>
      <c r="C178" t="str">
        <f>Filtered!I168</f>
        <v>The Quarterly Journal of Economics</v>
      </c>
      <c r="D178" t="str">
        <f>Filtered!J168</f>
        <v>Business, Economics &amp; Management</v>
      </c>
      <c r="E178" t="str">
        <f>Filtered!AD168</f>
        <v>Unsure</v>
      </c>
      <c r="F178" t="b">
        <f t="shared" si="10"/>
        <v>1</v>
      </c>
      <c r="G178" t="b">
        <f t="shared" si="11"/>
        <v>0</v>
      </c>
      <c r="H178" t="b">
        <f t="shared" si="12"/>
        <v>0</v>
      </c>
      <c r="I178" t="b">
        <f t="shared" si="13"/>
        <v>0</v>
      </c>
      <c r="J178" t="b">
        <f t="shared" si="14"/>
        <v>0</v>
      </c>
      <c r="K178" t="b">
        <f t="shared" si="15"/>
        <v>0</v>
      </c>
      <c r="L178" t="b">
        <f t="shared" si="16"/>
        <v>0</v>
      </c>
      <c r="M178" t="b">
        <f t="shared" si="17"/>
        <v>0</v>
      </c>
      <c r="N178" s="535"/>
      <c r="O178" s="558"/>
      <c r="R178" s="535"/>
      <c r="S178" s="558"/>
      <c r="V178" s="535"/>
      <c r="W178" s="558"/>
      <c r="Z178" s="535"/>
      <c r="AA178" s="558"/>
      <c r="AD178" s="535"/>
      <c r="AE178" s="558"/>
      <c r="AH178" s="535"/>
      <c r="AI178" s="558"/>
      <c r="AL178" s="535"/>
      <c r="AP178" s="535"/>
    </row>
    <row r="179">
      <c r="A179" s="552"/>
      <c r="B179" s="552"/>
      <c r="C179" t="str">
        <f>Filtered!I169</f>
        <v>The Review of Economic Studies</v>
      </c>
      <c r="D179" t="str">
        <f>Filtered!J169</f>
        <v>Business, Economics &amp; Management</v>
      </c>
      <c r="E179" t="str">
        <f>Filtered!AD169</f>
        <v>Unsure</v>
      </c>
      <c r="F179" t="b">
        <f t="shared" si="10"/>
        <v>1</v>
      </c>
      <c r="G179" t="b">
        <f t="shared" si="11"/>
        <v>0</v>
      </c>
      <c r="H179" t="b">
        <f t="shared" si="12"/>
        <v>0</v>
      </c>
      <c r="I179" t="b">
        <f t="shared" si="13"/>
        <v>0</v>
      </c>
      <c r="J179" t="b">
        <f t="shared" si="14"/>
        <v>0</v>
      </c>
      <c r="K179" t="b">
        <f t="shared" si="15"/>
        <v>0</v>
      </c>
      <c r="L179" t="b">
        <f t="shared" si="16"/>
        <v>0</v>
      </c>
      <c r="M179" t="b">
        <f t="shared" si="17"/>
        <v>0</v>
      </c>
      <c r="N179" s="535"/>
      <c r="O179" s="558"/>
      <c r="R179" s="535"/>
      <c r="S179" s="558"/>
      <c r="V179" s="535"/>
      <c r="W179" s="558"/>
      <c r="Z179" s="535"/>
      <c r="AA179" s="558"/>
      <c r="AD179" s="535"/>
      <c r="AE179" s="558"/>
      <c r="AH179" s="535"/>
      <c r="AI179" s="558"/>
      <c r="AL179" s="535"/>
      <c r="AP179" s="535"/>
    </row>
    <row r="180">
      <c r="A180" s="552"/>
      <c r="B180" s="552"/>
      <c r="C180" t="str">
        <f>Filtered!I170</f>
        <v>The Review of Financial Studies</v>
      </c>
      <c r="D180" t="str">
        <f>Filtered!J170</f>
        <v>Business, Economics &amp; Management</v>
      </c>
      <c r="E180" t="str">
        <f>Filtered!AD170</f>
        <v>Unsure</v>
      </c>
      <c r="F180" t="b">
        <f t="shared" si="10"/>
        <v>1</v>
      </c>
      <c r="G180" t="b">
        <f t="shared" si="11"/>
        <v>0</v>
      </c>
      <c r="H180" t="b">
        <f t="shared" si="12"/>
        <v>0</v>
      </c>
      <c r="I180" t="b">
        <f t="shared" si="13"/>
        <v>0</v>
      </c>
      <c r="J180" t="b">
        <f t="shared" si="14"/>
        <v>0</v>
      </c>
      <c r="K180" t="b">
        <f t="shared" si="15"/>
        <v>0</v>
      </c>
      <c r="L180" t="b">
        <f t="shared" si="16"/>
        <v>0</v>
      </c>
      <c r="M180" t="b">
        <f t="shared" si="17"/>
        <v>0</v>
      </c>
      <c r="N180" s="535"/>
      <c r="O180" s="558"/>
      <c r="R180" s="535"/>
      <c r="S180" s="558"/>
      <c r="V180" s="535"/>
      <c r="W180" s="558"/>
      <c r="Z180" s="535"/>
      <c r="AA180" s="558"/>
      <c r="AD180" s="535"/>
      <c r="AE180" s="558"/>
      <c r="AH180" s="535"/>
      <c r="AI180" s="558"/>
      <c r="AL180" s="535"/>
      <c r="AP180" s="535"/>
    </row>
    <row r="181">
      <c r="A181" s="552"/>
      <c r="B181" s="552"/>
      <c r="C181" t="str">
        <f>Filtered!I171</f>
        <v>Tourism Management</v>
      </c>
      <c r="D181" t="str">
        <f>Filtered!J171</f>
        <v>Business, Economics &amp; Management</v>
      </c>
      <c r="E181" t="str">
        <f>Filtered!AD171</f>
        <v>Unsure</v>
      </c>
      <c r="F181" t="b">
        <f t="shared" si="10"/>
        <v>1</v>
      </c>
      <c r="G181" t="b">
        <f t="shared" si="11"/>
        <v>0</v>
      </c>
      <c r="H181" t="b">
        <f t="shared" si="12"/>
        <v>0</v>
      </c>
      <c r="I181" t="b">
        <f t="shared" si="13"/>
        <v>0</v>
      </c>
      <c r="J181" t="b">
        <f t="shared" si="14"/>
        <v>0</v>
      </c>
      <c r="K181" t="b">
        <f t="shared" si="15"/>
        <v>0</v>
      </c>
      <c r="L181" t="b">
        <f t="shared" si="16"/>
        <v>0</v>
      </c>
      <c r="M181" t="b">
        <f t="shared" si="17"/>
        <v>0</v>
      </c>
      <c r="N181" s="535"/>
      <c r="O181" s="558"/>
      <c r="R181" s="535"/>
      <c r="S181" s="558"/>
      <c r="V181" s="535"/>
      <c r="W181" s="558"/>
      <c r="Z181" s="535"/>
      <c r="AA181" s="558"/>
      <c r="AD181" s="535"/>
      <c r="AE181" s="558"/>
      <c r="AH181" s="535"/>
      <c r="AI181" s="558"/>
      <c r="AL181" s="535"/>
      <c r="AP181" s="535"/>
    </row>
    <row r="182">
      <c r="A182" s="552"/>
      <c r="B182" s="552"/>
      <c r="C182" t="str">
        <f>Filtered!I172</f>
        <v>World Development</v>
      </c>
      <c r="D182" t="str">
        <f>Filtered!J172</f>
        <v>Business, Economics &amp; Management</v>
      </c>
      <c r="E182" t="str">
        <f>Filtered!AD172</f>
        <v>Unsure</v>
      </c>
      <c r="F182" t="b">
        <f t="shared" si="10"/>
        <v>1</v>
      </c>
      <c r="G182" t="b">
        <f t="shared" si="11"/>
        <v>0</v>
      </c>
      <c r="H182" t="b">
        <f t="shared" si="12"/>
        <v>0</v>
      </c>
      <c r="I182" t="b">
        <f t="shared" si="13"/>
        <v>0</v>
      </c>
      <c r="J182" t="b">
        <f t="shared" si="14"/>
        <v>0</v>
      </c>
      <c r="K182" t="b">
        <f t="shared" si="15"/>
        <v>0</v>
      </c>
      <c r="L182" t="b">
        <f t="shared" si="16"/>
        <v>0</v>
      </c>
      <c r="M182" t="b">
        <f t="shared" si="17"/>
        <v>0</v>
      </c>
      <c r="N182" s="535"/>
      <c r="O182" s="558"/>
      <c r="R182" s="535"/>
      <c r="S182" s="558"/>
      <c r="V182" s="535"/>
      <c r="W182" s="558"/>
      <c r="Z182" s="535"/>
      <c r="AA182" s="558"/>
      <c r="AD182" s="535"/>
      <c r="AE182" s="558"/>
      <c r="AH182" s="535"/>
      <c r="AI182" s="558"/>
      <c r="AL182" s="535"/>
      <c r="AP182" s="535"/>
    </row>
    <row r="183">
      <c r="A183" s="552"/>
      <c r="B183" s="552"/>
      <c r="C183" t="str">
        <f>Filtered!I173</f>
        <v/>
      </c>
      <c r="D183" t="str">
        <f>Filtered!J173</f>
        <v/>
      </c>
      <c r="E183" t="str">
        <f>Filtered!AD173</f>
        <v/>
      </c>
      <c r="N183" s="535"/>
      <c r="O183" s="558"/>
      <c r="R183" s="535"/>
      <c r="S183" s="558"/>
      <c r="V183" s="535"/>
      <c r="W183" s="558"/>
      <c r="Z183" s="535"/>
      <c r="AA183" s="558"/>
      <c r="AD183" s="535"/>
      <c r="AE183" s="558"/>
      <c r="AH183" s="535"/>
      <c r="AI183" s="558"/>
      <c r="AL183" s="535"/>
      <c r="AP183" s="535"/>
    </row>
    <row r="184">
      <c r="A184" s="552"/>
      <c r="B184" s="552"/>
      <c r="C184" t="str">
        <f>Filtered!I174</f>
        <v/>
      </c>
      <c r="D184" t="str">
        <f>Filtered!J174</f>
        <v/>
      </c>
      <c r="E184" t="str">
        <f>Filtered!AD174</f>
        <v/>
      </c>
      <c r="N184" s="535"/>
      <c r="O184" s="558"/>
      <c r="R184" s="535"/>
      <c r="S184" s="558"/>
      <c r="V184" s="535"/>
      <c r="W184" s="558"/>
      <c r="Z184" s="535"/>
      <c r="AA184" s="558"/>
      <c r="AD184" s="535"/>
      <c r="AE184" s="558"/>
      <c r="AH184" s="535"/>
      <c r="AI184" s="558"/>
      <c r="AL184" s="535"/>
      <c r="AP184" s="535"/>
    </row>
    <row r="185">
      <c r="A185" s="552"/>
      <c r="B185" s="552"/>
      <c r="C185" t="str">
        <f>Filtered!I175</f>
        <v/>
      </c>
      <c r="D185" t="str">
        <f>Filtered!J175</f>
        <v/>
      </c>
      <c r="E185" t="str">
        <f>Filtered!AD175</f>
        <v/>
      </c>
      <c r="N185" s="535"/>
      <c r="O185" s="558"/>
      <c r="R185" s="535"/>
      <c r="S185" s="558"/>
      <c r="V185" s="535"/>
      <c r="W185" s="558"/>
      <c r="Z185" s="535"/>
      <c r="AA185" s="558"/>
      <c r="AD185" s="535"/>
      <c r="AE185" s="558"/>
      <c r="AH185" s="535"/>
      <c r="AI185" s="558"/>
      <c r="AL185" s="535"/>
      <c r="AP185" s="535"/>
    </row>
    <row r="186">
      <c r="A186" s="552"/>
      <c r="B186" s="552"/>
      <c r="C186" t="str">
        <f>Filtered!I176</f>
        <v/>
      </c>
      <c r="D186" t="str">
        <f>Filtered!J176</f>
        <v/>
      </c>
      <c r="E186" t="str">
        <f>Filtered!AD176</f>
        <v/>
      </c>
      <c r="N186" s="535"/>
      <c r="O186" s="558"/>
      <c r="R186" s="535"/>
      <c r="S186" s="558"/>
      <c r="V186" s="535"/>
      <c r="W186" s="558"/>
      <c r="Z186" s="535"/>
      <c r="AA186" s="558"/>
      <c r="AD186" s="535"/>
      <c r="AE186" s="558"/>
      <c r="AH186" s="535"/>
      <c r="AI186" s="558"/>
      <c r="AL186" s="535"/>
      <c r="AP186" s="535"/>
    </row>
    <row r="187">
      <c r="A187" s="552"/>
      <c r="B187" s="552"/>
      <c r="C187" t="str">
        <f>Filtered!I177</f>
        <v/>
      </c>
      <c r="D187" t="str">
        <f>Filtered!J177</f>
        <v/>
      </c>
      <c r="E187" t="str">
        <f>Filtered!AD177</f>
        <v/>
      </c>
      <c r="N187" s="535"/>
      <c r="O187" s="558"/>
      <c r="R187" s="535"/>
      <c r="S187" s="558"/>
      <c r="V187" s="535"/>
      <c r="W187" s="558"/>
      <c r="Z187" s="535"/>
      <c r="AA187" s="558"/>
      <c r="AD187" s="535"/>
      <c r="AE187" s="558"/>
      <c r="AH187" s="535"/>
      <c r="AI187" s="558"/>
      <c r="AL187" s="535"/>
      <c r="AP187" s="535"/>
    </row>
    <row r="188">
      <c r="A188" s="552"/>
      <c r="B188" s="552"/>
      <c r="C188" t="str">
        <f>Filtered!I178</f>
        <v/>
      </c>
      <c r="D188" t="str">
        <f>Filtered!J178</f>
        <v/>
      </c>
      <c r="E188" t="str">
        <f>Filtered!AD178</f>
        <v/>
      </c>
      <c r="N188" s="535"/>
      <c r="O188" s="558"/>
      <c r="R188" s="535"/>
      <c r="S188" s="558"/>
      <c r="V188" s="535"/>
      <c r="W188" s="558"/>
      <c r="Z188" s="535"/>
      <c r="AA188" s="558"/>
      <c r="AD188" s="535"/>
      <c r="AE188" s="558"/>
      <c r="AH188" s="535"/>
      <c r="AI188" s="558"/>
      <c r="AL188" s="535"/>
      <c r="AP188" s="535"/>
    </row>
    <row r="189">
      <c r="A189" s="552"/>
      <c r="B189" s="552"/>
      <c r="C189" t="str">
        <f>Filtered!I179</f>
        <v/>
      </c>
      <c r="D189" t="str">
        <f>Filtered!J179</f>
        <v/>
      </c>
      <c r="E189" t="str">
        <f>Filtered!AD179</f>
        <v/>
      </c>
      <c r="N189" s="535"/>
      <c r="O189" s="558"/>
      <c r="R189" s="535"/>
      <c r="S189" s="558"/>
      <c r="V189" s="535"/>
      <c r="W189" s="558"/>
      <c r="Z189" s="535"/>
      <c r="AA189" s="558"/>
      <c r="AD189" s="535"/>
      <c r="AE189" s="558"/>
      <c r="AH189" s="535"/>
      <c r="AI189" s="558"/>
      <c r="AL189" s="535"/>
      <c r="AP189" s="535"/>
    </row>
    <row r="190">
      <c r="A190" s="552"/>
      <c r="B190" s="552"/>
      <c r="C190" t="str">
        <f>Filtered!I180</f>
        <v/>
      </c>
      <c r="D190" t="str">
        <f>Filtered!J180</f>
        <v/>
      </c>
      <c r="E190" t="str">
        <f>Filtered!AD180</f>
        <v/>
      </c>
      <c r="N190" s="535"/>
      <c r="O190" s="558"/>
      <c r="R190" s="535"/>
      <c r="S190" s="558"/>
      <c r="V190" s="535"/>
      <c r="W190" s="558"/>
      <c r="Z190" s="535"/>
      <c r="AA190" s="558"/>
      <c r="AD190" s="535"/>
      <c r="AE190" s="558"/>
      <c r="AH190" s="535"/>
      <c r="AI190" s="558"/>
      <c r="AL190" s="535"/>
      <c r="AP190" s="535"/>
    </row>
    <row r="191">
      <c r="A191" s="552"/>
      <c r="B191" s="552"/>
      <c r="C191" t="str">
        <f>Filtered!I181</f>
        <v/>
      </c>
      <c r="D191" t="str">
        <f>Filtered!J181</f>
        <v/>
      </c>
      <c r="E191" t="str">
        <f>Filtered!AD181</f>
        <v/>
      </c>
      <c r="N191" s="535"/>
      <c r="O191" s="558"/>
      <c r="R191" s="535"/>
      <c r="S191" s="558"/>
      <c r="V191" s="535"/>
      <c r="W191" s="558"/>
      <c r="Z191" s="535"/>
      <c r="AA191" s="558"/>
      <c r="AD191" s="535"/>
      <c r="AE191" s="558"/>
      <c r="AH191" s="535"/>
      <c r="AI191" s="558"/>
      <c r="AL191" s="535"/>
      <c r="AP191" s="535"/>
    </row>
    <row r="192">
      <c r="A192" s="552"/>
      <c r="B192" s="552"/>
      <c r="C192" t="str">
        <f>Filtered!I182</f>
        <v/>
      </c>
      <c r="D192" t="str">
        <f>Filtered!J182</f>
        <v/>
      </c>
      <c r="E192" t="str">
        <f>Filtered!AD182</f>
        <v/>
      </c>
      <c r="N192" s="535"/>
      <c r="O192" s="558"/>
      <c r="R192" s="535"/>
      <c r="S192" s="558"/>
      <c r="V192" s="535"/>
      <c r="W192" s="558"/>
      <c r="Z192" s="535"/>
      <c r="AA192" s="558"/>
      <c r="AD192" s="535"/>
      <c r="AE192" s="558"/>
      <c r="AH192" s="535"/>
      <c r="AI192" s="558"/>
      <c r="AL192" s="535"/>
      <c r="AP192" s="535"/>
    </row>
    <row r="193">
      <c r="A193" s="552"/>
      <c r="B193" s="552"/>
      <c r="C193" t="str">
        <f>Filtered!I183</f>
        <v/>
      </c>
      <c r="D193" t="str">
        <f>Filtered!J183</f>
        <v/>
      </c>
      <c r="E193" t="str">
        <f>Filtered!AD183</f>
        <v/>
      </c>
      <c r="N193" s="535"/>
      <c r="O193" s="558"/>
      <c r="R193" s="535"/>
      <c r="S193" s="558"/>
      <c r="V193" s="535"/>
      <c r="W193" s="558"/>
      <c r="Z193" s="535"/>
      <c r="AA193" s="558"/>
      <c r="AD193" s="535"/>
      <c r="AE193" s="558"/>
      <c r="AH193" s="535"/>
      <c r="AI193" s="558"/>
      <c r="AL193" s="535"/>
      <c r="AP193" s="535"/>
    </row>
    <row r="194">
      <c r="A194" s="552"/>
      <c r="B194" s="552"/>
      <c r="C194" t="str">
        <f>Filtered!I184</f>
        <v/>
      </c>
      <c r="D194" t="str">
        <f>Filtered!J184</f>
        <v/>
      </c>
      <c r="E194" t="str">
        <f>Filtered!AH184</f>
        <v/>
      </c>
      <c r="N194" s="535"/>
      <c r="O194" s="558"/>
      <c r="R194" s="535"/>
      <c r="S194" s="558"/>
      <c r="V194" s="535"/>
      <c r="W194" s="558"/>
      <c r="Z194" s="535"/>
      <c r="AA194" s="558"/>
      <c r="AD194" s="535"/>
      <c r="AE194" s="558"/>
      <c r="AH194" s="535"/>
      <c r="AI194" s="558"/>
      <c r="AL194" s="535"/>
      <c r="AP194" s="535"/>
    </row>
    <row r="195">
      <c r="A195" s="552"/>
      <c r="B195" s="552"/>
      <c r="C195" t="str">
        <f>Filtered!I185</f>
        <v/>
      </c>
      <c r="D195" t="str">
        <f>Filtered!J185</f>
        <v/>
      </c>
      <c r="E195" t="str">
        <f>Filtered!AI185</f>
        <v/>
      </c>
      <c r="N195" s="535"/>
      <c r="O195" s="558"/>
      <c r="R195" s="535"/>
      <c r="S195" s="558"/>
      <c r="V195" s="535"/>
      <c r="W195" s="558"/>
      <c r="Z195" s="535"/>
      <c r="AA195" s="558"/>
      <c r="AD195" s="535"/>
      <c r="AE195" s="558"/>
      <c r="AH195" s="535"/>
      <c r="AI195" s="558"/>
      <c r="AL195" s="535"/>
      <c r="AP195" s="535"/>
    </row>
    <row r="196">
      <c r="A196" s="552"/>
      <c r="B196" s="552"/>
      <c r="C196" t="str">
        <f>Filtered!I186</f>
        <v/>
      </c>
      <c r="D196" t="str">
        <f>Filtered!J186</f>
        <v/>
      </c>
      <c r="E196" t="str">
        <f>Filtered!L186</f>
        <v/>
      </c>
      <c r="N196" s="535"/>
      <c r="O196" s="558"/>
      <c r="R196" s="535"/>
      <c r="S196" s="558"/>
      <c r="V196" s="535"/>
      <c r="W196" s="558"/>
      <c r="Z196" s="535"/>
      <c r="AA196" s="558"/>
      <c r="AD196" s="535"/>
      <c r="AE196" s="558"/>
      <c r="AH196" s="535"/>
      <c r="AI196" s="558"/>
      <c r="AL196" s="535"/>
      <c r="AP196" s="535"/>
    </row>
    <row r="197">
      <c r="A197" s="552"/>
      <c r="B197" s="552"/>
      <c r="N197" s="535"/>
      <c r="O197" s="558"/>
      <c r="R197" s="535"/>
      <c r="S197" s="558"/>
      <c r="V197" s="535"/>
      <c r="W197" s="558"/>
      <c r="Z197" s="535"/>
      <c r="AA197" s="558"/>
      <c r="AD197" s="535"/>
      <c r="AE197" s="558"/>
      <c r="AH197" s="535"/>
      <c r="AI197" s="558"/>
      <c r="AL197" s="535"/>
      <c r="AP197" s="535"/>
    </row>
    <row r="198">
      <c r="A198" s="552"/>
      <c r="B198" s="552"/>
      <c r="N198" s="535"/>
      <c r="O198" s="558"/>
      <c r="R198" s="535"/>
      <c r="S198" s="558"/>
      <c r="V198" s="535"/>
      <c r="W198" s="558"/>
      <c r="Z198" s="535"/>
      <c r="AA198" s="558"/>
      <c r="AD198" s="535"/>
      <c r="AE198" s="558"/>
      <c r="AH198" s="535"/>
      <c r="AI198" s="558"/>
      <c r="AL198" s="535"/>
      <c r="AP198" s="535"/>
    </row>
    <row r="199">
      <c r="A199" s="552"/>
      <c r="B199" s="552"/>
      <c r="N199" s="535"/>
      <c r="O199" s="558"/>
      <c r="R199" s="535"/>
      <c r="S199" s="558"/>
      <c r="V199" s="535"/>
      <c r="W199" s="558"/>
      <c r="Z199" s="535"/>
      <c r="AA199" s="558"/>
      <c r="AD199" s="535"/>
      <c r="AE199" s="558"/>
      <c r="AH199" s="535"/>
      <c r="AI199" s="558"/>
      <c r="AL199" s="535"/>
      <c r="AP199" s="535"/>
    </row>
    <row r="200">
      <c r="A200" s="552"/>
      <c r="B200" s="552"/>
      <c r="N200" s="535"/>
      <c r="O200" s="558"/>
      <c r="R200" s="535"/>
      <c r="S200" s="558"/>
      <c r="V200" s="535"/>
      <c r="W200" s="558"/>
      <c r="Z200" s="535"/>
      <c r="AA200" s="558"/>
      <c r="AD200" s="535"/>
      <c r="AE200" s="558"/>
      <c r="AH200" s="535"/>
      <c r="AI200" s="558"/>
      <c r="AL200" s="535"/>
      <c r="AP200" s="535"/>
    </row>
    <row r="201">
      <c r="A201" s="552"/>
      <c r="B201" s="552"/>
      <c r="N201" s="535"/>
      <c r="O201" s="558"/>
      <c r="R201" s="535"/>
      <c r="S201" s="558"/>
      <c r="V201" s="535"/>
      <c r="W201" s="558"/>
      <c r="Z201" s="535"/>
      <c r="AA201" s="558"/>
      <c r="AD201" s="535"/>
      <c r="AE201" s="558"/>
      <c r="AH201" s="535"/>
      <c r="AI201" s="558"/>
      <c r="AL201" s="535"/>
      <c r="AP201" s="535"/>
    </row>
    <row r="202">
      <c r="A202" s="552"/>
      <c r="B202" s="552"/>
      <c r="N202" s="535"/>
      <c r="O202" s="558"/>
      <c r="R202" s="535"/>
      <c r="S202" s="558"/>
      <c r="V202" s="535"/>
      <c r="W202" s="558"/>
      <c r="Z202" s="535"/>
      <c r="AA202" s="558"/>
      <c r="AD202" s="535"/>
      <c r="AE202" s="558"/>
      <c r="AH202" s="535"/>
      <c r="AI202" s="558"/>
      <c r="AL202" s="535"/>
      <c r="AP202" s="535"/>
    </row>
    <row r="203">
      <c r="A203" s="552"/>
      <c r="B203" s="552"/>
      <c r="N203" s="535"/>
      <c r="O203" s="558"/>
      <c r="R203" s="535"/>
      <c r="S203" s="558"/>
      <c r="V203" s="535"/>
      <c r="W203" s="558"/>
      <c r="Z203" s="535"/>
      <c r="AA203" s="558"/>
      <c r="AD203" s="535"/>
      <c r="AE203" s="558"/>
      <c r="AH203" s="535"/>
      <c r="AI203" s="558"/>
      <c r="AL203" s="535"/>
      <c r="AP203" s="535"/>
    </row>
    <row r="204">
      <c r="A204" s="552"/>
      <c r="B204" s="552"/>
      <c r="N204" s="535"/>
      <c r="O204" s="558"/>
      <c r="R204" s="535"/>
      <c r="S204" s="558"/>
      <c r="V204" s="535"/>
      <c r="W204" s="558"/>
      <c r="Z204" s="535"/>
      <c r="AA204" s="558"/>
      <c r="AD204" s="535"/>
      <c r="AE204" s="558"/>
      <c r="AH204" s="535"/>
      <c r="AI204" s="558"/>
      <c r="AL204" s="535"/>
      <c r="AP204" s="535"/>
    </row>
    <row r="205">
      <c r="A205" s="552"/>
      <c r="B205" s="552"/>
      <c r="N205" s="535"/>
      <c r="O205" s="558"/>
      <c r="R205" s="535"/>
      <c r="S205" s="558"/>
      <c r="V205" s="535"/>
      <c r="W205" s="558"/>
      <c r="Z205" s="535"/>
      <c r="AA205" s="558"/>
      <c r="AD205" s="535"/>
      <c r="AE205" s="558"/>
      <c r="AH205" s="535"/>
      <c r="AI205" s="558"/>
      <c r="AL205" s="535"/>
      <c r="AP205" s="535"/>
    </row>
    <row r="206">
      <c r="A206" s="552"/>
      <c r="B206" s="552"/>
      <c r="N206" s="535"/>
      <c r="O206" s="558"/>
      <c r="R206" s="535"/>
      <c r="S206" s="558"/>
      <c r="V206" s="535"/>
      <c r="W206" s="558"/>
      <c r="Z206" s="535"/>
      <c r="AA206" s="558"/>
      <c r="AD206" s="535"/>
      <c r="AE206" s="558"/>
      <c r="AH206" s="535"/>
      <c r="AI206" s="558"/>
      <c r="AL206" s="535"/>
      <c r="AP206" s="535"/>
    </row>
    <row r="207">
      <c r="A207" s="552"/>
      <c r="B207" s="552"/>
      <c r="N207" s="535"/>
      <c r="O207" s="558"/>
      <c r="R207" s="535"/>
      <c r="S207" s="558"/>
      <c r="V207" s="535"/>
      <c r="W207" s="558"/>
      <c r="Z207" s="535"/>
      <c r="AA207" s="558"/>
      <c r="AD207" s="535"/>
      <c r="AE207" s="558"/>
      <c r="AH207" s="535"/>
      <c r="AI207" s="558"/>
      <c r="AL207" s="535"/>
      <c r="AP207" s="535"/>
    </row>
    <row r="208">
      <c r="A208" s="552"/>
      <c r="B208" s="552"/>
      <c r="N208" s="535"/>
      <c r="O208" s="558"/>
      <c r="R208" s="535"/>
      <c r="S208" s="558"/>
      <c r="V208" s="535"/>
      <c r="W208" s="558"/>
      <c r="Z208" s="535"/>
      <c r="AA208" s="558"/>
      <c r="AD208" s="535"/>
      <c r="AE208" s="558"/>
      <c r="AH208" s="535"/>
      <c r="AI208" s="558"/>
      <c r="AL208" s="535"/>
      <c r="AP208" s="535"/>
    </row>
    <row r="209">
      <c r="A209" s="552"/>
      <c r="B209" s="552"/>
      <c r="N209" s="535"/>
      <c r="O209" s="558"/>
      <c r="R209" s="535"/>
      <c r="S209" s="558"/>
      <c r="V209" s="535"/>
      <c r="W209" s="558"/>
      <c r="Z209" s="535"/>
      <c r="AA209" s="558"/>
      <c r="AD209" s="535"/>
      <c r="AE209" s="558"/>
      <c r="AH209" s="535"/>
      <c r="AI209" s="558"/>
      <c r="AL209" s="535"/>
      <c r="AP209" s="535"/>
    </row>
    <row r="210">
      <c r="A210" s="552"/>
      <c r="B210" s="552"/>
      <c r="N210" s="535"/>
      <c r="O210" s="558"/>
      <c r="R210" s="535"/>
      <c r="S210" s="558"/>
      <c r="V210" s="535"/>
      <c r="W210" s="558"/>
      <c r="Z210" s="535"/>
      <c r="AA210" s="558"/>
      <c r="AD210" s="535"/>
      <c r="AE210" s="558"/>
      <c r="AH210" s="535"/>
      <c r="AI210" s="558"/>
      <c r="AL210" s="535"/>
      <c r="AP210" s="535"/>
    </row>
    <row r="211">
      <c r="A211" s="552"/>
      <c r="B211" s="552"/>
      <c r="N211" s="535"/>
      <c r="O211" s="558"/>
      <c r="R211" s="535"/>
      <c r="S211" s="558"/>
      <c r="V211" s="535"/>
      <c r="W211" s="558"/>
      <c r="Z211" s="535"/>
      <c r="AA211" s="558"/>
      <c r="AD211" s="535"/>
      <c r="AE211" s="558"/>
      <c r="AH211" s="535"/>
      <c r="AI211" s="558"/>
      <c r="AL211" s="535"/>
      <c r="AP211" s="535"/>
    </row>
    <row r="212">
      <c r="A212" s="552"/>
      <c r="B212" s="552"/>
      <c r="N212" s="535"/>
      <c r="O212" s="558"/>
      <c r="R212" s="535"/>
      <c r="S212" s="558"/>
      <c r="V212" s="535"/>
      <c r="W212" s="558"/>
      <c r="Z212" s="535"/>
      <c r="AA212" s="558"/>
      <c r="AD212" s="535"/>
      <c r="AE212" s="558"/>
      <c r="AH212" s="535"/>
      <c r="AI212" s="558"/>
      <c r="AL212" s="535"/>
      <c r="AP212" s="535"/>
    </row>
    <row r="213">
      <c r="A213" s="552"/>
      <c r="B213" s="552"/>
      <c r="N213" s="535"/>
      <c r="O213" s="558"/>
      <c r="R213" s="535"/>
      <c r="S213" s="558"/>
      <c r="V213" s="535"/>
      <c r="W213" s="558"/>
      <c r="Z213" s="535"/>
      <c r="AA213" s="558"/>
      <c r="AD213" s="535"/>
      <c r="AE213" s="558"/>
      <c r="AH213" s="535"/>
      <c r="AI213" s="558"/>
      <c r="AL213" s="535"/>
      <c r="AP213" s="535"/>
    </row>
    <row r="214">
      <c r="A214" s="552"/>
      <c r="B214" s="552"/>
      <c r="N214" s="535"/>
      <c r="O214" s="558"/>
      <c r="R214" s="535"/>
      <c r="S214" s="558"/>
      <c r="V214" s="535"/>
      <c r="W214" s="558"/>
      <c r="Z214" s="535"/>
      <c r="AA214" s="558"/>
      <c r="AD214" s="535"/>
      <c r="AE214" s="558"/>
      <c r="AH214" s="535"/>
      <c r="AI214" s="558"/>
      <c r="AL214" s="535"/>
      <c r="AP214" s="535"/>
    </row>
    <row r="215">
      <c r="A215" s="552"/>
      <c r="B215" s="552"/>
      <c r="N215" s="535"/>
      <c r="O215" s="558"/>
      <c r="R215" s="535"/>
      <c r="S215" s="558"/>
      <c r="V215" s="535"/>
      <c r="W215" s="558"/>
      <c r="Z215" s="535"/>
      <c r="AA215" s="558"/>
      <c r="AD215" s="535"/>
      <c r="AE215" s="558"/>
      <c r="AH215" s="535"/>
      <c r="AI215" s="558"/>
      <c r="AL215" s="535"/>
      <c r="AP215" s="535"/>
    </row>
    <row r="216">
      <c r="A216" s="552"/>
      <c r="B216" s="552"/>
      <c r="N216" s="535"/>
      <c r="O216" s="558"/>
      <c r="R216" s="535"/>
      <c r="S216" s="558"/>
      <c r="V216" s="535"/>
      <c r="W216" s="558"/>
      <c r="Z216" s="535"/>
      <c r="AA216" s="558"/>
      <c r="AD216" s="535"/>
      <c r="AE216" s="558"/>
      <c r="AH216" s="535"/>
      <c r="AI216" s="558"/>
      <c r="AL216" s="535"/>
      <c r="AP216" s="535"/>
    </row>
    <row r="217">
      <c r="A217" s="552"/>
      <c r="B217" s="552"/>
      <c r="N217" s="535"/>
      <c r="O217" s="558"/>
      <c r="R217" s="535"/>
      <c r="S217" s="558"/>
      <c r="V217" s="535"/>
      <c r="W217" s="558"/>
      <c r="Z217" s="535"/>
      <c r="AA217" s="558"/>
      <c r="AD217" s="535"/>
      <c r="AE217" s="558"/>
      <c r="AH217" s="535"/>
      <c r="AI217" s="558"/>
      <c r="AL217" s="535"/>
      <c r="AP217" s="535"/>
    </row>
    <row r="218">
      <c r="A218" s="552"/>
      <c r="B218" s="552"/>
      <c r="N218" s="535"/>
      <c r="O218" s="558"/>
      <c r="R218" s="535"/>
      <c r="S218" s="558"/>
      <c r="V218" s="535"/>
      <c r="W218" s="558"/>
      <c r="Z218" s="535"/>
      <c r="AA218" s="558"/>
      <c r="AD218" s="535"/>
      <c r="AE218" s="558"/>
      <c r="AH218" s="535"/>
      <c r="AI218" s="558"/>
      <c r="AL218" s="535"/>
      <c r="AP218" s="535"/>
    </row>
    <row r="219">
      <c r="A219" s="552"/>
      <c r="B219" s="552"/>
      <c r="N219" s="535"/>
      <c r="O219" s="558"/>
      <c r="R219" s="535"/>
      <c r="S219" s="558"/>
      <c r="V219" s="535"/>
      <c r="W219" s="558"/>
      <c r="Z219" s="535"/>
      <c r="AA219" s="558"/>
      <c r="AD219" s="535"/>
      <c r="AE219" s="558"/>
      <c r="AH219" s="535"/>
      <c r="AI219" s="558"/>
      <c r="AL219" s="535"/>
      <c r="AP219" s="535"/>
    </row>
    <row r="220">
      <c r="A220" s="552"/>
      <c r="B220" s="552"/>
      <c r="N220" s="535"/>
      <c r="O220" s="558"/>
      <c r="R220" s="535"/>
      <c r="S220" s="558"/>
      <c r="V220" s="535"/>
      <c r="W220" s="558"/>
      <c r="Z220" s="535"/>
      <c r="AA220" s="558"/>
      <c r="AD220" s="535"/>
      <c r="AE220" s="558"/>
      <c r="AH220" s="535"/>
      <c r="AI220" s="558"/>
      <c r="AL220" s="535"/>
      <c r="AP220" s="535"/>
    </row>
    <row r="221">
      <c r="A221" s="552"/>
      <c r="B221" s="552"/>
      <c r="N221" s="535"/>
      <c r="O221" s="558"/>
      <c r="R221" s="535"/>
      <c r="S221" s="558"/>
      <c r="V221" s="535"/>
      <c r="W221" s="558"/>
      <c r="Z221" s="535"/>
      <c r="AA221" s="558"/>
      <c r="AD221" s="535"/>
      <c r="AE221" s="558"/>
      <c r="AH221" s="535"/>
      <c r="AI221" s="558"/>
      <c r="AL221" s="535"/>
      <c r="AP221" s="535"/>
    </row>
    <row r="222">
      <c r="A222" s="552"/>
      <c r="B222" s="552"/>
      <c r="N222" s="535"/>
      <c r="O222" s="558"/>
      <c r="R222" s="535"/>
      <c r="S222" s="558"/>
      <c r="V222" s="535"/>
      <c r="W222" s="558"/>
      <c r="Z222" s="535"/>
      <c r="AA222" s="558"/>
      <c r="AD222" s="535"/>
      <c r="AE222" s="558"/>
      <c r="AH222" s="535"/>
      <c r="AI222" s="558"/>
      <c r="AL222" s="535"/>
      <c r="AP222" s="535"/>
    </row>
    <row r="223">
      <c r="A223" s="552"/>
      <c r="B223" s="552"/>
      <c r="N223" s="535"/>
      <c r="O223" s="558"/>
      <c r="R223" s="535"/>
      <c r="S223" s="558"/>
      <c r="V223" s="535"/>
      <c r="W223" s="558"/>
      <c r="Z223" s="535"/>
      <c r="AA223" s="558"/>
      <c r="AD223" s="535"/>
      <c r="AE223" s="558"/>
      <c r="AH223" s="535"/>
      <c r="AI223" s="558"/>
      <c r="AL223" s="535"/>
      <c r="AP223" s="535"/>
    </row>
    <row r="224">
      <c r="A224" s="552"/>
      <c r="B224" s="552"/>
      <c r="N224" s="535"/>
      <c r="O224" s="558"/>
      <c r="R224" s="535"/>
      <c r="S224" s="558"/>
      <c r="V224" s="535"/>
      <c r="W224" s="558"/>
      <c r="Z224" s="535"/>
      <c r="AA224" s="558"/>
      <c r="AD224" s="535"/>
      <c r="AE224" s="558"/>
      <c r="AH224" s="535"/>
      <c r="AI224" s="558"/>
      <c r="AL224" s="535"/>
      <c r="AP224" s="535"/>
    </row>
    <row r="225">
      <c r="A225" s="552"/>
      <c r="B225" s="552"/>
      <c r="N225" s="535"/>
      <c r="O225" s="558"/>
      <c r="R225" s="535"/>
      <c r="S225" s="558"/>
      <c r="V225" s="535"/>
      <c r="W225" s="558"/>
      <c r="Z225" s="535"/>
      <c r="AA225" s="558"/>
      <c r="AD225" s="535"/>
      <c r="AE225" s="558"/>
      <c r="AH225" s="535"/>
      <c r="AI225" s="558"/>
      <c r="AL225" s="535"/>
      <c r="AP225" s="535"/>
    </row>
    <row r="226">
      <c r="A226" s="552"/>
      <c r="B226" s="552"/>
      <c r="N226" s="535"/>
      <c r="O226" s="558"/>
      <c r="R226" s="535"/>
      <c r="S226" s="558"/>
      <c r="V226" s="535"/>
      <c r="W226" s="558"/>
      <c r="Z226" s="535"/>
      <c r="AA226" s="558"/>
      <c r="AD226" s="535"/>
      <c r="AE226" s="558"/>
      <c r="AH226" s="535"/>
      <c r="AI226" s="558"/>
      <c r="AL226" s="535"/>
      <c r="AP226" s="535"/>
    </row>
    <row r="227">
      <c r="A227" s="552"/>
      <c r="B227" s="552"/>
      <c r="N227" s="535"/>
      <c r="O227" s="558"/>
      <c r="R227" s="535"/>
      <c r="S227" s="558"/>
      <c r="V227" s="535"/>
      <c r="W227" s="558"/>
      <c r="Z227" s="535"/>
      <c r="AA227" s="558"/>
      <c r="AD227" s="535"/>
      <c r="AE227" s="558"/>
      <c r="AH227" s="535"/>
      <c r="AI227" s="558"/>
      <c r="AL227" s="535"/>
      <c r="AP227" s="535"/>
    </row>
    <row r="228">
      <c r="A228" s="552"/>
      <c r="B228" s="552"/>
      <c r="N228" s="535"/>
      <c r="O228" s="558"/>
      <c r="R228" s="535"/>
      <c r="S228" s="558"/>
      <c r="V228" s="535"/>
      <c r="W228" s="558"/>
      <c r="Z228" s="535"/>
      <c r="AA228" s="558"/>
      <c r="AD228" s="535"/>
      <c r="AE228" s="558"/>
      <c r="AH228" s="535"/>
      <c r="AI228" s="558"/>
      <c r="AL228" s="535"/>
      <c r="AP228" s="535"/>
    </row>
    <row r="229">
      <c r="A229" s="552"/>
      <c r="B229" s="552"/>
      <c r="N229" s="535"/>
      <c r="O229" s="558"/>
      <c r="R229" s="535"/>
      <c r="S229" s="558"/>
      <c r="V229" s="535"/>
      <c r="W229" s="558"/>
      <c r="Z229" s="535"/>
      <c r="AA229" s="558"/>
      <c r="AD229" s="535"/>
      <c r="AE229" s="558"/>
      <c r="AH229" s="535"/>
      <c r="AI229" s="558"/>
      <c r="AL229" s="535"/>
      <c r="AP229" s="535"/>
    </row>
    <row r="230">
      <c r="A230" s="552"/>
      <c r="B230" s="552"/>
      <c r="N230" s="535"/>
      <c r="O230" s="558"/>
      <c r="R230" s="535"/>
      <c r="S230" s="558"/>
      <c r="V230" s="535"/>
      <c r="W230" s="558"/>
      <c r="Z230" s="535"/>
      <c r="AA230" s="558"/>
      <c r="AD230" s="535"/>
      <c r="AE230" s="558"/>
      <c r="AH230" s="535"/>
      <c r="AI230" s="558"/>
      <c r="AL230" s="535"/>
      <c r="AP230" s="535"/>
    </row>
    <row r="231">
      <c r="A231" s="552"/>
      <c r="B231" s="552"/>
      <c r="N231" s="535"/>
      <c r="O231" s="558"/>
      <c r="R231" s="535"/>
      <c r="S231" s="558"/>
      <c r="V231" s="535"/>
      <c r="W231" s="558"/>
      <c r="Z231" s="535"/>
      <c r="AA231" s="558"/>
      <c r="AD231" s="535"/>
      <c r="AE231" s="558"/>
      <c r="AH231" s="535"/>
      <c r="AI231" s="558"/>
      <c r="AL231" s="535"/>
      <c r="AP231" s="535"/>
    </row>
    <row r="232">
      <c r="A232" s="552"/>
      <c r="B232" s="552"/>
      <c r="N232" s="535"/>
      <c r="O232" s="558"/>
      <c r="R232" s="535"/>
      <c r="S232" s="558"/>
      <c r="V232" s="535"/>
      <c r="W232" s="558"/>
      <c r="Z232" s="535"/>
      <c r="AA232" s="558"/>
      <c r="AD232" s="535"/>
      <c r="AE232" s="558"/>
      <c r="AH232" s="535"/>
      <c r="AI232" s="558"/>
      <c r="AL232" s="535"/>
      <c r="AP232" s="535"/>
    </row>
    <row r="233">
      <c r="A233" s="552"/>
      <c r="B233" s="552"/>
      <c r="N233" s="535"/>
      <c r="O233" s="558"/>
      <c r="R233" s="535"/>
      <c r="S233" s="558"/>
      <c r="V233" s="535"/>
      <c r="W233" s="558"/>
      <c r="Z233" s="535"/>
      <c r="AA233" s="558"/>
      <c r="AD233" s="535"/>
      <c r="AE233" s="558"/>
      <c r="AH233" s="535"/>
      <c r="AI233" s="558"/>
      <c r="AL233" s="535"/>
      <c r="AP233" s="535"/>
    </row>
    <row r="234">
      <c r="A234" s="552"/>
      <c r="B234" s="552"/>
      <c r="N234" s="535"/>
      <c r="O234" s="558"/>
      <c r="R234" s="535"/>
      <c r="S234" s="558"/>
      <c r="V234" s="535"/>
      <c r="W234" s="558"/>
      <c r="Z234" s="535"/>
      <c r="AA234" s="558"/>
      <c r="AD234" s="535"/>
      <c r="AE234" s="558"/>
      <c r="AH234" s="535"/>
      <c r="AI234" s="558"/>
      <c r="AL234" s="535"/>
      <c r="AP234" s="535"/>
    </row>
    <row r="235">
      <c r="A235" s="552"/>
      <c r="B235" s="552"/>
      <c r="N235" s="535"/>
      <c r="O235" s="558"/>
      <c r="R235" s="535"/>
      <c r="S235" s="558"/>
      <c r="V235" s="535"/>
      <c r="W235" s="558"/>
      <c r="Z235" s="535"/>
      <c r="AA235" s="558"/>
      <c r="AD235" s="535"/>
      <c r="AE235" s="558"/>
      <c r="AH235" s="535"/>
      <c r="AI235" s="558"/>
      <c r="AL235" s="535"/>
      <c r="AP235" s="535"/>
    </row>
    <row r="236">
      <c r="A236" s="552"/>
      <c r="B236" s="552"/>
      <c r="N236" s="535"/>
      <c r="O236" s="558"/>
      <c r="R236" s="535"/>
      <c r="S236" s="558"/>
      <c r="V236" s="535"/>
      <c r="W236" s="558"/>
      <c r="Z236" s="535"/>
      <c r="AA236" s="558"/>
      <c r="AD236" s="535"/>
      <c r="AE236" s="558"/>
      <c r="AH236" s="535"/>
      <c r="AI236" s="558"/>
      <c r="AL236" s="535"/>
      <c r="AP236" s="535"/>
    </row>
    <row r="237">
      <c r="A237" s="552"/>
      <c r="B237" s="552"/>
      <c r="N237" s="535"/>
      <c r="O237" s="558"/>
      <c r="R237" s="535"/>
      <c r="S237" s="558"/>
      <c r="V237" s="535"/>
      <c r="W237" s="558"/>
      <c r="Z237" s="535"/>
      <c r="AA237" s="558"/>
      <c r="AD237" s="535"/>
      <c r="AE237" s="558"/>
      <c r="AH237" s="535"/>
      <c r="AI237" s="558"/>
      <c r="AL237" s="535"/>
      <c r="AP237" s="535"/>
    </row>
    <row r="238">
      <c r="A238" s="552"/>
      <c r="B238" s="552"/>
      <c r="N238" s="535"/>
      <c r="O238" s="558"/>
      <c r="R238" s="535"/>
      <c r="S238" s="558"/>
      <c r="V238" s="535"/>
      <c r="W238" s="558"/>
      <c r="Z238" s="535"/>
      <c r="AA238" s="558"/>
      <c r="AD238" s="535"/>
      <c r="AE238" s="558"/>
      <c r="AH238" s="535"/>
      <c r="AI238" s="558"/>
      <c r="AL238" s="535"/>
      <c r="AP238" s="535"/>
    </row>
    <row r="239">
      <c r="A239" s="552"/>
      <c r="B239" s="552"/>
      <c r="N239" s="535"/>
      <c r="O239" s="558"/>
      <c r="R239" s="535"/>
      <c r="S239" s="558"/>
      <c r="V239" s="535"/>
      <c r="W239" s="558"/>
      <c r="Z239" s="535"/>
      <c r="AA239" s="558"/>
      <c r="AD239" s="535"/>
      <c r="AE239" s="558"/>
      <c r="AH239" s="535"/>
      <c r="AI239" s="558"/>
      <c r="AL239" s="535"/>
      <c r="AP239" s="535"/>
    </row>
    <row r="240">
      <c r="A240" s="552"/>
      <c r="B240" s="552"/>
      <c r="N240" s="535"/>
      <c r="O240" s="558"/>
      <c r="R240" s="535"/>
      <c r="S240" s="558"/>
      <c r="V240" s="535"/>
      <c r="W240" s="558"/>
      <c r="Z240" s="535"/>
      <c r="AA240" s="558"/>
      <c r="AD240" s="535"/>
      <c r="AE240" s="558"/>
      <c r="AH240" s="535"/>
      <c r="AI240" s="558"/>
      <c r="AL240" s="535"/>
      <c r="AP240" s="535"/>
    </row>
    <row r="241">
      <c r="A241" s="552"/>
      <c r="B241" s="552"/>
      <c r="N241" s="535"/>
      <c r="O241" s="558"/>
      <c r="R241" s="535"/>
      <c r="S241" s="558"/>
      <c r="V241" s="535"/>
      <c r="W241" s="558"/>
      <c r="Z241" s="535"/>
      <c r="AA241" s="558"/>
      <c r="AD241" s="535"/>
      <c r="AE241" s="558"/>
      <c r="AH241" s="535"/>
      <c r="AI241" s="558"/>
      <c r="AL241" s="535"/>
      <c r="AP241" s="535"/>
    </row>
    <row r="242">
      <c r="A242" s="552"/>
      <c r="B242" s="552"/>
      <c r="N242" s="535"/>
      <c r="O242" s="558"/>
      <c r="R242" s="535"/>
      <c r="S242" s="558"/>
      <c r="V242" s="535"/>
      <c r="W242" s="558"/>
      <c r="Z242" s="535"/>
      <c r="AA242" s="558"/>
      <c r="AD242" s="535"/>
      <c r="AE242" s="558"/>
      <c r="AH242" s="535"/>
      <c r="AI242" s="558"/>
      <c r="AL242" s="535"/>
      <c r="AP242" s="535"/>
    </row>
    <row r="243">
      <c r="A243" s="552"/>
      <c r="B243" s="552"/>
      <c r="N243" s="535"/>
      <c r="O243" s="558"/>
      <c r="R243" s="535"/>
      <c r="S243" s="558"/>
      <c r="V243" s="535"/>
      <c r="W243" s="558"/>
      <c r="Z243" s="535"/>
      <c r="AA243" s="558"/>
      <c r="AD243" s="535"/>
      <c r="AE243" s="558"/>
      <c r="AH243" s="535"/>
      <c r="AI243" s="558"/>
      <c r="AL243" s="535"/>
      <c r="AP243" s="535"/>
    </row>
    <row r="244">
      <c r="A244" s="552"/>
      <c r="B244" s="552"/>
      <c r="N244" s="535"/>
      <c r="O244" s="558"/>
      <c r="R244" s="535"/>
      <c r="S244" s="558"/>
      <c r="V244" s="535"/>
      <c r="W244" s="558"/>
      <c r="Z244" s="535"/>
      <c r="AA244" s="558"/>
      <c r="AD244" s="535"/>
      <c r="AE244" s="558"/>
      <c r="AH244" s="535"/>
      <c r="AI244" s="558"/>
      <c r="AL244" s="535"/>
      <c r="AP244" s="535"/>
    </row>
    <row r="245">
      <c r="A245" s="552"/>
      <c r="B245" s="552"/>
      <c r="N245" s="535"/>
      <c r="O245" s="558"/>
      <c r="R245" s="535"/>
      <c r="S245" s="558"/>
      <c r="V245" s="535"/>
      <c r="W245" s="558"/>
      <c r="Z245" s="535"/>
      <c r="AA245" s="558"/>
      <c r="AD245" s="535"/>
      <c r="AE245" s="558"/>
      <c r="AH245" s="535"/>
      <c r="AI245" s="558"/>
      <c r="AL245" s="535"/>
      <c r="AP245" s="535"/>
    </row>
    <row r="246">
      <c r="A246" s="552"/>
      <c r="B246" s="552"/>
      <c r="N246" s="535"/>
      <c r="O246" s="558"/>
      <c r="R246" s="535"/>
      <c r="S246" s="558"/>
      <c r="V246" s="535"/>
      <c r="W246" s="558"/>
      <c r="Z246" s="535"/>
      <c r="AA246" s="558"/>
      <c r="AD246" s="535"/>
      <c r="AE246" s="558"/>
      <c r="AH246" s="535"/>
      <c r="AI246" s="558"/>
      <c r="AL246" s="535"/>
      <c r="AP246" s="535"/>
    </row>
    <row r="247">
      <c r="A247" s="552"/>
      <c r="B247" s="552"/>
      <c r="N247" s="535"/>
      <c r="O247" s="558"/>
      <c r="R247" s="535"/>
      <c r="S247" s="558"/>
      <c r="V247" s="535"/>
      <c r="W247" s="558"/>
      <c r="Z247" s="535"/>
      <c r="AA247" s="558"/>
      <c r="AD247" s="535"/>
      <c r="AE247" s="558"/>
      <c r="AH247" s="535"/>
      <c r="AI247" s="558"/>
      <c r="AL247" s="535"/>
      <c r="AP247" s="535"/>
    </row>
    <row r="248">
      <c r="A248" s="552"/>
      <c r="B248" s="552"/>
      <c r="N248" s="535"/>
      <c r="O248" s="558"/>
      <c r="R248" s="535"/>
      <c r="S248" s="558"/>
      <c r="V248" s="535"/>
      <c r="W248" s="558"/>
      <c r="Z248" s="535"/>
      <c r="AA248" s="558"/>
      <c r="AD248" s="535"/>
      <c r="AE248" s="558"/>
      <c r="AH248" s="535"/>
      <c r="AI248" s="558"/>
      <c r="AL248" s="535"/>
      <c r="AP248" s="535"/>
    </row>
    <row r="249">
      <c r="A249" s="552"/>
      <c r="B249" s="552"/>
      <c r="N249" s="535"/>
      <c r="O249" s="558"/>
      <c r="R249" s="535"/>
      <c r="S249" s="558"/>
      <c r="V249" s="535"/>
      <c r="W249" s="558"/>
      <c r="Z249" s="535"/>
      <c r="AA249" s="558"/>
      <c r="AD249" s="535"/>
      <c r="AE249" s="558"/>
      <c r="AH249" s="535"/>
      <c r="AI249" s="558"/>
      <c r="AL249" s="535"/>
      <c r="AP249" s="535"/>
    </row>
    <row r="250">
      <c r="A250" s="552"/>
      <c r="B250" s="552"/>
      <c r="N250" s="535"/>
      <c r="O250" s="558"/>
      <c r="R250" s="535"/>
      <c r="S250" s="558"/>
      <c r="V250" s="535"/>
      <c r="W250" s="558"/>
      <c r="Z250" s="535"/>
      <c r="AA250" s="558"/>
      <c r="AD250" s="535"/>
      <c r="AE250" s="558"/>
      <c r="AH250" s="535"/>
      <c r="AI250" s="558"/>
      <c r="AL250" s="535"/>
      <c r="AP250" s="535"/>
    </row>
    <row r="251">
      <c r="A251" s="552"/>
      <c r="B251" s="552"/>
      <c r="N251" s="535"/>
      <c r="O251" s="558"/>
      <c r="R251" s="535"/>
      <c r="S251" s="558"/>
      <c r="V251" s="535"/>
      <c r="W251" s="558"/>
      <c r="Z251" s="535"/>
      <c r="AA251" s="558"/>
      <c r="AD251" s="535"/>
      <c r="AE251" s="558"/>
      <c r="AH251" s="535"/>
      <c r="AI251" s="558"/>
      <c r="AL251" s="535"/>
      <c r="AP251" s="535"/>
    </row>
    <row r="252">
      <c r="A252" s="552"/>
      <c r="B252" s="552"/>
      <c r="N252" s="535"/>
      <c r="O252" s="558"/>
      <c r="R252" s="535"/>
      <c r="S252" s="558"/>
      <c r="V252" s="535"/>
      <c r="W252" s="558"/>
      <c r="Z252" s="535"/>
      <c r="AA252" s="558"/>
      <c r="AD252" s="535"/>
      <c r="AE252" s="558"/>
      <c r="AH252" s="535"/>
      <c r="AI252" s="558"/>
      <c r="AL252" s="535"/>
      <c r="AP252" s="535"/>
    </row>
    <row r="253">
      <c r="A253" s="552"/>
      <c r="B253" s="552"/>
      <c r="N253" s="535"/>
      <c r="O253" s="558"/>
      <c r="R253" s="535"/>
      <c r="S253" s="558"/>
      <c r="V253" s="535"/>
      <c r="W253" s="558"/>
      <c r="Z253" s="535"/>
      <c r="AA253" s="558"/>
      <c r="AD253" s="535"/>
      <c r="AE253" s="558"/>
      <c r="AH253" s="535"/>
      <c r="AI253" s="558"/>
      <c r="AL253" s="535"/>
      <c r="AP253" s="535"/>
    </row>
    <row r="254">
      <c r="A254" s="552"/>
      <c r="B254" s="552"/>
      <c r="N254" s="535"/>
      <c r="O254" s="558"/>
      <c r="R254" s="535"/>
      <c r="S254" s="558"/>
      <c r="V254" s="535"/>
      <c r="W254" s="558"/>
      <c r="Z254" s="535"/>
      <c r="AA254" s="558"/>
      <c r="AD254" s="535"/>
      <c r="AE254" s="558"/>
      <c r="AH254" s="535"/>
      <c r="AI254" s="558"/>
      <c r="AL254" s="535"/>
      <c r="AP254" s="535"/>
    </row>
    <row r="255">
      <c r="A255" s="552"/>
      <c r="B255" s="552"/>
      <c r="N255" s="535"/>
      <c r="O255" s="558"/>
      <c r="R255" s="535"/>
      <c r="S255" s="558"/>
      <c r="V255" s="535"/>
      <c r="W255" s="558"/>
      <c r="Z255" s="535"/>
      <c r="AA255" s="558"/>
      <c r="AD255" s="535"/>
      <c r="AE255" s="558"/>
      <c r="AH255" s="535"/>
      <c r="AI255" s="558"/>
      <c r="AL255" s="535"/>
      <c r="AP255" s="535"/>
    </row>
    <row r="256">
      <c r="A256" s="552"/>
      <c r="B256" s="552"/>
      <c r="N256" s="535"/>
      <c r="O256" s="558"/>
      <c r="R256" s="535"/>
      <c r="S256" s="558"/>
      <c r="V256" s="535"/>
      <c r="W256" s="558"/>
      <c r="Z256" s="535"/>
      <c r="AA256" s="558"/>
      <c r="AD256" s="535"/>
      <c r="AE256" s="558"/>
      <c r="AH256" s="535"/>
      <c r="AI256" s="558"/>
      <c r="AL256" s="535"/>
      <c r="AP256" s="535"/>
    </row>
    <row r="257">
      <c r="A257" s="552"/>
      <c r="B257" s="552"/>
      <c r="N257" s="535"/>
      <c r="O257" s="558"/>
      <c r="R257" s="535"/>
      <c r="S257" s="558"/>
      <c r="V257" s="535"/>
      <c r="W257" s="558"/>
      <c r="Z257" s="535"/>
      <c r="AA257" s="558"/>
      <c r="AD257" s="535"/>
      <c r="AE257" s="558"/>
      <c r="AH257" s="535"/>
      <c r="AI257" s="558"/>
      <c r="AL257" s="535"/>
      <c r="AP257" s="535"/>
    </row>
    <row r="258">
      <c r="A258" s="552"/>
      <c r="B258" s="552"/>
      <c r="N258" s="535"/>
      <c r="O258" s="558"/>
      <c r="R258" s="535"/>
      <c r="S258" s="558"/>
      <c r="V258" s="535"/>
      <c r="W258" s="558"/>
      <c r="Z258" s="535"/>
      <c r="AA258" s="558"/>
      <c r="AD258" s="535"/>
      <c r="AE258" s="558"/>
      <c r="AH258" s="535"/>
      <c r="AI258" s="558"/>
      <c r="AL258" s="535"/>
      <c r="AP258" s="535"/>
    </row>
    <row r="259">
      <c r="A259" s="552"/>
      <c r="B259" s="552"/>
      <c r="N259" s="535"/>
      <c r="O259" s="558"/>
      <c r="R259" s="535"/>
      <c r="S259" s="558"/>
      <c r="V259" s="535"/>
      <c r="W259" s="558"/>
      <c r="Z259" s="535"/>
      <c r="AA259" s="558"/>
      <c r="AD259" s="535"/>
      <c r="AE259" s="558"/>
      <c r="AH259" s="535"/>
      <c r="AI259" s="558"/>
      <c r="AL259" s="535"/>
      <c r="AP259" s="535"/>
    </row>
    <row r="260">
      <c r="A260" s="552"/>
      <c r="B260" s="552"/>
      <c r="N260" s="535"/>
      <c r="O260" s="558"/>
      <c r="R260" s="535"/>
      <c r="S260" s="558"/>
      <c r="V260" s="535"/>
      <c r="W260" s="558"/>
      <c r="Z260" s="535"/>
      <c r="AA260" s="558"/>
      <c r="AD260" s="535"/>
      <c r="AE260" s="558"/>
      <c r="AH260" s="535"/>
      <c r="AI260" s="558"/>
      <c r="AL260" s="535"/>
      <c r="AP260" s="535"/>
    </row>
    <row r="261">
      <c r="A261" s="552"/>
      <c r="B261" s="552"/>
      <c r="N261" s="535"/>
      <c r="O261" s="558"/>
      <c r="R261" s="535"/>
      <c r="S261" s="558"/>
      <c r="V261" s="535"/>
      <c r="W261" s="558"/>
      <c r="Z261" s="535"/>
      <c r="AA261" s="558"/>
      <c r="AD261" s="535"/>
      <c r="AE261" s="558"/>
      <c r="AH261" s="535"/>
      <c r="AI261" s="558"/>
      <c r="AL261" s="535"/>
      <c r="AP261" s="535"/>
    </row>
    <row r="262">
      <c r="A262" s="552"/>
      <c r="B262" s="552"/>
      <c r="N262" s="535"/>
      <c r="O262" s="558"/>
      <c r="R262" s="535"/>
      <c r="S262" s="558"/>
      <c r="V262" s="535"/>
      <c r="W262" s="558"/>
      <c r="Z262" s="535"/>
      <c r="AA262" s="558"/>
      <c r="AD262" s="535"/>
      <c r="AE262" s="558"/>
      <c r="AH262" s="535"/>
      <c r="AI262" s="558"/>
      <c r="AL262" s="535"/>
      <c r="AP262" s="535"/>
    </row>
    <row r="263">
      <c r="A263" s="552"/>
      <c r="B263" s="552"/>
      <c r="N263" s="535"/>
      <c r="O263" s="558"/>
      <c r="R263" s="535"/>
      <c r="S263" s="558"/>
      <c r="V263" s="535"/>
      <c r="W263" s="558"/>
      <c r="Z263" s="535"/>
      <c r="AA263" s="558"/>
      <c r="AD263" s="535"/>
      <c r="AE263" s="558"/>
      <c r="AH263" s="535"/>
      <c r="AI263" s="558"/>
      <c r="AL263" s="535"/>
      <c r="AP263" s="535"/>
    </row>
    <row r="264">
      <c r="A264" s="552"/>
      <c r="B264" s="552"/>
      <c r="N264" s="535"/>
      <c r="O264" s="558"/>
      <c r="R264" s="535"/>
      <c r="S264" s="558"/>
      <c r="V264" s="535"/>
      <c r="W264" s="558"/>
      <c r="Z264" s="535"/>
      <c r="AA264" s="558"/>
      <c r="AD264" s="535"/>
      <c r="AE264" s="558"/>
      <c r="AH264" s="535"/>
      <c r="AI264" s="558"/>
      <c r="AL264" s="535"/>
      <c r="AP264" s="535"/>
    </row>
    <row r="265">
      <c r="A265" s="552"/>
      <c r="B265" s="552"/>
      <c r="N265" s="535"/>
      <c r="O265" s="558"/>
      <c r="R265" s="535"/>
      <c r="S265" s="558"/>
      <c r="V265" s="535"/>
      <c r="W265" s="558"/>
      <c r="Z265" s="535"/>
      <c r="AA265" s="558"/>
      <c r="AD265" s="535"/>
      <c r="AE265" s="558"/>
      <c r="AH265" s="535"/>
      <c r="AI265" s="558"/>
      <c r="AL265" s="535"/>
      <c r="AP265" s="535"/>
    </row>
    <row r="266">
      <c r="A266" s="552"/>
      <c r="B266" s="552"/>
      <c r="N266" s="535"/>
      <c r="O266" s="558"/>
      <c r="R266" s="535"/>
      <c r="S266" s="558"/>
      <c r="V266" s="535"/>
      <c r="W266" s="558"/>
      <c r="Z266" s="535"/>
      <c r="AA266" s="558"/>
      <c r="AD266" s="535"/>
      <c r="AE266" s="558"/>
      <c r="AH266" s="535"/>
      <c r="AI266" s="558"/>
      <c r="AL266" s="535"/>
      <c r="AP266" s="535"/>
    </row>
    <row r="267">
      <c r="A267" s="552"/>
      <c r="B267" s="552"/>
      <c r="N267" s="535"/>
      <c r="O267" s="558"/>
      <c r="R267" s="535"/>
      <c r="S267" s="558"/>
      <c r="V267" s="535"/>
      <c r="W267" s="558"/>
      <c r="Z267" s="535"/>
      <c r="AA267" s="558"/>
      <c r="AD267" s="535"/>
      <c r="AE267" s="558"/>
      <c r="AH267" s="535"/>
      <c r="AI267" s="558"/>
      <c r="AL267" s="535"/>
      <c r="AP267" s="535"/>
    </row>
    <row r="268">
      <c r="A268" s="552"/>
      <c r="B268" s="552"/>
      <c r="N268" s="535"/>
      <c r="O268" s="558"/>
      <c r="R268" s="535"/>
      <c r="S268" s="558"/>
      <c r="V268" s="535"/>
      <c r="W268" s="558"/>
      <c r="Z268" s="535"/>
      <c r="AA268" s="558"/>
      <c r="AD268" s="535"/>
      <c r="AE268" s="558"/>
      <c r="AH268" s="535"/>
      <c r="AI268" s="558"/>
      <c r="AL268" s="535"/>
      <c r="AP268" s="535"/>
    </row>
    <row r="269">
      <c r="A269" s="552"/>
      <c r="B269" s="552"/>
      <c r="N269" s="535"/>
      <c r="O269" s="558"/>
      <c r="R269" s="535"/>
      <c r="S269" s="558"/>
      <c r="V269" s="535"/>
      <c r="W269" s="558"/>
      <c r="Z269" s="535"/>
      <c r="AA269" s="558"/>
      <c r="AD269" s="535"/>
      <c r="AE269" s="558"/>
      <c r="AH269" s="535"/>
      <c r="AI269" s="558"/>
      <c r="AL269" s="535"/>
      <c r="AP269" s="535"/>
    </row>
    <row r="270">
      <c r="A270" s="552"/>
      <c r="B270" s="552"/>
      <c r="N270" s="535"/>
      <c r="O270" s="558"/>
      <c r="R270" s="535"/>
      <c r="S270" s="558"/>
      <c r="V270" s="535"/>
      <c r="W270" s="558"/>
      <c r="Z270" s="535"/>
      <c r="AA270" s="558"/>
      <c r="AD270" s="535"/>
      <c r="AE270" s="558"/>
      <c r="AH270" s="535"/>
      <c r="AI270" s="558"/>
      <c r="AL270" s="535"/>
      <c r="AP270" s="535"/>
    </row>
    <row r="271">
      <c r="A271" s="552"/>
      <c r="B271" s="552"/>
      <c r="N271" s="535"/>
      <c r="O271" s="558"/>
      <c r="R271" s="535"/>
      <c r="S271" s="558"/>
      <c r="V271" s="535"/>
      <c r="W271" s="558"/>
      <c r="Z271" s="535"/>
      <c r="AA271" s="558"/>
      <c r="AD271" s="535"/>
      <c r="AE271" s="558"/>
      <c r="AH271" s="535"/>
      <c r="AI271" s="558"/>
      <c r="AL271" s="535"/>
      <c r="AP271" s="535"/>
    </row>
    <row r="272">
      <c r="A272" s="552"/>
      <c r="B272" s="552"/>
      <c r="N272" s="535"/>
      <c r="O272" s="558"/>
      <c r="R272" s="535"/>
      <c r="S272" s="558"/>
      <c r="V272" s="535"/>
      <c r="W272" s="558"/>
      <c r="Z272" s="535"/>
      <c r="AA272" s="558"/>
      <c r="AD272" s="535"/>
      <c r="AE272" s="558"/>
      <c r="AH272" s="535"/>
      <c r="AI272" s="558"/>
      <c r="AL272" s="535"/>
      <c r="AP272" s="535"/>
    </row>
    <row r="273">
      <c r="A273" s="552"/>
      <c r="B273" s="552"/>
      <c r="N273" s="535"/>
      <c r="O273" s="558"/>
      <c r="R273" s="535"/>
      <c r="S273" s="558"/>
      <c r="V273" s="535"/>
      <c r="W273" s="558"/>
      <c r="Z273" s="535"/>
      <c r="AA273" s="558"/>
      <c r="AD273" s="535"/>
      <c r="AE273" s="558"/>
      <c r="AH273" s="535"/>
      <c r="AI273" s="558"/>
      <c r="AL273" s="535"/>
      <c r="AP273" s="535"/>
    </row>
    <row r="274">
      <c r="A274" s="552"/>
      <c r="B274" s="552"/>
      <c r="N274" s="535"/>
      <c r="O274" s="558"/>
      <c r="R274" s="535"/>
      <c r="S274" s="558"/>
      <c r="V274" s="535"/>
      <c r="W274" s="558"/>
      <c r="Z274" s="535"/>
      <c r="AA274" s="558"/>
      <c r="AD274" s="535"/>
      <c r="AE274" s="558"/>
      <c r="AH274" s="535"/>
      <c r="AI274" s="558"/>
      <c r="AL274" s="535"/>
      <c r="AP274" s="535"/>
    </row>
    <row r="275">
      <c r="A275" s="552"/>
      <c r="B275" s="552"/>
      <c r="N275" s="535"/>
      <c r="O275" s="558"/>
      <c r="R275" s="535"/>
      <c r="S275" s="558"/>
      <c r="V275" s="535"/>
      <c r="W275" s="558"/>
      <c r="Z275" s="535"/>
      <c r="AA275" s="558"/>
      <c r="AD275" s="535"/>
      <c r="AE275" s="558"/>
      <c r="AH275" s="535"/>
      <c r="AI275" s="558"/>
      <c r="AL275" s="535"/>
      <c r="AP275" s="535"/>
    </row>
    <row r="276">
      <c r="A276" s="552"/>
      <c r="B276" s="552"/>
      <c r="N276" s="535"/>
      <c r="O276" s="558"/>
      <c r="R276" s="535"/>
      <c r="S276" s="558"/>
      <c r="V276" s="535"/>
      <c r="W276" s="558"/>
      <c r="Z276" s="535"/>
      <c r="AA276" s="558"/>
      <c r="AD276" s="535"/>
      <c r="AE276" s="558"/>
      <c r="AH276" s="535"/>
      <c r="AI276" s="558"/>
      <c r="AL276" s="535"/>
      <c r="AP276" s="535"/>
    </row>
    <row r="277">
      <c r="A277" s="552"/>
      <c r="B277" s="552"/>
      <c r="N277" s="535"/>
      <c r="O277" s="558"/>
      <c r="R277" s="535"/>
      <c r="S277" s="558"/>
      <c r="V277" s="535"/>
      <c r="W277" s="558"/>
      <c r="Z277" s="535"/>
      <c r="AA277" s="558"/>
      <c r="AD277" s="535"/>
      <c r="AE277" s="558"/>
      <c r="AH277" s="535"/>
      <c r="AI277" s="558"/>
      <c r="AL277" s="535"/>
      <c r="AP277" s="535"/>
    </row>
    <row r="278">
      <c r="A278" s="552"/>
      <c r="B278" s="552"/>
      <c r="N278" s="535"/>
      <c r="O278" s="558"/>
      <c r="R278" s="535"/>
      <c r="S278" s="558"/>
      <c r="V278" s="535"/>
      <c r="W278" s="558"/>
      <c r="Z278" s="535"/>
      <c r="AA278" s="558"/>
      <c r="AD278" s="535"/>
      <c r="AE278" s="558"/>
      <c r="AH278" s="535"/>
      <c r="AI278" s="558"/>
      <c r="AL278" s="535"/>
      <c r="AP278" s="535"/>
    </row>
    <row r="279">
      <c r="A279" s="552"/>
      <c r="B279" s="552"/>
      <c r="N279" s="535"/>
      <c r="O279" s="558"/>
      <c r="R279" s="535"/>
      <c r="S279" s="558"/>
      <c r="V279" s="535"/>
      <c r="W279" s="558"/>
      <c r="Z279" s="535"/>
      <c r="AA279" s="558"/>
      <c r="AD279" s="535"/>
      <c r="AE279" s="558"/>
      <c r="AH279" s="535"/>
      <c r="AI279" s="558"/>
      <c r="AL279" s="535"/>
      <c r="AP279" s="535"/>
    </row>
    <row r="280">
      <c r="A280" s="552"/>
      <c r="B280" s="552"/>
      <c r="N280" s="535"/>
      <c r="O280" s="558"/>
      <c r="R280" s="535"/>
      <c r="S280" s="558"/>
      <c r="V280" s="535"/>
      <c r="W280" s="558"/>
      <c r="Z280" s="535"/>
      <c r="AA280" s="558"/>
      <c r="AD280" s="535"/>
      <c r="AE280" s="558"/>
      <c r="AH280" s="535"/>
      <c r="AI280" s="558"/>
      <c r="AL280" s="535"/>
      <c r="AP280" s="535"/>
    </row>
    <row r="281">
      <c r="A281" s="552"/>
      <c r="B281" s="552"/>
      <c r="N281" s="535"/>
      <c r="O281" s="558"/>
      <c r="R281" s="535"/>
      <c r="S281" s="558"/>
      <c r="V281" s="535"/>
      <c r="W281" s="558"/>
      <c r="Z281" s="535"/>
      <c r="AA281" s="558"/>
      <c r="AD281" s="535"/>
      <c r="AE281" s="558"/>
      <c r="AH281" s="535"/>
      <c r="AI281" s="558"/>
      <c r="AL281" s="535"/>
      <c r="AP281" s="535"/>
    </row>
    <row r="282">
      <c r="A282" s="552"/>
      <c r="B282" s="552"/>
      <c r="N282" s="535"/>
      <c r="O282" s="558"/>
      <c r="R282" s="535"/>
      <c r="S282" s="558"/>
      <c r="V282" s="535"/>
      <c r="W282" s="558"/>
      <c r="Z282" s="535"/>
      <c r="AA282" s="558"/>
      <c r="AD282" s="535"/>
      <c r="AE282" s="558"/>
      <c r="AH282" s="535"/>
      <c r="AI282" s="558"/>
      <c r="AL282" s="535"/>
      <c r="AP282" s="535"/>
    </row>
    <row r="283">
      <c r="A283" s="552"/>
      <c r="B283" s="552"/>
      <c r="N283" s="535"/>
      <c r="O283" s="558"/>
      <c r="R283" s="535"/>
      <c r="S283" s="558"/>
      <c r="V283" s="535"/>
      <c r="W283" s="558"/>
      <c r="Z283" s="535"/>
      <c r="AA283" s="558"/>
      <c r="AD283" s="535"/>
      <c r="AE283" s="558"/>
      <c r="AH283" s="535"/>
      <c r="AI283" s="558"/>
      <c r="AL283" s="535"/>
      <c r="AP283" s="535"/>
    </row>
    <row r="284">
      <c r="A284" s="552"/>
      <c r="B284" s="552"/>
      <c r="N284" s="535"/>
      <c r="O284" s="558"/>
      <c r="R284" s="535"/>
      <c r="S284" s="558"/>
      <c r="V284" s="535"/>
      <c r="W284" s="558"/>
      <c r="Z284" s="535"/>
      <c r="AA284" s="558"/>
      <c r="AD284" s="535"/>
      <c r="AE284" s="558"/>
      <c r="AH284" s="535"/>
      <c r="AI284" s="558"/>
      <c r="AL284" s="535"/>
      <c r="AP284" s="535"/>
    </row>
    <row r="285">
      <c r="A285" s="552"/>
      <c r="B285" s="552"/>
      <c r="N285" s="535"/>
      <c r="O285" s="558"/>
      <c r="R285" s="535"/>
      <c r="S285" s="558"/>
      <c r="V285" s="535"/>
      <c r="W285" s="558"/>
      <c r="Z285" s="535"/>
      <c r="AA285" s="558"/>
      <c r="AD285" s="535"/>
      <c r="AE285" s="558"/>
      <c r="AH285" s="535"/>
      <c r="AI285" s="558"/>
      <c r="AL285" s="535"/>
      <c r="AP285" s="535"/>
    </row>
    <row r="286">
      <c r="A286" s="552"/>
      <c r="B286" s="552"/>
      <c r="N286" s="535"/>
      <c r="O286" s="558"/>
      <c r="R286" s="535"/>
      <c r="S286" s="558"/>
      <c r="V286" s="535"/>
      <c r="W286" s="558"/>
      <c r="Z286" s="535"/>
      <c r="AA286" s="558"/>
      <c r="AD286" s="535"/>
      <c r="AE286" s="558"/>
      <c r="AH286" s="535"/>
      <c r="AI286" s="558"/>
      <c r="AL286" s="535"/>
      <c r="AP286" s="535"/>
    </row>
    <row r="287">
      <c r="A287" s="552"/>
      <c r="B287" s="552"/>
      <c r="N287" s="535"/>
      <c r="O287" s="558"/>
      <c r="R287" s="535"/>
      <c r="S287" s="558"/>
      <c r="V287" s="535"/>
      <c r="W287" s="558"/>
      <c r="Z287" s="535"/>
      <c r="AA287" s="558"/>
      <c r="AD287" s="535"/>
      <c r="AE287" s="558"/>
      <c r="AH287" s="535"/>
      <c r="AI287" s="558"/>
      <c r="AL287" s="535"/>
      <c r="AP287" s="535"/>
    </row>
    <row r="288">
      <c r="A288" s="552"/>
      <c r="B288" s="552"/>
      <c r="N288" s="535"/>
      <c r="O288" s="558"/>
      <c r="R288" s="535"/>
      <c r="S288" s="558"/>
      <c r="V288" s="535"/>
      <c r="W288" s="558"/>
      <c r="Z288" s="535"/>
      <c r="AA288" s="558"/>
      <c r="AD288" s="535"/>
      <c r="AE288" s="558"/>
      <c r="AH288" s="535"/>
      <c r="AI288" s="558"/>
      <c r="AL288" s="535"/>
      <c r="AP288" s="535"/>
    </row>
    <row r="289">
      <c r="A289" s="552"/>
      <c r="B289" s="552"/>
      <c r="N289" s="535"/>
      <c r="O289" s="558"/>
      <c r="R289" s="535"/>
      <c r="S289" s="558"/>
      <c r="V289" s="535"/>
      <c r="W289" s="558"/>
      <c r="Z289" s="535"/>
      <c r="AA289" s="558"/>
      <c r="AD289" s="535"/>
      <c r="AE289" s="558"/>
      <c r="AH289" s="535"/>
      <c r="AI289" s="558"/>
      <c r="AL289" s="535"/>
      <c r="AP289" s="535"/>
    </row>
    <row r="290">
      <c r="A290" s="552"/>
      <c r="B290" s="552"/>
      <c r="N290" s="535"/>
      <c r="O290" s="558"/>
      <c r="R290" s="535"/>
      <c r="S290" s="558"/>
      <c r="V290" s="535"/>
      <c r="W290" s="558"/>
      <c r="Z290" s="535"/>
      <c r="AA290" s="558"/>
      <c r="AD290" s="535"/>
      <c r="AE290" s="558"/>
      <c r="AH290" s="535"/>
      <c r="AI290" s="558"/>
      <c r="AL290" s="535"/>
      <c r="AP290" s="535"/>
    </row>
    <row r="291">
      <c r="A291" s="552"/>
      <c r="B291" s="552"/>
      <c r="N291" s="535"/>
      <c r="O291" s="558"/>
      <c r="R291" s="535"/>
      <c r="S291" s="558"/>
      <c r="V291" s="535"/>
      <c r="W291" s="558"/>
      <c r="Z291" s="535"/>
      <c r="AA291" s="558"/>
      <c r="AD291" s="535"/>
      <c r="AE291" s="558"/>
      <c r="AH291" s="535"/>
      <c r="AI291" s="558"/>
      <c r="AL291" s="535"/>
      <c r="AP291" s="535"/>
    </row>
    <row r="292">
      <c r="A292" s="552"/>
      <c r="B292" s="552"/>
      <c r="N292" s="535"/>
      <c r="O292" s="558"/>
      <c r="R292" s="535"/>
      <c r="S292" s="558"/>
      <c r="V292" s="535"/>
      <c r="W292" s="558"/>
      <c r="Z292" s="535"/>
      <c r="AA292" s="558"/>
      <c r="AD292" s="535"/>
      <c r="AE292" s="558"/>
      <c r="AH292" s="535"/>
      <c r="AI292" s="558"/>
      <c r="AL292" s="535"/>
      <c r="AP292" s="535"/>
    </row>
    <row r="293">
      <c r="A293" s="552"/>
      <c r="B293" s="552"/>
      <c r="N293" s="535"/>
      <c r="O293" s="558"/>
      <c r="R293" s="535"/>
      <c r="S293" s="558"/>
      <c r="V293" s="535"/>
      <c r="W293" s="558"/>
      <c r="Z293" s="535"/>
      <c r="AA293" s="558"/>
      <c r="AD293" s="535"/>
      <c r="AE293" s="558"/>
      <c r="AH293" s="535"/>
      <c r="AI293" s="558"/>
      <c r="AL293" s="535"/>
      <c r="AP293" s="535"/>
    </row>
    <row r="294">
      <c r="A294" s="552"/>
      <c r="B294" s="552"/>
      <c r="N294" s="535"/>
      <c r="O294" s="558"/>
      <c r="R294" s="535"/>
      <c r="S294" s="558"/>
      <c r="V294" s="535"/>
      <c r="W294" s="558"/>
      <c r="Z294" s="535"/>
      <c r="AA294" s="558"/>
      <c r="AD294" s="535"/>
      <c r="AE294" s="558"/>
      <c r="AH294" s="535"/>
      <c r="AI294" s="558"/>
      <c r="AL294" s="535"/>
      <c r="AP294" s="535"/>
    </row>
    <row r="295">
      <c r="A295" s="552"/>
      <c r="B295" s="552"/>
      <c r="N295" s="535"/>
      <c r="O295" s="558"/>
      <c r="R295" s="535"/>
      <c r="S295" s="558"/>
      <c r="V295" s="535"/>
      <c r="W295" s="558"/>
      <c r="Z295" s="535"/>
      <c r="AA295" s="558"/>
      <c r="AD295" s="535"/>
      <c r="AE295" s="558"/>
      <c r="AH295" s="535"/>
      <c r="AI295" s="558"/>
      <c r="AL295" s="535"/>
      <c r="AP295" s="535"/>
    </row>
    <row r="296">
      <c r="A296" s="552"/>
      <c r="B296" s="552"/>
      <c r="N296" s="535"/>
      <c r="O296" s="558"/>
      <c r="R296" s="535"/>
      <c r="S296" s="558"/>
      <c r="V296" s="535"/>
      <c r="W296" s="558"/>
      <c r="Z296" s="535"/>
      <c r="AA296" s="558"/>
      <c r="AD296" s="535"/>
      <c r="AE296" s="558"/>
      <c r="AH296" s="535"/>
      <c r="AI296" s="558"/>
      <c r="AL296" s="535"/>
      <c r="AP296" s="535"/>
    </row>
    <row r="297">
      <c r="A297" s="552"/>
      <c r="B297" s="552"/>
      <c r="N297" s="535"/>
      <c r="O297" s="558"/>
      <c r="R297" s="535"/>
      <c r="S297" s="558"/>
      <c r="V297" s="535"/>
      <c r="W297" s="558"/>
      <c r="Z297" s="535"/>
      <c r="AA297" s="558"/>
      <c r="AD297" s="535"/>
      <c r="AE297" s="558"/>
      <c r="AH297" s="535"/>
      <c r="AI297" s="558"/>
      <c r="AL297" s="535"/>
      <c r="AP297" s="535"/>
    </row>
    <row r="298">
      <c r="A298" s="552"/>
      <c r="B298" s="552"/>
      <c r="N298" s="535"/>
      <c r="O298" s="558"/>
      <c r="R298" s="535"/>
      <c r="S298" s="558"/>
      <c r="V298" s="535"/>
      <c r="W298" s="558"/>
      <c r="Z298" s="535"/>
      <c r="AA298" s="558"/>
      <c r="AD298" s="535"/>
      <c r="AE298" s="558"/>
      <c r="AH298" s="535"/>
      <c r="AI298" s="558"/>
      <c r="AL298" s="535"/>
      <c r="AP298" s="535"/>
    </row>
    <row r="299">
      <c r="A299" s="552"/>
      <c r="B299" s="552"/>
      <c r="N299" s="535"/>
      <c r="O299" s="558"/>
      <c r="R299" s="535"/>
      <c r="S299" s="558"/>
      <c r="V299" s="535"/>
      <c r="W299" s="558"/>
      <c r="Z299" s="535"/>
      <c r="AA299" s="558"/>
      <c r="AD299" s="535"/>
      <c r="AE299" s="558"/>
      <c r="AH299" s="535"/>
      <c r="AI299" s="558"/>
      <c r="AL299" s="535"/>
      <c r="AP299" s="535"/>
    </row>
    <row r="300">
      <c r="A300" s="552"/>
      <c r="B300" s="552"/>
      <c r="N300" s="535"/>
      <c r="O300" s="558"/>
      <c r="R300" s="535"/>
      <c r="S300" s="558"/>
      <c r="V300" s="535"/>
      <c r="W300" s="558"/>
      <c r="Z300" s="535"/>
      <c r="AA300" s="558"/>
      <c r="AD300" s="535"/>
      <c r="AE300" s="558"/>
      <c r="AH300" s="535"/>
      <c r="AI300" s="558"/>
      <c r="AL300" s="535"/>
      <c r="AP300" s="535"/>
    </row>
    <row r="301">
      <c r="A301" s="552"/>
      <c r="B301" s="552"/>
      <c r="N301" s="535"/>
      <c r="O301" s="558"/>
      <c r="R301" s="535"/>
      <c r="S301" s="558"/>
      <c r="V301" s="535"/>
      <c r="W301" s="558"/>
      <c r="Z301" s="535"/>
      <c r="AA301" s="558"/>
      <c r="AD301" s="535"/>
      <c r="AE301" s="558"/>
      <c r="AH301" s="535"/>
      <c r="AI301" s="558"/>
      <c r="AL301" s="535"/>
      <c r="AP301" s="535"/>
    </row>
    <row r="302">
      <c r="A302" s="552"/>
      <c r="B302" s="552"/>
      <c r="N302" s="535"/>
      <c r="O302" s="558"/>
      <c r="R302" s="535"/>
      <c r="S302" s="558"/>
      <c r="V302" s="535"/>
      <c r="W302" s="558"/>
      <c r="Z302" s="535"/>
      <c r="AA302" s="558"/>
      <c r="AD302" s="535"/>
      <c r="AE302" s="558"/>
      <c r="AH302" s="535"/>
      <c r="AI302" s="558"/>
      <c r="AL302" s="535"/>
      <c r="AP302" s="535"/>
    </row>
    <row r="303">
      <c r="A303" s="552"/>
      <c r="B303" s="552"/>
      <c r="N303" s="535"/>
      <c r="O303" s="558"/>
      <c r="R303" s="535"/>
      <c r="S303" s="558"/>
      <c r="V303" s="535"/>
      <c r="W303" s="558"/>
      <c r="Z303" s="535"/>
      <c r="AA303" s="558"/>
      <c r="AD303" s="535"/>
      <c r="AE303" s="558"/>
      <c r="AH303" s="535"/>
      <c r="AI303" s="558"/>
      <c r="AL303" s="535"/>
      <c r="AP303" s="535"/>
    </row>
    <row r="304">
      <c r="A304" s="552"/>
      <c r="B304" s="552"/>
      <c r="N304" s="535"/>
      <c r="O304" s="558"/>
      <c r="R304" s="535"/>
      <c r="S304" s="558"/>
      <c r="V304" s="535"/>
      <c r="W304" s="558"/>
      <c r="Z304" s="535"/>
      <c r="AA304" s="558"/>
      <c r="AD304" s="535"/>
      <c r="AE304" s="558"/>
      <c r="AH304" s="535"/>
      <c r="AI304" s="558"/>
      <c r="AL304" s="535"/>
      <c r="AP304" s="535"/>
    </row>
    <row r="305">
      <c r="A305" s="552"/>
      <c r="B305" s="552"/>
      <c r="N305" s="535"/>
      <c r="O305" s="558"/>
      <c r="R305" s="535"/>
      <c r="S305" s="558"/>
      <c r="V305" s="535"/>
      <c r="W305" s="558"/>
      <c r="Z305" s="535"/>
      <c r="AA305" s="558"/>
      <c r="AD305" s="535"/>
      <c r="AE305" s="558"/>
      <c r="AH305" s="535"/>
      <c r="AI305" s="558"/>
      <c r="AL305" s="535"/>
      <c r="AP305" s="535"/>
    </row>
    <row r="306">
      <c r="A306" s="552"/>
      <c r="B306" s="552"/>
      <c r="N306" s="535"/>
      <c r="O306" s="558"/>
      <c r="R306" s="535"/>
      <c r="S306" s="558"/>
      <c r="V306" s="535"/>
      <c r="W306" s="558"/>
      <c r="Z306" s="535"/>
      <c r="AA306" s="558"/>
      <c r="AD306" s="535"/>
      <c r="AE306" s="558"/>
      <c r="AH306" s="535"/>
      <c r="AI306" s="558"/>
      <c r="AL306" s="535"/>
      <c r="AP306" s="535"/>
    </row>
    <row r="307">
      <c r="A307" s="552"/>
      <c r="B307" s="552"/>
      <c r="N307" s="535"/>
      <c r="O307" s="558"/>
      <c r="R307" s="535"/>
      <c r="S307" s="558"/>
      <c r="V307" s="535"/>
      <c r="W307" s="558"/>
      <c r="Z307" s="535"/>
      <c r="AA307" s="558"/>
      <c r="AD307" s="535"/>
      <c r="AE307" s="558"/>
      <c r="AH307" s="535"/>
      <c r="AI307" s="558"/>
      <c r="AL307" s="535"/>
      <c r="AP307" s="535"/>
    </row>
    <row r="308">
      <c r="A308" s="552"/>
      <c r="B308" s="552"/>
      <c r="N308" s="535"/>
      <c r="O308" s="558"/>
      <c r="R308" s="535"/>
      <c r="S308" s="558"/>
      <c r="V308" s="535"/>
      <c r="W308" s="558"/>
      <c r="Z308" s="535"/>
      <c r="AA308" s="558"/>
      <c r="AD308" s="535"/>
      <c r="AE308" s="558"/>
      <c r="AH308" s="535"/>
      <c r="AI308" s="558"/>
      <c r="AL308" s="535"/>
      <c r="AP308" s="535"/>
    </row>
    <row r="309">
      <c r="A309" s="552"/>
      <c r="B309" s="552"/>
      <c r="N309" s="535"/>
      <c r="O309" s="558"/>
      <c r="R309" s="535"/>
      <c r="S309" s="558"/>
      <c r="V309" s="535"/>
      <c r="W309" s="558"/>
      <c r="Z309" s="535"/>
      <c r="AA309" s="558"/>
      <c r="AD309" s="535"/>
      <c r="AE309" s="558"/>
      <c r="AH309" s="535"/>
      <c r="AI309" s="558"/>
      <c r="AL309" s="535"/>
      <c r="AP309" s="535"/>
    </row>
    <row r="310">
      <c r="A310" s="552"/>
      <c r="B310" s="552"/>
      <c r="N310" s="535"/>
      <c r="O310" s="558"/>
      <c r="R310" s="535"/>
      <c r="S310" s="558"/>
      <c r="V310" s="535"/>
      <c r="W310" s="558"/>
      <c r="Z310" s="535"/>
      <c r="AA310" s="558"/>
      <c r="AD310" s="535"/>
      <c r="AE310" s="558"/>
      <c r="AH310" s="535"/>
      <c r="AI310" s="558"/>
      <c r="AL310" s="535"/>
      <c r="AP310" s="535"/>
    </row>
    <row r="311">
      <c r="A311" s="552"/>
      <c r="B311" s="552"/>
      <c r="N311" s="535"/>
      <c r="O311" s="558"/>
      <c r="R311" s="535"/>
      <c r="S311" s="558"/>
      <c r="V311" s="535"/>
      <c r="W311" s="558"/>
      <c r="Z311" s="535"/>
      <c r="AA311" s="558"/>
      <c r="AD311" s="535"/>
      <c r="AE311" s="558"/>
      <c r="AH311" s="535"/>
      <c r="AI311" s="558"/>
      <c r="AL311" s="535"/>
      <c r="AP311" s="535"/>
    </row>
    <row r="312">
      <c r="A312" s="552"/>
      <c r="B312" s="552"/>
      <c r="N312" s="535"/>
      <c r="O312" s="558"/>
      <c r="R312" s="535"/>
      <c r="S312" s="558"/>
      <c r="V312" s="535"/>
      <c r="W312" s="558"/>
      <c r="Z312" s="535"/>
      <c r="AA312" s="558"/>
      <c r="AD312" s="535"/>
      <c r="AE312" s="558"/>
      <c r="AH312" s="535"/>
      <c r="AI312" s="558"/>
      <c r="AL312" s="535"/>
      <c r="AP312" s="535"/>
    </row>
    <row r="313">
      <c r="A313" s="552"/>
      <c r="B313" s="552"/>
      <c r="N313" s="535"/>
      <c r="O313" s="558"/>
      <c r="R313" s="535"/>
      <c r="S313" s="558"/>
      <c r="V313" s="535"/>
      <c r="W313" s="558"/>
      <c r="Z313" s="535"/>
      <c r="AA313" s="558"/>
      <c r="AD313" s="535"/>
      <c r="AE313" s="558"/>
      <c r="AH313" s="535"/>
      <c r="AI313" s="558"/>
      <c r="AL313" s="535"/>
      <c r="AP313" s="535"/>
    </row>
    <row r="314">
      <c r="A314" s="552"/>
      <c r="B314" s="552"/>
      <c r="N314" s="535"/>
      <c r="O314" s="558"/>
      <c r="R314" s="535"/>
      <c r="S314" s="558"/>
      <c r="V314" s="535"/>
      <c r="W314" s="558"/>
      <c r="Z314" s="535"/>
      <c r="AA314" s="558"/>
      <c r="AD314" s="535"/>
      <c r="AE314" s="558"/>
      <c r="AH314" s="535"/>
      <c r="AI314" s="558"/>
      <c r="AL314" s="535"/>
      <c r="AP314" s="535"/>
    </row>
    <row r="315">
      <c r="A315" s="552"/>
      <c r="B315" s="552"/>
      <c r="N315" s="535"/>
      <c r="O315" s="558"/>
      <c r="R315" s="535"/>
      <c r="S315" s="558"/>
      <c r="V315" s="535"/>
      <c r="W315" s="558"/>
      <c r="Z315" s="535"/>
      <c r="AA315" s="558"/>
      <c r="AD315" s="535"/>
      <c r="AE315" s="558"/>
      <c r="AH315" s="535"/>
      <c r="AI315" s="558"/>
      <c r="AL315" s="535"/>
      <c r="AP315" s="535"/>
    </row>
    <row r="316">
      <c r="A316" s="552"/>
      <c r="B316" s="552"/>
      <c r="N316" s="535"/>
      <c r="O316" s="558"/>
      <c r="R316" s="535"/>
      <c r="S316" s="558"/>
      <c r="V316" s="535"/>
      <c r="W316" s="558"/>
      <c r="Z316" s="535"/>
      <c r="AA316" s="558"/>
      <c r="AD316" s="535"/>
      <c r="AE316" s="558"/>
      <c r="AH316" s="535"/>
      <c r="AI316" s="558"/>
      <c r="AL316" s="535"/>
      <c r="AP316" s="535"/>
    </row>
    <row r="317">
      <c r="A317" s="552"/>
      <c r="B317" s="552"/>
      <c r="N317" s="535"/>
      <c r="O317" s="558"/>
      <c r="R317" s="535"/>
      <c r="S317" s="558"/>
      <c r="V317" s="535"/>
      <c r="W317" s="558"/>
      <c r="Z317" s="535"/>
      <c r="AA317" s="558"/>
      <c r="AD317" s="535"/>
      <c r="AE317" s="558"/>
      <c r="AH317" s="535"/>
      <c r="AI317" s="558"/>
      <c r="AL317" s="535"/>
      <c r="AP317" s="535"/>
    </row>
    <row r="318">
      <c r="A318" s="552"/>
      <c r="B318" s="552"/>
      <c r="N318" s="535"/>
      <c r="O318" s="558"/>
      <c r="R318" s="535"/>
      <c r="S318" s="558"/>
      <c r="V318" s="535"/>
      <c r="W318" s="558"/>
      <c r="Z318" s="535"/>
      <c r="AA318" s="558"/>
      <c r="AD318" s="535"/>
      <c r="AE318" s="558"/>
      <c r="AH318" s="535"/>
      <c r="AI318" s="558"/>
      <c r="AL318" s="535"/>
      <c r="AP318" s="535"/>
    </row>
    <row r="319">
      <c r="A319" s="552"/>
      <c r="B319" s="552"/>
      <c r="N319" s="535"/>
      <c r="O319" s="558"/>
      <c r="R319" s="535"/>
      <c r="S319" s="558"/>
      <c r="V319" s="535"/>
      <c r="W319" s="558"/>
      <c r="Z319" s="535"/>
      <c r="AA319" s="558"/>
      <c r="AD319" s="535"/>
      <c r="AE319" s="558"/>
      <c r="AH319" s="535"/>
      <c r="AI319" s="558"/>
      <c r="AL319" s="535"/>
      <c r="AP319" s="535"/>
    </row>
    <row r="320">
      <c r="A320" s="552"/>
      <c r="B320" s="552"/>
      <c r="N320" s="535"/>
      <c r="O320" s="558"/>
      <c r="R320" s="535"/>
      <c r="S320" s="558"/>
      <c r="V320" s="535"/>
      <c r="W320" s="558"/>
      <c r="Z320" s="535"/>
      <c r="AA320" s="558"/>
      <c r="AD320" s="535"/>
      <c r="AE320" s="558"/>
      <c r="AH320" s="535"/>
      <c r="AI320" s="558"/>
      <c r="AL320" s="535"/>
      <c r="AP320" s="535"/>
    </row>
    <row r="321">
      <c r="A321" s="552"/>
      <c r="B321" s="552"/>
      <c r="N321" s="535"/>
      <c r="O321" s="558"/>
      <c r="R321" s="535"/>
      <c r="S321" s="558"/>
      <c r="V321" s="535"/>
      <c r="W321" s="558"/>
      <c r="Z321" s="535"/>
      <c r="AA321" s="558"/>
      <c r="AD321" s="535"/>
      <c r="AE321" s="558"/>
      <c r="AH321" s="535"/>
      <c r="AI321" s="558"/>
      <c r="AL321" s="535"/>
      <c r="AP321" s="535"/>
    </row>
    <row r="322">
      <c r="A322" s="552"/>
      <c r="B322" s="552"/>
      <c r="N322" s="535"/>
      <c r="O322" s="558"/>
      <c r="R322" s="535"/>
      <c r="S322" s="558"/>
      <c r="V322" s="535"/>
      <c r="W322" s="558"/>
      <c r="Z322" s="535"/>
      <c r="AA322" s="558"/>
      <c r="AD322" s="535"/>
      <c r="AE322" s="558"/>
      <c r="AH322" s="535"/>
      <c r="AI322" s="558"/>
      <c r="AL322" s="535"/>
      <c r="AP322" s="535"/>
    </row>
    <row r="323">
      <c r="A323" s="552"/>
      <c r="B323" s="552"/>
      <c r="N323" s="535"/>
      <c r="O323" s="558"/>
      <c r="R323" s="535"/>
      <c r="S323" s="558"/>
      <c r="V323" s="535"/>
      <c r="W323" s="558"/>
      <c r="Z323" s="535"/>
      <c r="AA323" s="558"/>
      <c r="AD323" s="535"/>
      <c r="AE323" s="558"/>
      <c r="AH323" s="535"/>
      <c r="AI323" s="558"/>
      <c r="AL323" s="535"/>
      <c r="AP323" s="535"/>
    </row>
    <row r="324">
      <c r="A324" s="552"/>
      <c r="B324" s="552"/>
      <c r="N324" s="535"/>
      <c r="O324" s="558"/>
      <c r="R324" s="535"/>
      <c r="S324" s="558"/>
      <c r="V324" s="535"/>
      <c r="W324" s="558"/>
      <c r="Z324" s="535"/>
      <c r="AA324" s="558"/>
      <c r="AD324" s="535"/>
      <c r="AE324" s="558"/>
      <c r="AH324" s="535"/>
      <c r="AI324" s="558"/>
      <c r="AL324" s="535"/>
      <c r="AP324" s="535"/>
    </row>
    <row r="325">
      <c r="A325" s="552"/>
      <c r="B325" s="552"/>
      <c r="N325" s="535"/>
      <c r="O325" s="558"/>
      <c r="R325" s="535"/>
      <c r="S325" s="558"/>
      <c r="V325" s="535"/>
      <c r="W325" s="558"/>
      <c r="Z325" s="535"/>
      <c r="AA325" s="558"/>
      <c r="AD325" s="535"/>
      <c r="AE325" s="558"/>
      <c r="AH325" s="535"/>
      <c r="AI325" s="558"/>
      <c r="AL325" s="535"/>
      <c r="AP325" s="535"/>
    </row>
    <row r="326">
      <c r="A326" s="552"/>
      <c r="B326" s="552"/>
      <c r="N326" s="535"/>
      <c r="O326" s="558"/>
      <c r="R326" s="535"/>
      <c r="S326" s="558"/>
      <c r="V326" s="535"/>
      <c r="W326" s="558"/>
      <c r="Z326" s="535"/>
      <c r="AA326" s="558"/>
      <c r="AD326" s="535"/>
      <c r="AE326" s="558"/>
      <c r="AH326" s="535"/>
      <c r="AI326" s="558"/>
      <c r="AL326" s="535"/>
      <c r="AP326" s="535"/>
    </row>
    <row r="327">
      <c r="A327" s="552"/>
      <c r="B327" s="552"/>
      <c r="N327" s="535"/>
      <c r="O327" s="558"/>
      <c r="R327" s="535"/>
      <c r="S327" s="558"/>
      <c r="V327" s="535"/>
      <c r="W327" s="558"/>
      <c r="Z327" s="535"/>
      <c r="AA327" s="558"/>
      <c r="AD327" s="535"/>
      <c r="AE327" s="558"/>
      <c r="AH327" s="535"/>
      <c r="AI327" s="558"/>
      <c r="AL327" s="535"/>
      <c r="AP327" s="535"/>
    </row>
    <row r="328">
      <c r="A328" s="552"/>
      <c r="B328" s="552"/>
      <c r="N328" s="535"/>
      <c r="O328" s="558"/>
      <c r="R328" s="535"/>
      <c r="S328" s="558"/>
      <c r="V328" s="535"/>
      <c r="W328" s="558"/>
      <c r="Z328" s="535"/>
      <c r="AA328" s="558"/>
      <c r="AD328" s="535"/>
      <c r="AE328" s="558"/>
      <c r="AH328" s="535"/>
      <c r="AI328" s="558"/>
      <c r="AL328" s="535"/>
      <c r="AP328" s="535"/>
    </row>
    <row r="329">
      <c r="A329" s="552"/>
      <c r="B329" s="552"/>
      <c r="N329" s="535"/>
      <c r="O329" s="558"/>
      <c r="R329" s="535"/>
      <c r="S329" s="558"/>
      <c r="V329" s="535"/>
      <c r="W329" s="558"/>
      <c r="Z329" s="535"/>
      <c r="AA329" s="558"/>
      <c r="AD329" s="535"/>
      <c r="AE329" s="558"/>
      <c r="AH329" s="535"/>
      <c r="AI329" s="558"/>
      <c r="AL329" s="535"/>
      <c r="AP329" s="535"/>
    </row>
    <row r="330">
      <c r="A330" s="552"/>
      <c r="B330" s="552"/>
      <c r="N330" s="535"/>
      <c r="O330" s="558"/>
      <c r="R330" s="535"/>
      <c r="S330" s="558"/>
      <c r="V330" s="535"/>
      <c r="W330" s="558"/>
      <c r="Z330" s="535"/>
      <c r="AA330" s="558"/>
      <c r="AD330" s="535"/>
      <c r="AE330" s="558"/>
      <c r="AH330" s="535"/>
      <c r="AI330" s="558"/>
      <c r="AL330" s="535"/>
      <c r="AP330" s="535"/>
    </row>
    <row r="331">
      <c r="A331" s="552"/>
      <c r="B331" s="552"/>
      <c r="N331" s="535"/>
      <c r="O331" s="558"/>
      <c r="R331" s="535"/>
      <c r="S331" s="558"/>
      <c r="V331" s="535"/>
      <c r="W331" s="558"/>
      <c r="Z331" s="535"/>
      <c r="AA331" s="558"/>
      <c r="AD331" s="535"/>
      <c r="AE331" s="558"/>
      <c r="AH331" s="535"/>
      <c r="AI331" s="558"/>
      <c r="AL331" s="535"/>
      <c r="AP331" s="535"/>
    </row>
    <row r="332">
      <c r="A332" s="552"/>
      <c r="B332" s="552"/>
      <c r="N332" s="535"/>
      <c r="O332" s="558"/>
      <c r="R332" s="535"/>
      <c r="S332" s="558"/>
      <c r="V332" s="535"/>
      <c r="W332" s="558"/>
      <c r="Z332" s="535"/>
      <c r="AA332" s="558"/>
      <c r="AD332" s="535"/>
      <c r="AE332" s="558"/>
      <c r="AH332" s="535"/>
      <c r="AI332" s="558"/>
      <c r="AL332" s="535"/>
      <c r="AP332" s="535"/>
    </row>
    <row r="333">
      <c r="A333" s="552"/>
      <c r="B333" s="552"/>
      <c r="N333" s="535"/>
      <c r="O333" s="558"/>
      <c r="R333" s="535"/>
      <c r="S333" s="558"/>
      <c r="V333" s="535"/>
      <c r="W333" s="558"/>
      <c r="Z333" s="535"/>
      <c r="AA333" s="558"/>
      <c r="AD333" s="535"/>
      <c r="AE333" s="558"/>
      <c r="AH333" s="535"/>
      <c r="AI333" s="558"/>
      <c r="AL333" s="535"/>
      <c r="AP333" s="535"/>
    </row>
    <row r="334">
      <c r="A334" s="552"/>
      <c r="B334" s="552"/>
      <c r="N334" s="535"/>
      <c r="O334" s="558"/>
      <c r="R334" s="535"/>
      <c r="S334" s="558"/>
      <c r="V334" s="535"/>
      <c r="W334" s="558"/>
      <c r="Z334" s="535"/>
      <c r="AA334" s="558"/>
      <c r="AD334" s="535"/>
      <c r="AE334" s="558"/>
      <c r="AH334" s="535"/>
      <c r="AI334" s="558"/>
      <c r="AL334" s="535"/>
      <c r="AP334" s="535"/>
    </row>
    <row r="335">
      <c r="A335" s="552"/>
      <c r="B335" s="552"/>
      <c r="N335" s="535"/>
      <c r="O335" s="558"/>
      <c r="R335" s="535"/>
      <c r="S335" s="558"/>
      <c r="V335" s="535"/>
      <c r="W335" s="558"/>
      <c r="Z335" s="535"/>
      <c r="AA335" s="558"/>
      <c r="AD335" s="535"/>
      <c r="AE335" s="558"/>
      <c r="AH335" s="535"/>
      <c r="AI335" s="558"/>
      <c r="AL335" s="535"/>
      <c r="AP335" s="535"/>
    </row>
    <row r="336">
      <c r="A336" s="552"/>
      <c r="B336" s="552"/>
      <c r="N336" s="535"/>
      <c r="O336" s="558"/>
      <c r="R336" s="535"/>
      <c r="S336" s="558"/>
      <c r="V336" s="535"/>
      <c r="W336" s="558"/>
      <c r="Z336" s="535"/>
      <c r="AA336" s="558"/>
      <c r="AD336" s="535"/>
      <c r="AE336" s="558"/>
      <c r="AH336" s="535"/>
      <c r="AI336" s="558"/>
      <c r="AL336" s="535"/>
      <c r="AP336" s="535"/>
    </row>
    <row r="337">
      <c r="A337" s="552"/>
      <c r="B337" s="552"/>
      <c r="N337" s="535"/>
      <c r="O337" s="558"/>
      <c r="R337" s="535"/>
      <c r="S337" s="558"/>
      <c r="V337" s="535"/>
      <c r="W337" s="558"/>
      <c r="Z337" s="535"/>
      <c r="AA337" s="558"/>
      <c r="AD337" s="535"/>
      <c r="AE337" s="558"/>
      <c r="AH337" s="535"/>
      <c r="AI337" s="558"/>
      <c r="AL337" s="535"/>
      <c r="AP337" s="535"/>
    </row>
    <row r="338">
      <c r="A338" s="552"/>
      <c r="B338" s="552"/>
      <c r="N338" s="535"/>
      <c r="O338" s="558"/>
      <c r="R338" s="535"/>
      <c r="S338" s="558"/>
      <c r="V338" s="535"/>
      <c r="W338" s="558"/>
      <c r="Z338" s="535"/>
      <c r="AA338" s="558"/>
      <c r="AD338" s="535"/>
      <c r="AE338" s="558"/>
      <c r="AH338" s="535"/>
      <c r="AI338" s="558"/>
      <c r="AL338" s="535"/>
      <c r="AP338" s="535"/>
    </row>
    <row r="339">
      <c r="A339" s="552"/>
      <c r="B339" s="552"/>
      <c r="N339" s="535"/>
      <c r="O339" s="558"/>
      <c r="R339" s="535"/>
      <c r="S339" s="558"/>
      <c r="V339" s="535"/>
      <c r="W339" s="558"/>
      <c r="Z339" s="535"/>
      <c r="AA339" s="558"/>
      <c r="AD339" s="535"/>
      <c r="AE339" s="558"/>
      <c r="AH339" s="535"/>
      <c r="AI339" s="558"/>
      <c r="AL339" s="535"/>
      <c r="AP339" s="535"/>
    </row>
    <row r="340">
      <c r="A340" s="552"/>
      <c r="B340" s="552"/>
      <c r="N340" s="535"/>
      <c r="O340" s="558"/>
      <c r="R340" s="535"/>
      <c r="S340" s="558"/>
      <c r="V340" s="535"/>
      <c r="W340" s="558"/>
      <c r="Z340" s="535"/>
      <c r="AA340" s="558"/>
      <c r="AD340" s="535"/>
      <c r="AE340" s="558"/>
      <c r="AH340" s="535"/>
      <c r="AI340" s="558"/>
      <c r="AL340" s="535"/>
      <c r="AP340" s="535"/>
    </row>
    <row r="341">
      <c r="A341" s="552"/>
      <c r="B341" s="552"/>
      <c r="N341" s="535"/>
      <c r="O341" s="558"/>
      <c r="R341" s="535"/>
      <c r="S341" s="558"/>
      <c r="V341" s="535"/>
      <c r="W341" s="558"/>
      <c r="Z341" s="535"/>
      <c r="AA341" s="558"/>
      <c r="AD341" s="535"/>
      <c r="AE341" s="558"/>
      <c r="AH341" s="535"/>
      <c r="AI341" s="558"/>
      <c r="AL341" s="535"/>
      <c r="AP341" s="535"/>
    </row>
    <row r="342">
      <c r="A342" s="552"/>
      <c r="B342" s="552"/>
      <c r="N342" s="535"/>
      <c r="O342" s="558"/>
      <c r="R342" s="535"/>
      <c r="S342" s="558"/>
      <c r="V342" s="535"/>
      <c r="W342" s="558"/>
      <c r="Z342" s="535"/>
      <c r="AA342" s="558"/>
      <c r="AD342" s="535"/>
      <c r="AE342" s="558"/>
      <c r="AH342" s="535"/>
      <c r="AI342" s="558"/>
      <c r="AL342" s="535"/>
      <c r="AP342" s="535"/>
    </row>
    <row r="343">
      <c r="A343" s="552"/>
      <c r="B343" s="552"/>
      <c r="N343" s="535"/>
      <c r="O343" s="558"/>
      <c r="R343" s="535"/>
      <c r="S343" s="558"/>
      <c r="V343" s="535"/>
      <c r="W343" s="558"/>
      <c r="Z343" s="535"/>
      <c r="AA343" s="558"/>
      <c r="AD343" s="535"/>
      <c r="AE343" s="558"/>
      <c r="AH343" s="535"/>
      <c r="AI343" s="558"/>
      <c r="AL343" s="535"/>
      <c r="AP343" s="535"/>
    </row>
    <row r="344">
      <c r="A344" s="552"/>
      <c r="B344" s="552"/>
      <c r="N344" s="535"/>
      <c r="O344" s="558"/>
      <c r="R344" s="535"/>
      <c r="S344" s="558"/>
      <c r="V344" s="535"/>
      <c r="W344" s="558"/>
      <c r="Z344" s="535"/>
      <c r="AA344" s="558"/>
      <c r="AD344" s="535"/>
      <c r="AE344" s="558"/>
      <c r="AH344" s="535"/>
      <c r="AI344" s="558"/>
      <c r="AL344" s="535"/>
      <c r="AP344" s="535"/>
    </row>
    <row r="345">
      <c r="A345" s="552"/>
      <c r="B345" s="552"/>
      <c r="N345" s="535"/>
      <c r="O345" s="558"/>
      <c r="R345" s="535"/>
      <c r="S345" s="558"/>
      <c r="V345" s="535"/>
      <c r="W345" s="558"/>
      <c r="Z345" s="535"/>
      <c r="AA345" s="558"/>
      <c r="AD345" s="535"/>
      <c r="AE345" s="558"/>
      <c r="AH345" s="535"/>
      <c r="AI345" s="558"/>
      <c r="AL345" s="535"/>
      <c r="AP345" s="535"/>
    </row>
    <row r="346">
      <c r="A346" s="552"/>
      <c r="B346" s="552"/>
      <c r="N346" s="535"/>
      <c r="O346" s="558"/>
      <c r="R346" s="535"/>
      <c r="S346" s="558"/>
      <c r="V346" s="535"/>
      <c r="W346" s="558"/>
      <c r="Z346" s="535"/>
      <c r="AA346" s="558"/>
      <c r="AD346" s="535"/>
      <c r="AE346" s="558"/>
      <c r="AH346" s="535"/>
      <c r="AI346" s="558"/>
      <c r="AL346" s="535"/>
      <c r="AP346" s="535"/>
    </row>
    <row r="347">
      <c r="A347" s="552"/>
      <c r="B347" s="552"/>
      <c r="N347" s="535"/>
      <c r="O347" s="558"/>
      <c r="R347" s="535"/>
      <c r="S347" s="558"/>
      <c r="V347" s="535"/>
      <c r="W347" s="558"/>
      <c r="Z347" s="535"/>
      <c r="AA347" s="558"/>
      <c r="AD347" s="535"/>
      <c r="AE347" s="558"/>
      <c r="AH347" s="535"/>
      <c r="AI347" s="558"/>
      <c r="AL347" s="535"/>
      <c r="AP347" s="535"/>
    </row>
    <row r="348">
      <c r="A348" s="552"/>
      <c r="B348" s="552"/>
      <c r="N348" s="535"/>
      <c r="O348" s="558"/>
      <c r="R348" s="535"/>
      <c r="S348" s="558"/>
      <c r="V348" s="535"/>
      <c r="W348" s="558"/>
      <c r="Z348" s="535"/>
      <c r="AA348" s="558"/>
      <c r="AD348" s="535"/>
      <c r="AE348" s="558"/>
      <c r="AH348" s="535"/>
      <c r="AI348" s="558"/>
      <c r="AL348" s="535"/>
      <c r="AP348" s="535"/>
    </row>
    <row r="349">
      <c r="A349" s="552"/>
      <c r="B349" s="552"/>
      <c r="N349" s="535"/>
      <c r="O349" s="558"/>
      <c r="R349" s="535"/>
      <c r="S349" s="558"/>
      <c r="V349" s="535"/>
      <c r="W349" s="558"/>
      <c r="Z349" s="535"/>
      <c r="AA349" s="558"/>
      <c r="AD349" s="535"/>
      <c r="AE349" s="558"/>
      <c r="AH349" s="535"/>
      <c r="AI349" s="558"/>
      <c r="AL349" s="535"/>
      <c r="AP349" s="535"/>
    </row>
    <row r="350">
      <c r="A350" s="552"/>
      <c r="B350" s="552"/>
      <c r="N350" s="535"/>
      <c r="O350" s="558"/>
      <c r="R350" s="535"/>
      <c r="S350" s="558"/>
      <c r="V350" s="535"/>
      <c r="W350" s="558"/>
      <c r="Z350" s="535"/>
      <c r="AA350" s="558"/>
      <c r="AD350" s="535"/>
      <c r="AE350" s="558"/>
      <c r="AH350" s="535"/>
      <c r="AI350" s="558"/>
      <c r="AL350" s="535"/>
      <c r="AP350" s="535"/>
    </row>
    <row r="351">
      <c r="A351" s="552"/>
      <c r="B351" s="552"/>
      <c r="N351" s="535"/>
      <c r="O351" s="558"/>
      <c r="R351" s="535"/>
      <c r="S351" s="558"/>
      <c r="V351" s="535"/>
      <c r="W351" s="558"/>
      <c r="Z351" s="535"/>
      <c r="AA351" s="558"/>
      <c r="AD351" s="535"/>
      <c r="AE351" s="558"/>
      <c r="AH351" s="535"/>
      <c r="AI351" s="558"/>
      <c r="AL351" s="535"/>
      <c r="AP351" s="535"/>
    </row>
    <row r="352">
      <c r="A352" s="552"/>
      <c r="B352" s="552"/>
      <c r="N352" s="535"/>
      <c r="O352" s="558"/>
      <c r="R352" s="535"/>
      <c r="S352" s="558"/>
      <c r="V352" s="535"/>
      <c r="W352" s="558"/>
      <c r="Z352" s="535"/>
      <c r="AA352" s="558"/>
      <c r="AD352" s="535"/>
      <c r="AE352" s="558"/>
      <c r="AH352" s="535"/>
      <c r="AI352" s="558"/>
      <c r="AL352" s="535"/>
      <c r="AP352" s="535"/>
    </row>
    <row r="353">
      <c r="A353" s="552"/>
      <c r="B353" s="552"/>
      <c r="N353" s="535"/>
      <c r="O353" s="558"/>
      <c r="R353" s="535"/>
      <c r="S353" s="558"/>
      <c r="V353" s="535"/>
      <c r="W353" s="558"/>
      <c r="Z353" s="535"/>
      <c r="AA353" s="558"/>
      <c r="AD353" s="535"/>
      <c r="AE353" s="558"/>
      <c r="AH353" s="535"/>
      <c r="AI353" s="558"/>
      <c r="AL353" s="535"/>
      <c r="AP353" s="535"/>
    </row>
    <row r="354">
      <c r="A354" s="552"/>
      <c r="B354" s="552"/>
      <c r="N354" s="535"/>
      <c r="O354" s="558"/>
      <c r="R354" s="535"/>
      <c r="S354" s="558"/>
      <c r="V354" s="535"/>
      <c r="W354" s="558"/>
      <c r="Z354" s="535"/>
      <c r="AA354" s="558"/>
      <c r="AD354" s="535"/>
      <c r="AE354" s="558"/>
      <c r="AH354" s="535"/>
      <c r="AI354" s="558"/>
      <c r="AL354" s="535"/>
      <c r="AP354" s="535"/>
    </row>
    <row r="355">
      <c r="A355" s="552"/>
      <c r="B355" s="552"/>
      <c r="N355" s="535"/>
      <c r="O355" s="558"/>
      <c r="R355" s="535"/>
      <c r="S355" s="558"/>
      <c r="V355" s="535"/>
      <c r="W355" s="558"/>
      <c r="Z355" s="535"/>
      <c r="AA355" s="558"/>
      <c r="AD355" s="535"/>
      <c r="AE355" s="558"/>
      <c r="AH355" s="535"/>
      <c r="AI355" s="558"/>
      <c r="AL355" s="535"/>
      <c r="AP355" s="535"/>
    </row>
    <row r="356">
      <c r="A356" s="552"/>
      <c r="B356" s="552"/>
      <c r="N356" s="535"/>
      <c r="O356" s="558"/>
      <c r="R356" s="535"/>
      <c r="S356" s="558"/>
      <c r="V356" s="535"/>
      <c r="W356" s="558"/>
      <c r="Z356" s="535"/>
      <c r="AA356" s="558"/>
      <c r="AD356" s="535"/>
      <c r="AE356" s="558"/>
      <c r="AH356" s="535"/>
      <c r="AI356" s="558"/>
      <c r="AL356" s="535"/>
      <c r="AP356" s="535"/>
    </row>
    <row r="357">
      <c r="A357" s="552"/>
      <c r="B357" s="552"/>
      <c r="N357" s="535"/>
      <c r="O357" s="558"/>
      <c r="R357" s="535"/>
      <c r="S357" s="558"/>
      <c r="V357" s="535"/>
      <c r="W357" s="558"/>
      <c r="Z357" s="535"/>
      <c r="AA357" s="558"/>
      <c r="AD357" s="535"/>
      <c r="AE357" s="558"/>
      <c r="AH357" s="535"/>
      <c r="AI357" s="558"/>
      <c r="AL357" s="535"/>
      <c r="AP357" s="535"/>
    </row>
    <row r="358">
      <c r="A358" s="552"/>
      <c r="B358" s="552"/>
      <c r="N358" s="535"/>
      <c r="O358" s="558"/>
      <c r="R358" s="535"/>
      <c r="S358" s="558"/>
      <c r="V358" s="535"/>
      <c r="W358" s="558"/>
      <c r="Z358" s="535"/>
      <c r="AA358" s="558"/>
      <c r="AD358" s="535"/>
      <c r="AE358" s="558"/>
      <c r="AH358" s="535"/>
      <c r="AI358" s="558"/>
      <c r="AL358" s="535"/>
      <c r="AP358" s="535"/>
    </row>
    <row r="359">
      <c r="A359" s="552"/>
      <c r="B359" s="552"/>
      <c r="N359" s="535"/>
      <c r="O359" s="558"/>
      <c r="R359" s="535"/>
      <c r="S359" s="558"/>
      <c r="V359" s="535"/>
      <c r="W359" s="558"/>
      <c r="Z359" s="535"/>
      <c r="AA359" s="558"/>
      <c r="AD359" s="535"/>
      <c r="AE359" s="558"/>
      <c r="AH359" s="535"/>
      <c r="AI359" s="558"/>
      <c r="AL359" s="535"/>
      <c r="AP359" s="535"/>
    </row>
    <row r="360">
      <c r="A360" s="552"/>
      <c r="B360" s="552"/>
      <c r="N360" s="535"/>
      <c r="O360" s="558"/>
      <c r="R360" s="535"/>
      <c r="S360" s="558"/>
      <c r="V360" s="535"/>
      <c r="W360" s="558"/>
      <c r="Z360" s="535"/>
      <c r="AA360" s="558"/>
      <c r="AD360" s="535"/>
      <c r="AE360" s="558"/>
      <c r="AH360" s="535"/>
      <c r="AI360" s="558"/>
      <c r="AL360" s="535"/>
      <c r="AP360" s="535"/>
    </row>
    <row r="361">
      <c r="A361" s="552"/>
      <c r="B361" s="552"/>
      <c r="N361" s="535"/>
      <c r="O361" s="558"/>
      <c r="R361" s="535"/>
      <c r="S361" s="558"/>
      <c r="V361" s="535"/>
      <c r="W361" s="558"/>
      <c r="Z361" s="535"/>
      <c r="AA361" s="558"/>
      <c r="AD361" s="535"/>
      <c r="AE361" s="558"/>
      <c r="AH361" s="535"/>
      <c r="AI361" s="558"/>
      <c r="AL361" s="535"/>
      <c r="AP361" s="535"/>
    </row>
    <row r="362">
      <c r="A362" s="552"/>
      <c r="B362" s="552"/>
      <c r="N362" s="535"/>
      <c r="O362" s="558"/>
      <c r="R362" s="535"/>
      <c r="S362" s="558"/>
      <c r="V362" s="535"/>
      <c r="W362" s="558"/>
      <c r="Z362" s="535"/>
      <c r="AA362" s="558"/>
      <c r="AD362" s="535"/>
      <c r="AE362" s="558"/>
      <c r="AH362" s="535"/>
      <c r="AI362" s="558"/>
      <c r="AL362" s="535"/>
      <c r="AP362" s="535"/>
    </row>
    <row r="363">
      <c r="A363" s="552"/>
      <c r="B363" s="552"/>
      <c r="N363" s="535"/>
      <c r="O363" s="558"/>
      <c r="R363" s="535"/>
      <c r="S363" s="558"/>
      <c r="V363" s="535"/>
      <c r="W363" s="558"/>
      <c r="Z363" s="535"/>
      <c r="AA363" s="558"/>
      <c r="AD363" s="535"/>
      <c r="AE363" s="558"/>
      <c r="AH363" s="535"/>
      <c r="AI363" s="558"/>
      <c r="AL363" s="535"/>
      <c r="AP363" s="535"/>
    </row>
    <row r="364">
      <c r="A364" s="552"/>
      <c r="B364" s="552"/>
      <c r="N364" s="535"/>
      <c r="O364" s="558"/>
      <c r="R364" s="535"/>
      <c r="S364" s="558"/>
      <c r="V364" s="535"/>
      <c r="W364" s="558"/>
      <c r="Z364" s="535"/>
      <c r="AA364" s="558"/>
      <c r="AD364" s="535"/>
      <c r="AE364" s="558"/>
      <c r="AH364" s="535"/>
      <c r="AI364" s="558"/>
      <c r="AL364" s="535"/>
      <c r="AP364" s="535"/>
    </row>
    <row r="365">
      <c r="A365" s="552"/>
      <c r="B365" s="552"/>
      <c r="N365" s="535"/>
      <c r="O365" s="558"/>
      <c r="R365" s="535"/>
      <c r="S365" s="558"/>
      <c r="V365" s="535"/>
      <c r="W365" s="558"/>
      <c r="Z365" s="535"/>
      <c r="AA365" s="558"/>
      <c r="AD365" s="535"/>
      <c r="AE365" s="558"/>
      <c r="AH365" s="535"/>
      <c r="AI365" s="558"/>
      <c r="AL365" s="535"/>
      <c r="AP365" s="535"/>
    </row>
    <row r="366">
      <c r="A366" s="552"/>
      <c r="B366" s="552"/>
      <c r="N366" s="535"/>
      <c r="O366" s="558"/>
      <c r="R366" s="535"/>
      <c r="S366" s="558"/>
      <c r="V366" s="535"/>
      <c r="W366" s="558"/>
      <c r="Z366" s="535"/>
      <c r="AA366" s="558"/>
      <c r="AD366" s="535"/>
      <c r="AE366" s="558"/>
      <c r="AH366" s="535"/>
      <c r="AI366" s="558"/>
      <c r="AL366" s="535"/>
      <c r="AP366" s="535"/>
    </row>
    <row r="367">
      <c r="A367" s="552"/>
      <c r="B367" s="552"/>
      <c r="N367" s="535"/>
      <c r="O367" s="558"/>
      <c r="R367" s="535"/>
      <c r="S367" s="558"/>
      <c r="V367" s="535"/>
      <c r="W367" s="558"/>
      <c r="Z367" s="535"/>
      <c r="AA367" s="558"/>
      <c r="AD367" s="535"/>
      <c r="AE367" s="558"/>
      <c r="AH367" s="535"/>
      <c r="AI367" s="558"/>
      <c r="AL367" s="535"/>
      <c r="AP367" s="535"/>
    </row>
    <row r="368">
      <c r="A368" s="552"/>
      <c r="B368" s="552"/>
      <c r="N368" s="535"/>
      <c r="O368" s="558"/>
      <c r="R368" s="535"/>
      <c r="S368" s="558"/>
      <c r="V368" s="535"/>
      <c r="W368" s="558"/>
      <c r="Z368" s="535"/>
      <c r="AA368" s="558"/>
      <c r="AD368" s="535"/>
      <c r="AE368" s="558"/>
      <c r="AH368" s="535"/>
      <c r="AI368" s="558"/>
      <c r="AL368" s="535"/>
      <c r="AP368" s="535"/>
    </row>
    <row r="369">
      <c r="A369" s="552"/>
      <c r="B369" s="552"/>
      <c r="N369" s="535"/>
      <c r="O369" s="558"/>
      <c r="R369" s="535"/>
      <c r="S369" s="558"/>
      <c r="V369" s="535"/>
      <c r="W369" s="558"/>
      <c r="Z369" s="535"/>
      <c r="AA369" s="558"/>
      <c r="AD369" s="535"/>
      <c r="AE369" s="558"/>
      <c r="AH369" s="535"/>
      <c r="AI369" s="558"/>
      <c r="AL369" s="535"/>
      <c r="AP369" s="535"/>
    </row>
    <row r="370">
      <c r="A370" s="552"/>
      <c r="B370" s="552"/>
      <c r="N370" s="535"/>
      <c r="O370" s="558"/>
      <c r="R370" s="535"/>
      <c r="S370" s="558"/>
      <c r="V370" s="535"/>
      <c r="W370" s="558"/>
      <c r="Z370" s="535"/>
      <c r="AA370" s="558"/>
      <c r="AD370" s="535"/>
      <c r="AE370" s="558"/>
      <c r="AH370" s="535"/>
      <c r="AI370" s="558"/>
      <c r="AL370" s="535"/>
      <c r="AP370" s="535"/>
    </row>
    <row r="371">
      <c r="A371" s="552"/>
      <c r="B371" s="552"/>
      <c r="N371" s="535"/>
      <c r="O371" s="558"/>
      <c r="R371" s="535"/>
      <c r="S371" s="558"/>
      <c r="V371" s="535"/>
      <c r="W371" s="558"/>
      <c r="Z371" s="535"/>
      <c r="AA371" s="558"/>
      <c r="AD371" s="535"/>
      <c r="AE371" s="558"/>
      <c r="AH371" s="535"/>
      <c r="AI371" s="558"/>
      <c r="AL371" s="535"/>
      <c r="AP371" s="535"/>
    </row>
    <row r="372">
      <c r="A372" s="552"/>
      <c r="B372" s="552"/>
      <c r="N372" s="535"/>
      <c r="O372" s="558"/>
      <c r="R372" s="535"/>
      <c r="S372" s="558"/>
      <c r="V372" s="535"/>
      <c r="W372" s="558"/>
      <c r="Z372" s="535"/>
      <c r="AA372" s="558"/>
      <c r="AD372" s="535"/>
      <c r="AE372" s="558"/>
      <c r="AH372" s="535"/>
      <c r="AI372" s="558"/>
      <c r="AL372" s="535"/>
      <c r="AP372" s="535"/>
    </row>
    <row r="373">
      <c r="A373" s="552"/>
      <c r="B373" s="552"/>
      <c r="N373" s="535"/>
      <c r="O373" s="558"/>
      <c r="R373" s="535"/>
      <c r="S373" s="558"/>
      <c r="V373" s="535"/>
      <c r="W373" s="558"/>
      <c r="Z373" s="535"/>
      <c r="AA373" s="558"/>
      <c r="AD373" s="535"/>
      <c r="AE373" s="558"/>
      <c r="AH373" s="535"/>
      <c r="AI373" s="558"/>
      <c r="AL373" s="535"/>
      <c r="AP373" s="535"/>
    </row>
    <row r="374">
      <c r="A374" s="552"/>
      <c r="B374" s="552"/>
      <c r="N374" s="535"/>
      <c r="O374" s="558"/>
      <c r="R374" s="535"/>
      <c r="S374" s="558"/>
      <c r="V374" s="535"/>
      <c r="W374" s="558"/>
      <c r="Z374" s="535"/>
      <c r="AA374" s="558"/>
      <c r="AD374" s="535"/>
      <c r="AE374" s="558"/>
      <c r="AH374" s="535"/>
      <c r="AI374" s="558"/>
      <c r="AL374" s="535"/>
      <c r="AP374" s="535"/>
    </row>
    <row r="375">
      <c r="A375" s="552"/>
      <c r="B375" s="552"/>
      <c r="N375" s="535"/>
      <c r="O375" s="558"/>
      <c r="R375" s="535"/>
      <c r="S375" s="558"/>
      <c r="V375" s="535"/>
      <c r="W375" s="558"/>
      <c r="Z375" s="535"/>
      <c r="AA375" s="558"/>
      <c r="AD375" s="535"/>
      <c r="AE375" s="558"/>
      <c r="AH375" s="535"/>
      <c r="AI375" s="558"/>
      <c r="AL375" s="535"/>
      <c r="AP375" s="535"/>
    </row>
    <row r="376">
      <c r="A376" s="552"/>
      <c r="B376" s="552"/>
      <c r="N376" s="535"/>
      <c r="O376" s="558"/>
      <c r="R376" s="535"/>
      <c r="S376" s="558"/>
      <c r="V376" s="535"/>
      <c r="W376" s="558"/>
      <c r="Z376" s="535"/>
      <c r="AA376" s="558"/>
      <c r="AD376" s="535"/>
      <c r="AE376" s="558"/>
      <c r="AH376" s="535"/>
      <c r="AI376" s="558"/>
      <c r="AL376" s="535"/>
      <c r="AP376" s="535"/>
    </row>
    <row r="377">
      <c r="A377" s="552"/>
      <c r="B377" s="552"/>
      <c r="N377" s="535"/>
      <c r="O377" s="558"/>
      <c r="R377" s="535"/>
      <c r="S377" s="558"/>
      <c r="V377" s="535"/>
      <c r="W377" s="558"/>
      <c r="Z377" s="535"/>
      <c r="AA377" s="558"/>
      <c r="AD377" s="535"/>
      <c r="AE377" s="558"/>
      <c r="AH377" s="535"/>
      <c r="AI377" s="558"/>
      <c r="AL377" s="535"/>
      <c r="AP377" s="535"/>
    </row>
    <row r="378">
      <c r="A378" s="552"/>
      <c r="B378" s="552"/>
      <c r="N378" s="535"/>
      <c r="O378" s="558"/>
      <c r="R378" s="535"/>
      <c r="S378" s="558"/>
      <c r="V378" s="535"/>
      <c r="W378" s="558"/>
      <c r="Z378" s="535"/>
      <c r="AA378" s="558"/>
      <c r="AD378" s="535"/>
      <c r="AE378" s="558"/>
      <c r="AH378" s="535"/>
      <c r="AI378" s="558"/>
      <c r="AL378" s="535"/>
      <c r="AP378" s="535"/>
    </row>
    <row r="379">
      <c r="A379" s="552"/>
      <c r="B379" s="552"/>
      <c r="N379" s="535"/>
      <c r="O379" s="558"/>
      <c r="R379" s="535"/>
      <c r="S379" s="558"/>
      <c r="V379" s="535"/>
      <c r="W379" s="558"/>
      <c r="Z379" s="535"/>
      <c r="AA379" s="558"/>
      <c r="AD379" s="535"/>
      <c r="AE379" s="558"/>
      <c r="AH379" s="535"/>
      <c r="AI379" s="558"/>
      <c r="AL379" s="535"/>
      <c r="AP379" s="535"/>
    </row>
    <row r="380">
      <c r="A380" s="552"/>
      <c r="B380" s="552"/>
      <c r="N380" s="535"/>
      <c r="O380" s="558"/>
      <c r="R380" s="535"/>
      <c r="S380" s="558"/>
      <c r="V380" s="535"/>
      <c r="W380" s="558"/>
      <c r="Z380" s="535"/>
      <c r="AA380" s="558"/>
      <c r="AD380" s="535"/>
      <c r="AE380" s="558"/>
      <c r="AH380" s="535"/>
      <c r="AI380" s="558"/>
      <c r="AL380" s="535"/>
      <c r="AP380" s="535"/>
    </row>
    <row r="381">
      <c r="A381" s="552"/>
      <c r="B381" s="552"/>
      <c r="N381" s="535"/>
      <c r="O381" s="558"/>
      <c r="R381" s="535"/>
      <c r="S381" s="558"/>
      <c r="V381" s="535"/>
      <c r="W381" s="558"/>
      <c r="Z381" s="535"/>
      <c r="AA381" s="558"/>
      <c r="AD381" s="535"/>
      <c r="AE381" s="558"/>
      <c r="AH381" s="535"/>
      <c r="AI381" s="558"/>
      <c r="AL381" s="535"/>
      <c r="AP381" s="535"/>
    </row>
    <row r="382">
      <c r="A382" s="552"/>
      <c r="B382" s="552"/>
      <c r="N382" s="535"/>
      <c r="O382" s="558"/>
      <c r="R382" s="535"/>
      <c r="S382" s="558"/>
      <c r="V382" s="535"/>
      <c r="W382" s="558"/>
      <c r="Z382" s="535"/>
      <c r="AA382" s="558"/>
      <c r="AD382" s="535"/>
      <c r="AE382" s="558"/>
      <c r="AH382" s="535"/>
      <c r="AI382" s="558"/>
      <c r="AL382" s="535"/>
      <c r="AP382" s="535"/>
    </row>
    <row r="383">
      <c r="A383" s="552"/>
      <c r="B383" s="552"/>
      <c r="N383" s="535"/>
      <c r="O383" s="558"/>
      <c r="R383" s="535"/>
      <c r="S383" s="558"/>
      <c r="V383" s="535"/>
      <c r="W383" s="558"/>
      <c r="Z383" s="535"/>
      <c r="AA383" s="558"/>
      <c r="AD383" s="535"/>
      <c r="AE383" s="558"/>
      <c r="AH383" s="535"/>
      <c r="AI383" s="558"/>
      <c r="AL383" s="535"/>
      <c r="AP383" s="535"/>
    </row>
    <row r="384">
      <c r="A384" s="552"/>
      <c r="B384" s="552"/>
      <c r="N384" s="535"/>
      <c r="O384" s="558"/>
      <c r="R384" s="535"/>
      <c r="S384" s="558"/>
      <c r="V384" s="535"/>
      <c r="W384" s="558"/>
      <c r="Z384" s="535"/>
      <c r="AA384" s="558"/>
      <c r="AD384" s="535"/>
      <c r="AE384" s="558"/>
      <c r="AH384" s="535"/>
      <c r="AI384" s="558"/>
      <c r="AL384" s="535"/>
      <c r="AP384" s="535"/>
    </row>
    <row r="385">
      <c r="A385" s="552"/>
      <c r="B385" s="552"/>
      <c r="N385" s="535"/>
      <c r="O385" s="558"/>
      <c r="R385" s="535"/>
      <c r="S385" s="558"/>
      <c r="V385" s="535"/>
      <c r="W385" s="558"/>
      <c r="Z385" s="535"/>
      <c r="AA385" s="558"/>
      <c r="AD385" s="535"/>
      <c r="AE385" s="558"/>
      <c r="AH385" s="535"/>
      <c r="AI385" s="558"/>
      <c r="AL385" s="535"/>
      <c r="AP385" s="535"/>
    </row>
    <row r="386">
      <c r="A386" s="552"/>
      <c r="B386" s="552"/>
      <c r="N386" s="535"/>
      <c r="O386" s="558"/>
      <c r="R386" s="535"/>
      <c r="S386" s="558"/>
      <c r="V386" s="535"/>
      <c r="W386" s="558"/>
      <c r="Z386" s="535"/>
      <c r="AA386" s="558"/>
      <c r="AD386" s="535"/>
      <c r="AE386" s="558"/>
      <c r="AH386" s="535"/>
      <c r="AI386" s="558"/>
      <c r="AL386" s="535"/>
      <c r="AP386" s="535"/>
    </row>
    <row r="387">
      <c r="A387" s="552"/>
      <c r="B387" s="552"/>
      <c r="N387" s="535"/>
      <c r="O387" s="558"/>
      <c r="R387" s="535"/>
      <c r="S387" s="558"/>
      <c r="V387" s="535"/>
      <c r="W387" s="558"/>
      <c r="Z387" s="535"/>
      <c r="AA387" s="558"/>
      <c r="AD387" s="535"/>
      <c r="AE387" s="558"/>
      <c r="AH387" s="535"/>
      <c r="AI387" s="558"/>
      <c r="AL387" s="535"/>
      <c r="AP387" s="535"/>
    </row>
    <row r="388">
      <c r="A388" s="552"/>
      <c r="B388" s="552"/>
      <c r="N388" s="535"/>
      <c r="O388" s="558"/>
      <c r="R388" s="535"/>
      <c r="S388" s="558"/>
      <c r="V388" s="535"/>
      <c r="W388" s="558"/>
      <c r="Z388" s="535"/>
      <c r="AA388" s="558"/>
      <c r="AD388" s="535"/>
      <c r="AE388" s="558"/>
      <c r="AH388" s="535"/>
      <c r="AI388" s="558"/>
      <c r="AL388" s="535"/>
      <c r="AP388" s="535"/>
    </row>
    <row r="389">
      <c r="A389" s="552"/>
      <c r="B389" s="552"/>
      <c r="N389" s="535"/>
      <c r="O389" s="558"/>
      <c r="R389" s="535"/>
      <c r="S389" s="558"/>
      <c r="V389" s="535"/>
      <c r="W389" s="558"/>
      <c r="Z389" s="535"/>
      <c r="AA389" s="558"/>
      <c r="AD389" s="535"/>
      <c r="AE389" s="558"/>
      <c r="AH389" s="535"/>
      <c r="AI389" s="558"/>
      <c r="AL389" s="535"/>
      <c r="AP389" s="535"/>
    </row>
    <row r="390">
      <c r="A390" s="552"/>
      <c r="B390" s="552"/>
      <c r="N390" s="535"/>
      <c r="O390" s="558"/>
      <c r="R390" s="535"/>
      <c r="S390" s="558"/>
      <c r="V390" s="535"/>
      <c r="W390" s="558"/>
      <c r="Z390" s="535"/>
      <c r="AA390" s="558"/>
      <c r="AD390" s="535"/>
      <c r="AE390" s="558"/>
      <c r="AH390" s="535"/>
      <c r="AI390" s="558"/>
      <c r="AL390" s="535"/>
      <c r="AP390" s="535"/>
    </row>
    <row r="391">
      <c r="A391" s="552"/>
      <c r="B391" s="552"/>
      <c r="N391" s="535"/>
      <c r="O391" s="558"/>
      <c r="R391" s="535"/>
      <c r="S391" s="558"/>
      <c r="V391" s="535"/>
      <c r="W391" s="558"/>
      <c r="Z391" s="535"/>
      <c r="AA391" s="558"/>
      <c r="AD391" s="535"/>
      <c r="AE391" s="558"/>
      <c r="AH391" s="535"/>
      <c r="AI391" s="558"/>
      <c r="AL391" s="535"/>
      <c r="AP391" s="535"/>
    </row>
    <row r="392">
      <c r="A392" s="552"/>
      <c r="B392" s="552"/>
      <c r="N392" s="535"/>
      <c r="O392" s="558"/>
      <c r="R392" s="535"/>
      <c r="S392" s="558"/>
      <c r="V392" s="535"/>
      <c r="W392" s="558"/>
      <c r="Z392" s="535"/>
      <c r="AA392" s="558"/>
      <c r="AD392" s="535"/>
      <c r="AE392" s="558"/>
      <c r="AH392" s="535"/>
      <c r="AI392" s="558"/>
      <c r="AL392" s="535"/>
      <c r="AP392" s="535"/>
    </row>
    <row r="393">
      <c r="A393" s="552"/>
      <c r="B393" s="552"/>
      <c r="N393" s="535"/>
      <c r="O393" s="558"/>
      <c r="R393" s="535"/>
      <c r="S393" s="558"/>
      <c r="V393" s="535"/>
      <c r="W393" s="558"/>
      <c r="Z393" s="535"/>
      <c r="AA393" s="558"/>
      <c r="AD393" s="535"/>
      <c r="AE393" s="558"/>
      <c r="AH393" s="535"/>
      <c r="AI393" s="558"/>
      <c r="AL393" s="535"/>
      <c r="AP393" s="535"/>
    </row>
    <row r="394">
      <c r="A394" s="552"/>
      <c r="B394" s="552"/>
      <c r="N394" s="535"/>
      <c r="O394" s="558"/>
      <c r="R394" s="535"/>
      <c r="S394" s="558"/>
      <c r="V394" s="535"/>
      <c r="W394" s="558"/>
      <c r="Z394" s="535"/>
      <c r="AA394" s="558"/>
      <c r="AD394" s="535"/>
      <c r="AE394" s="558"/>
      <c r="AH394" s="535"/>
      <c r="AI394" s="558"/>
      <c r="AL394" s="535"/>
      <c r="AP394" s="535"/>
    </row>
    <row r="395">
      <c r="A395" s="552"/>
      <c r="B395" s="552"/>
      <c r="N395" s="535"/>
      <c r="O395" s="558"/>
      <c r="R395" s="535"/>
      <c r="S395" s="558"/>
      <c r="V395" s="535"/>
      <c r="W395" s="558"/>
      <c r="Z395" s="535"/>
      <c r="AA395" s="558"/>
      <c r="AD395" s="535"/>
      <c r="AE395" s="558"/>
      <c r="AH395" s="535"/>
      <c r="AI395" s="558"/>
      <c r="AL395" s="535"/>
      <c r="AP395" s="535"/>
    </row>
    <row r="396">
      <c r="A396" s="552"/>
      <c r="B396" s="552"/>
      <c r="N396" s="535"/>
      <c r="O396" s="558"/>
      <c r="R396" s="535"/>
      <c r="S396" s="558"/>
      <c r="V396" s="535"/>
      <c r="W396" s="558"/>
      <c r="Z396" s="535"/>
      <c r="AA396" s="558"/>
      <c r="AD396" s="535"/>
      <c r="AE396" s="558"/>
      <c r="AH396" s="535"/>
      <c r="AI396" s="558"/>
      <c r="AL396" s="535"/>
      <c r="AP396" s="535"/>
    </row>
    <row r="397">
      <c r="A397" s="552"/>
      <c r="B397" s="552"/>
      <c r="N397" s="535"/>
      <c r="O397" s="558"/>
      <c r="R397" s="535"/>
      <c r="S397" s="558"/>
      <c r="V397" s="535"/>
      <c r="W397" s="558"/>
      <c r="Z397" s="535"/>
      <c r="AA397" s="558"/>
      <c r="AD397" s="535"/>
      <c r="AE397" s="558"/>
      <c r="AH397" s="535"/>
      <c r="AI397" s="558"/>
      <c r="AL397" s="535"/>
      <c r="AP397" s="535"/>
    </row>
    <row r="398">
      <c r="A398" s="552"/>
      <c r="B398" s="552"/>
      <c r="N398" s="535"/>
      <c r="O398" s="558"/>
      <c r="R398" s="535"/>
      <c r="S398" s="558"/>
      <c r="V398" s="535"/>
      <c r="W398" s="558"/>
      <c r="Z398" s="535"/>
      <c r="AA398" s="558"/>
      <c r="AD398" s="535"/>
      <c r="AE398" s="558"/>
      <c r="AH398" s="535"/>
      <c r="AI398" s="558"/>
      <c r="AL398" s="535"/>
      <c r="AP398" s="535"/>
    </row>
    <row r="399">
      <c r="A399" s="552"/>
      <c r="B399" s="552"/>
      <c r="N399" s="535"/>
      <c r="O399" s="558"/>
      <c r="R399" s="535"/>
      <c r="S399" s="558"/>
      <c r="V399" s="535"/>
      <c r="W399" s="558"/>
      <c r="Z399" s="535"/>
      <c r="AA399" s="558"/>
      <c r="AD399" s="535"/>
      <c r="AE399" s="558"/>
      <c r="AH399" s="535"/>
      <c r="AI399" s="558"/>
      <c r="AL399" s="535"/>
      <c r="AP399" s="535"/>
    </row>
    <row r="400">
      <c r="A400" s="552"/>
      <c r="B400" s="552"/>
      <c r="N400" s="535"/>
      <c r="O400" s="558"/>
      <c r="R400" s="535"/>
      <c r="S400" s="558"/>
      <c r="V400" s="535"/>
      <c r="W400" s="558"/>
      <c r="Z400" s="535"/>
      <c r="AA400" s="558"/>
      <c r="AD400" s="535"/>
      <c r="AE400" s="558"/>
      <c r="AH400" s="535"/>
      <c r="AI400" s="558"/>
      <c r="AL400" s="535"/>
      <c r="AP400" s="535"/>
    </row>
    <row r="401">
      <c r="A401" s="552"/>
      <c r="B401" s="552"/>
      <c r="N401" s="535"/>
      <c r="O401" s="558"/>
      <c r="R401" s="535"/>
      <c r="S401" s="558"/>
      <c r="V401" s="535"/>
      <c r="W401" s="558"/>
      <c r="Z401" s="535"/>
      <c r="AA401" s="558"/>
      <c r="AD401" s="535"/>
      <c r="AE401" s="558"/>
      <c r="AH401" s="535"/>
      <c r="AI401" s="558"/>
      <c r="AL401" s="535"/>
      <c r="AP401" s="535"/>
    </row>
    <row r="402">
      <c r="A402" s="552"/>
      <c r="B402" s="552"/>
      <c r="N402" s="535"/>
      <c r="O402" s="558"/>
      <c r="R402" s="535"/>
      <c r="S402" s="558"/>
      <c r="V402" s="535"/>
      <c r="W402" s="558"/>
      <c r="Z402" s="535"/>
      <c r="AA402" s="558"/>
      <c r="AD402" s="535"/>
      <c r="AE402" s="558"/>
      <c r="AH402" s="535"/>
      <c r="AI402" s="558"/>
      <c r="AL402" s="535"/>
      <c r="AP402" s="535"/>
    </row>
    <row r="403">
      <c r="A403" s="552"/>
      <c r="B403" s="552"/>
      <c r="N403" s="535"/>
      <c r="O403" s="558"/>
      <c r="R403" s="535"/>
      <c r="S403" s="558"/>
      <c r="V403" s="535"/>
      <c r="W403" s="558"/>
      <c r="Z403" s="535"/>
      <c r="AA403" s="558"/>
      <c r="AD403" s="535"/>
      <c r="AE403" s="558"/>
      <c r="AH403" s="535"/>
      <c r="AI403" s="558"/>
      <c r="AL403" s="535"/>
      <c r="AP403" s="535"/>
    </row>
    <row r="404">
      <c r="A404" s="552"/>
      <c r="B404" s="552"/>
      <c r="N404" s="535"/>
      <c r="O404" s="558"/>
      <c r="R404" s="535"/>
      <c r="S404" s="558"/>
      <c r="V404" s="535"/>
      <c r="W404" s="558"/>
      <c r="Z404" s="535"/>
      <c r="AA404" s="558"/>
      <c r="AD404" s="535"/>
      <c r="AE404" s="558"/>
      <c r="AH404" s="535"/>
      <c r="AI404" s="558"/>
      <c r="AL404" s="535"/>
      <c r="AP404" s="535"/>
    </row>
    <row r="405">
      <c r="A405" s="552"/>
      <c r="B405" s="552"/>
      <c r="N405" s="535"/>
      <c r="O405" s="558"/>
      <c r="R405" s="535"/>
      <c r="S405" s="558"/>
      <c r="V405" s="535"/>
      <c r="W405" s="558"/>
      <c r="Z405" s="535"/>
      <c r="AA405" s="558"/>
      <c r="AD405" s="535"/>
      <c r="AE405" s="558"/>
      <c r="AH405" s="535"/>
      <c r="AI405" s="558"/>
      <c r="AL405" s="535"/>
      <c r="AP405" s="535"/>
    </row>
    <row r="406">
      <c r="A406" s="552"/>
      <c r="B406" s="552"/>
      <c r="N406" s="535"/>
      <c r="O406" s="558"/>
      <c r="R406" s="535"/>
      <c r="S406" s="558"/>
      <c r="V406" s="535"/>
      <c r="W406" s="558"/>
      <c r="Z406" s="535"/>
      <c r="AA406" s="558"/>
      <c r="AD406" s="535"/>
      <c r="AE406" s="558"/>
      <c r="AH406" s="535"/>
      <c r="AI406" s="558"/>
      <c r="AL406" s="535"/>
      <c r="AP406" s="535"/>
    </row>
    <row r="407">
      <c r="A407" s="552"/>
      <c r="B407" s="552"/>
      <c r="N407" s="535"/>
      <c r="O407" s="558"/>
      <c r="R407" s="535"/>
      <c r="S407" s="558"/>
      <c r="V407" s="535"/>
      <c r="W407" s="558"/>
      <c r="Z407" s="535"/>
      <c r="AA407" s="558"/>
      <c r="AD407" s="535"/>
      <c r="AE407" s="558"/>
      <c r="AH407" s="535"/>
      <c r="AI407" s="558"/>
      <c r="AL407" s="535"/>
      <c r="AP407" s="535"/>
    </row>
    <row r="408">
      <c r="A408" s="552"/>
      <c r="B408" s="552"/>
      <c r="N408" s="535"/>
      <c r="O408" s="558"/>
      <c r="R408" s="535"/>
      <c r="S408" s="558"/>
      <c r="V408" s="535"/>
      <c r="W408" s="558"/>
      <c r="Z408" s="535"/>
      <c r="AA408" s="558"/>
      <c r="AD408" s="535"/>
      <c r="AE408" s="558"/>
      <c r="AH408" s="535"/>
      <c r="AI408" s="558"/>
      <c r="AL408" s="535"/>
      <c r="AP408" s="535"/>
    </row>
    <row r="409">
      <c r="A409" s="552"/>
      <c r="B409" s="552"/>
      <c r="N409" s="535"/>
      <c r="O409" s="558"/>
      <c r="R409" s="535"/>
      <c r="S409" s="558"/>
      <c r="V409" s="535"/>
      <c r="W409" s="558"/>
      <c r="Z409" s="535"/>
      <c r="AA409" s="558"/>
      <c r="AD409" s="535"/>
      <c r="AE409" s="558"/>
      <c r="AH409" s="535"/>
      <c r="AI409" s="558"/>
      <c r="AL409" s="535"/>
      <c r="AP409" s="535"/>
    </row>
    <row r="410">
      <c r="A410" s="552"/>
      <c r="B410" s="552"/>
      <c r="N410" s="535"/>
      <c r="O410" s="558"/>
      <c r="R410" s="535"/>
      <c r="S410" s="558"/>
      <c r="V410" s="535"/>
      <c r="W410" s="558"/>
      <c r="Z410" s="535"/>
      <c r="AA410" s="558"/>
      <c r="AD410" s="535"/>
      <c r="AE410" s="558"/>
      <c r="AH410" s="535"/>
      <c r="AI410" s="558"/>
      <c r="AL410" s="535"/>
      <c r="AP410" s="535"/>
    </row>
    <row r="411">
      <c r="A411" s="552"/>
      <c r="B411" s="552"/>
      <c r="N411" s="535"/>
      <c r="O411" s="558"/>
      <c r="R411" s="535"/>
      <c r="S411" s="558"/>
      <c r="V411" s="535"/>
      <c r="W411" s="558"/>
      <c r="Z411" s="535"/>
      <c r="AA411" s="558"/>
      <c r="AD411" s="535"/>
      <c r="AE411" s="558"/>
      <c r="AH411" s="535"/>
      <c r="AI411" s="558"/>
      <c r="AL411" s="535"/>
      <c r="AP411" s="535"/>
    </row>
    <row r="412">
      <c r="A412" s="552"/>
      <c r="B412" s="552"/>
      <c r="N412" s="535"/>
      <c r="O412" s="558"/>
      <c r="R412" s="535"/>
      <c r="S412" s="558"/>
      <c r="V412" s="535"/>
      <c r="W412" s="558"/>
      <c r="Z412" s="535"/>
      <c r="AA412" s="558"/>
      <c r="AD412" s="535"/>
      <c r="AE412" s="558"/>
      <c r="AH412" s="535"/>
      <c r="AI412" s="558"/>
      <c r="AL412" s="535"/>
      <c r="AP412" s="535"/>
    </row>
    <row r="413">
      <c r="A413" s="552"/>
      <c r="B413" s="552"/>
      <c r="N413" s="535"/>
      <c r="O413" s="558"/>
      <c r="R413" s="535"/>
      <c r="S413" s="558"/>
      <c r="V413" s="535"/>
      <c r="W413" s="558"/>
      <c r="Z413" s="535"/>
      <c r="AA413" s="558"/>
      <c r="AD413" s="535"/>
      <c r="AE413" s="558"/>
      <c r="AH413" s="535"/>
      <c r="AI413" s="558"/>
      <c r="AL413" s="535"/>
      <c r="AP413" s="535"/>
    </row>
    <row r="414">
      <c r="A414" s="552"/>
      <c r="B414" s="552"/>
      <c r="N414" s="535"/>
      <c r="O414" s="558"/>
      <c r="R414" s="535"/>
      <c r="S414" s="558"/>
      <c r="V414" s="535"/>
      <c r="W414" s="558"/>
      <c r="Z414" s="535"/>
      <c r="AA414" s="558"/>
      <c r="AD414" s="535"/>
      <c r="AE414" s="558"/>
      <c r="AH414" s="535"/>
      <c r="AI414" s="558"/>
      <c r="AL414" s="535"/>
      <c r="AP414" s="535"/>
    </row>
    <row r="415">
      <c r="A415" s="552"/>
      <c r="B415" s="552"/>
      <c r="N415" s="535"/>
      <c r="O415" s="558"/>
      <c r="R415" s="535"/>
      <c r="S415" s="558"/>
      <c r="V415" s="535"/>
      <c r="W415" s="558"/>
      <c r="Z415" s="535"/>
      <c r="AA415" s="558"/>
      <c r="AD415" s="535"/>
      <c r="AE415" s="558"/>
      <c r="AH415" s="535"/>
      <c r="AI415" s="558"/>
      <c r="AL415" s="535"/>
      <c r="AP415" s="535"/>
    </row>
    <row r="416">
      <c r="A416" s="552"/>
      <c r="B416" s="552"/>
      <c r="N416" s="535"/>
      <c r="O416" s="558"/>
      <c r="R416" s="535"/>
      <c r="S416" s="558"/>
      <c r="V416" s="535"/>
      <c r="W416" s="558"/>
      <c r="Z416" s="535"/>
      <c r="AA416" s="558"/>
      <c r="AD416" s="535"/>
      <c r="AE416" s="558"/>
      <c r="AH416" s="535"/>
      <c r="AI416" s="558"/>
      <c r="AL416" s="535"/>
      <c r="AP416" s="535"/>
    </row>
    <row r="417">
      <c r="A417" s="552"/>
      <c r="B417" s="552"/>
      <c r="N417" s="535"/>
      <c r="O417" s="558"/>
      <c r="R417" s="535"/>
      <c r="S417" s="558"/>
      <c r="V417" s="535"/>
      <c r="W417" s="558"/>
      <c r="Z417" s="535"/>
      <c r="AA417" s="558"/>
      <c r="AD417" s="535"/>
      <c r="AE417" s="558"/>
      <c r="AH417" s="535"/>
      <c r="AI417" s="558"/>
      <c r="AL417" s="535"/>
      <c r="AP417" s="535"/>
    </row>
    <row r="418">
      <c r="A418" s="552"/>
      <c r="B418" s="552"/>
      <c r="N418" s="535"/>
      <c r="O418" s="558"/>
      <c r="R418" s="535"/>
      <c r="S418" s="558"/>
      <c r="V418" s="535"/>
      <c r="W418" s="558"/>
      <c r="Z418" s="535"/>
      <c r="AA418" s="558"/>
      <c r="AD418" s="535"/>
      <c r="AE418" s="558"/>
      <c r="AH418" s="535"/>
      <c r="AI418" s="558"/>
      <c r="AL418" s="535"/>
      <c r="AP418" s="535"/>
    </row>
    <row r="419">
      <c r="A419" s="552"/>
      <c r="B419" s="552"/>
      <c r="N419" s="535"/>
      <c r="O419" s="558"/>
      <c r="R419" s="535"/>
      <c r="S419" s="558"/>
      <c r="V419" s="535"/>
      <c r="W419" s="558"/>
      <c r="Z419" s="535"/>
      <c r="AA419" s="558"/>
      <c r="AD419" s="535"/>
      <c r="AE419" s="558"/>
      <c r="AH419" s="535"/>
      <c r="AI419" s="558"/>
      <c r="AL419" s="535"/>
      <c r="AP419" s="535"/>
    </row>
    <row r="420">
      <c r="A420" s="552"/>
      <c r="B420" s="552"/>
      <c r="N420" s="535"/>
      <c r="O420" s="558"/>
      <c r="R420" s="535"/>
      <c r="S420" s="558"/>
      <c r="V420" s="535"/>
      <c r="W420" s="558"/>
      <c r="Z420" s="535"/>
      <c r="AA420" s="558"/>
      <c r="AD420" s="535"/>
      <c r="AE420" s="558"/>
      <c r="AH420" s="535"/>
      <c r="AI420" s="558"/>
      <c r="AL420" s="535"/>
      <c r="AP420" s="535"/>
    </row>
    <row r="421">
      <c r="A421" s="552"/>
      <c r="B421" s="552"/>
      <c r="N421" s="535"/>
      <c r="O421" s="558"/>
      <c r="R421" s="535"/>
      <c r="S421" s="558"/>
      <c r="V421" s="535"/>
      <c r="W421" s="558"/>
      <c r="Z421" s="535"/>
      <c r="AA421" s="558"/>
      <c r="AD421" s="535"/>
      <c r="AE421" s="558"/>
      <c r="AH421" s="535"/>
      <c r="AI421" s="558"/>
      <c r="AL421" s="535"/>
      <c r="AP421" s="535"/>
    </row>
    <row r="422">
      <c r="A422" s="552"/>
      <c r="B422" s="552"/>
      <c r="N422" s="535"/>
      <c r="O422" s="558"/>
      <c r="R422" s="535"/>
      <c r="S422" s="558"/>
      <c r="V422" s="535"/>
      <c r="W422" s="558"/>
      <c r="Z422" s="535"/>
      <c r="AA422" s="558"/>
      <c r="AD422" s="535"/>
      <c r="AE422" s="558"/>
      <c r="AH422" s="535"/>
      <c r="AI422" s="558"/>
      <c r="AL422" s="535"/>
      <c r="AP422" s="535"/>
    </row>
    <row r="423">
      <c r="A423" s="552"/>
      <c r="B423" s="552"/>
      <c r="N423" s="535"/>
      <c r="O423" s="558"/>
      <c r="R423" s="535"/>
      <c r="S423" s="558"/>
      <c r="V423" s="535"/>
      <c r="W423" s="558"/>
      <c r="Z423" s="535"/>
      <c r="AA423" s="558"/>
      <c r="AD423" s="535"/>
      <c r="AE423" s="558"/>
      <c r="AH423" s="535"/>
      <c r="AI423" s="558"/>
      <c r="AL423" s="535"/>
      <c r="AP423" s="535"/>
    </row>
    <row r="424">
      <c r="A424" s="552"/>
      <c r="B424" s="552"/>
      <c r="N424" s="535"/>
      <c r="O424" s="558"/>
      <c r="R424" s="535"/>
      <c r="S424" s="558"/>
      <c r="V424" s="535"/>
      <c r="W424" s="558"/>
      <c r="Z424" s="535"/>
      <c r="AA424" s="558"/>
      <c r="AD424" s="535"/>
      <c r="AE424" s="558"/>
      <c r="AH424" s="535"/>
      <c r="AI424" s="558"/>
      <c r="AL424" s="535"/>
      <c r="AP424" s="535"/>
    </row>
    <row r="425">
      <c r="A425" s="552"/>
      <c r="B425" s="552"/>
      <c r="N425" s="535"/>
      <c r="O425" s="558"/>
      <c r="R425" s="535"/>
      <c r="S425" s="558"/>
      <c r="V425" s="535"/>
      <c r="W425" s="558"/>
      <c r="Z425" s="535"/>
      <c r="AA425" s="558"/>
      <c r="AD425" s="535"/>
      <c r="AE425" s="558"/>
      <c r="AH425" s="535"/>
      <c r="AI425" s="558"/>
      <c r="AL425" s="535"/>
      <c r="AP425" s="535"/>
    </row>
    <row r="426">
      <c r="A426" s="552"/>
      <c r="B426" s="552"/>
      <c r="N426" s="535"/>
      <c r="O426" s="558"/>
      <c r="R426" s="535"/>
      <c r="S426" s="558"/>
      <c r="V426" s="535"/>
      <c r="W426" s="558"/>
      <c r="Z426" s="535"/>
      <c r="AA426" s="558"/>
      <c r="AD426" s="535"/>
      <c r="AE426" s="558"/>
      <c r="AH426" s="535"/>
      <c r="AI426" s="558"/>
      <c r="AL426" s="535"/>
      <c r="AP426" s="535"/>
    </row>
    <row r="427">
      <c r="A427" s="552"/>
      <c r="B427" s="552"/>
      <c r="N427" s="535"/>
      <c r="O427" s="558"/>
      <c r="R427" s="535"/>
      <c r="S427" s="558"/>
      <c r="V427" s="535"/>
      <c r="W427" s="558"/>
      <c r="Z427" s="535"/>
      <c r="AA427" s="558"/>
      <c r="AD427" s="535"/>
      <c r="AE427" s="558"/>
      <c r="AH427" s="535"/>
      <c r="AI427" s="558"/>
      <c r="AL427" s="535"/>
      <c r="AP427" s="535"/>
    </row>
    <row r="428">
      <c r="A428" s="552"/>
      <c r="B428" s="552"/>
      <c r="N428" s="535"/>
      <c r="O428" s="558"/>
      <c r="R428" s="535"/>
      <c r="S428" s="558"/>
      <c r="V428" s="535"/>
      <c r="W428" s="558"/>
      <c r="Z428" s="535"/>
      <c r="AA428" s="558"/>
      <c r="AD428" s="535"/>
      <c r="AE428" s="558"/>
      <c r="AH428" s="535"/>
      <c r="AI428" s="558"/>
      <c r="AL428" s="535"/>
      <c r="AP428" s="535"/>
    </row>
    <row r="429">
      <c r="A429" s="552"/>
      <c r="B429" s="552"/>
      <c r="N429" s="535"/>
      <c r="O429" s="558"/>
      <c r="R429" s="535"/>
      <c r="S429" s="558"/>
      <c r="V429" s="535"/>
      <c r="W429" s="558"/>
      <c r="Z429" s="535"/>
      <c r="AA429" s="558"/>
      <c r="AD429" s="535"/>
      <c r="AE429" s="558"/>
      <c r="AH429" s="535"/>
      <c r="AI429" s="558"/>
      <c r="AL429" s="535"/>
      <c r="AP429" s="535"/>
    </row>
    <row r="430">
      <c r="A430" s="552"/>
      <c r="B430" s="552"/>
      <c r="N430" s="535"/>
      <c r="O430" s="558"/>
      <c r="R430" s="535"/>
      <c r="S430" s="558"/>
      <c r="V430" s="535"/>
      <c r="W430" s="558"/>
      <c r="Z430" s="535"/>
      <c r="AA430" s="558"/>
      <c r="AD430" s="535"/>
      <c r="AE430" s="558"/>
      <c r="AH430" s="535"/>
      <c r="AI430" s="558"/>
      <c r="AL430" s="535"/>
      <c r="AP430" s="535"/>
    </row>
    <row r="431">
      <c r="A431" s="552"/>
      <c r="B431" s="552"/>
      <c r="N431" s="535"/>
      <c r="O431" s="558"/>
      <c r="R431" s="535"/>
      <c r="S431" s="558"/>
      <c r="V431" s="535"/>
      <c r="W431" s="558"/>
      <c r="Z431" s="535"/>
      <c r="AA431" s="558"/>
      <c r="AD431" s="535"/>
      <c r="AE431" s="558"/>
      <c r="AH431" s="535"/>
      <c r="AI431" s="558"/>
      <c r="AL431" s="535"/>
      <c r="AP431" s="535"/>
    </row>
    <row r="432">
      <c r="A432" s="552"/>
      <c r="B432" s="552"/>
      <c r="N432" s="535"/>
      <c r="O432" s="558"/>
      <c r="R432" s="535"/>
      <c r="S432" s="558"/>
      <c r="V432" s="535"/>
      <c r="W432" s="558"/>
      <c r="Z432" s="535"/>
      <c r="AA432" s="558"/>
      <c r="AD432" s="535"/>
      <c r="AE432" s="558"/>
      <c r="AH432" s="535"/>
      <c r="AI432" s="558"/>
      <c r="AL432" s="535"/>
      <c r="AP432" s="535"/>
    </row>
    <row r="433">
      <c r="A433" s="552"/>
      <c r="B433" s="552"/>
      <c r="N433" s="535"/>
      <c r="O433" s="558"/>
      <c r="R433" s="535"/>
      <c r="S433" s="558"/>
      <c r="V433" s="535"/>
      <c r="W433" s="558"/>
      <c r="Z433" s="535"/>
      <c r="AA433" s="558"/>
      <c r="AD433" s="535"/>
      <c r="AE433" s="558"/>
      <c r="AH433" s="535"/>
      <c r="AI433" s="558"/>
      <c r="AL433" s="535"/>
      <c r="AP433" s="535"/>
    </row>
    <row r="434">
      <c r="A434" s="552"/>
      <c r="B434" s="552"/>
      <c r="N434" s="535"/>
      <c r="O434" s="558"/>
      <c r="R434" s="535"/>
      <c r="S434" s="558"/>
      <c r="V434" s="535"/>
      <c r="W434" s="558"/>
      <c r="Z434" s="535"/>
      <c r="AA434" s="558"/>
      <c r="AD434" s="535"/>
      <c r="AE434" s="558"/>
      <c r="AH434" s="535"/>
      <c r="AI434" s="558"/>
      <c r="AL434" s="535"/>
      <c r="AP434" s="535"/>
    </row>
    <row r="435">
      <c r="A435" s="552"/>
      <c r="B435" s="552"/>
      <c r="N435" s="535"/>
      <c r="O435" s="558"/>
      <c r="R435" s="535"/>
      <c r="S435" s="558"/>
      <c r="V435" s="535"/>
      <c r="W435" s="558"/>
      <c r="Z435" s="535"/>
      <c r="AA435" s="558"/>
      <c r="AD435" s="535"/>
      <c r="AE435" s="558"/>
      <c r="AH435" s="535"/>
      <c r="AI435" s="558"/>
      <c r="AL435" s="535"/>
      <c r="AP435" s="535"/>
    </row>
    <row r="436">
      <c r="A436" s="552"/>
      <c r="B436" s="552"/>
      <c r="N436" s="535"/>
      <c r="O436" s="558"/>
      <c r="R436" s="535"/>
      <c r="S436" s="558"/>
      <c r="V436" s="535"/>
      <c r="W436" s="558"/>
      <c r="Z436" s="535"/>
      <c r="AA436" s="558"/>
      <c r="AD436" s="535"/>
      <c r="AE436" s="558"/>
      <c r="AH436" s="535"/>
      <c r="AI436" s="558"/>
      <c r="AL436" s="535"/>
      <c r="AP436" s="535"/>
    </row>
    <row r="437">
      <c r="A437" s="552"/>
      <c r="B437" s="552"/>
      <c r="N437" s="535"/>
      <c r="O437" s="558"/>
      <c r="R437" s="535"/>
      <c r="S437" s="558"/>
      <c r="V437" s="535"/>
      <c r="W437" s="558"/>
      <c r="Z437" s="535"/>
      <c r="AA437" s="558"/>
      <c r="AD437" s="535"/>
      <c r="AE437" s="558"/>
      <c r="AH437" s="535"/>
      <c r="AI437" s="558"/>
      <c r="AL437" s="535"/>
      <c r="AP437" s="535"/>
    </row>
    <row r="438">
      <c r="A438" s="552"/>
      <c r="B438" s="552"/>
      <c r="N438" s="535"/>
      <c r="O438" s="558"/>
      <c r="R438" s="535"/>
      <c r="S438" s="558"/>
      <c r="V438" s="535"/>
      <c r="W438" s="558"/>
      <c r="Z438" s="535"/>
      <c r="AA438" s="558"/>
      <c r="AD438" s="535"/>
      <c r="AE438" s="558"/>
      <c r="AH438" s="535"/>
      <c r="AI438" s="558"/>
      <c r="AL438" s="535"/>
      <c r="AP438" s="535"/>
    </row>
    <row r="439">
      <c r="A439" s="552"/>
      <c r="B439" s="552"/>
      <c r="N439" s="535"/>
      <c r="O439" s="558"/>
      <c r="R439" s="535"/>
      <c r="S439" s="558"/>
      <c r="V439" s="535"/>
      <c r="W439" s="558"/>
      <c r="Z439" s="535"/>
      <c r="AA439" s="558"/>
      <c r="AD439" s="535"/>
      <c r="AE439" s="558"/>
      <c r="AH439" s="535"/>
      <c r="AI439" s="558"/>
      <c r="AL439" s="535"/>
      <c r="AP439" s="535"/>
    </row>
    <row r="440">
      <c r="A440" s="552"/>
      <c r="B440" s="552"/>
      <c r="N440" s="535"/>
      <c r="O440" s="558"/>
      <c r="R440" s="535"/>
      <c r="S440" s="558"/>
      <c r="V440" s="535"/>
      <c r="W440" s="558"/>
      <c r="Z440" s="535"/>
      <c r="AA440" s="558"/>
      <c r="AD440" s="535"/>
      <c r="AE440" s="558"/>
      <c r="AH440" s="535"/>
      <c r="AI440" s="558"/>
      <c r="AL440" s="535"/>
      <c r="AP440" s="535"/>
    </row>
    <row r="441">
      <c r="A441" s="552"/>
      <c r="B441" s="552"/>
      <c r="N441" s="535"/>
      <c r="O441" s="558"/>
      <c r="R441" s="535"/>
      <c r="S441" s="558"/>
      <c r="V441" s="535"/>
      <c r="W441" s="558"/>
      <c r="Z441" s="535"/>
      <c r="AA441" s="558"/>
      <c r="AD441" s="535"/>
      <c r="AE441" s="558"/>
      <c r="AH441" s="535"/>
      <c r="AI441" s="558"/>
      <c r="AL441" s="535"/>
      <c r="AP441" s="535"/>
    </row>
    <row r="442">
      <c r="A442" s="552"/>
      <c r="B442" s="552"/>
      <c r="N442" s="535"/>
      <c r="O442" s="558"/>
      <c r="R442" s="535"/>
      <c r="S442" s="558"/>
      <c r="V442" s="535"/>
      <c r="W442" s="558"/>
      <c r="Z442" s="535"/>
      <c r="AA442" s="558"/>
      <c r="AD442" s="535"/>
      <c r="AE442" s="558"/>
      <c r="AH442" s="535"/>
      <c r="AI442" s="558"/>
      <c r="AL442" s="535"/>
      <c r="AP442" s="535"/>
    </row>
    <row r="443">
      <c r="A443" s="552"/>
      <c r="B443" s="552"/>
      <c r="N443" s="535"/>
      <c r="O443" s="558"/>
      <c r="R443" s="535"/>
      <c r="S443" s="558"/>
      <c r="V443" s="535"/>
      <c r="W443" s="558"/>
      <c r="Z443" s="535"/>
      <c r="AA443" s="558"/>
      <c r="AD443" s="535"/>
      <c r="AE443" s="558"/>
      <c r="AH443" s="535"/>
      <c r="AI443" s="558"/>
      <c r="AL443" s="535"/>
      <c r="AP443" s="535"/>
    </row>
    <row r="444">
      <c r="A444" s="552"/>
      <c r="B444" s="552"/>
      <c r="N444" s="535"/>
      <c r="O444" s="558"/>
      <c r="R444" s="535"/>
      <c r="S444" s="558"/>
      <c r="V444" s="535"/>
      <c r="W444" s="558"/>
      <c r="Z444" s="535"/>
      <c r="AA444" s="558"/>
      <c r="AD444" s="535"/>
      <c r="AE444" s="558"/>
      <c r="AH444" s="535"/>
      <c r="AI444" s="558"/>
      <c r="AL444" s="535"/>
      <c r="AP444" s="535"/>
    </row>
    <row r="445">
      <c r="A445" s="552"/>
      <c r="B445" s="552"/>
      <c r="N445" s="535"/>
      <c r="O445" s="558"/>
      <c r="R445" s="535"/>
      <c r="S445" s="558"/>
      <c r="V445" s="535"/>
      <c r="W445" s="558"/>
      <c r="Z445" s="535"/>
      <c r="AA445" s="558"/>
      <c r="AD445" s="535"/>
      <c r="AE445" s="558"/>
      <c r="AH445" s="535"/>
      <c r="AI445" s="558"/>
      <c r="AL445" s="535"/>
      <c r="AP445" s="535"/>
    </row>
    <row r="446">
      <c r="A446" s="552"/>
      <c r="B446" s="552"/>
      <c r="N446" s="535"/>
      <c r="O446" s="558"/>
      <c r="R446" s="535"/>
      <c r="S446" s="558"/>
      <c r="V446" s="535"/>
      <c r="W446" s="558"/>
      <c r="Z446" s="535"/>
      <c r="AA446" s="558"/>
      <c r="AD446" s="535"/>
      <c r="AE446" s="558"/>
      <c r="AH446" s="535"/>
      <c r="AI446" s="558"/>
      <c r="AL446" s="535"/>
      <c r="AP446" s="535"/>
    </row>
    <row r="447">
      <c r="A447" s="552"/>
      <c r="B447" s="552"/>
      <c r="N447" s="535"/>
      <c r="O447" s="558"/>
      <c r="R447" s="535"/>
      <c r="S447" s="558"/>
      <c r="V447" s="535"/>
      <c r="W447" s="558"/>
      <c r="Z447" s="535"/>
      <c r="AA447" s="558"/>
      <c r="AD447" s="535"/>
      <c r="AE447" s="558"/>
      <c r="AH447" s="535"/>
      <c r="AI447" s="558"/>
      <c r="AL447" s="535"/>
      <c r="AP447" s="535"/>
    </row>
    <row r="448">
      <c r="A448" s="552"/>
      <c r="B448" s="552"/>
      <c r="N448" s="535"/>
      <c r="O448" s="558"/>
      <c r="R448" s="535"/>
      <c r="S448" s="558"/>
      <c r="V448" s="535"/>
      <c r="W448" s="558"/>
      <c r="Z448" s="535"/>
      <c r="AA448" s="558"/>
      <c r="AD448" s="535"/>
      <c r="AE448" s="558"/>
      <c r="AH448" s="535"/>
      <c r="AI448" s="558"/>
      <c r="AL448" s="535"/>
      <c r="AP448" s="535"/>
    </row>
    <row r="449">
      <c r="A449" s="552"/>
      <c r="B449" s="552"/>
      <c r="N449" s="535"/>
      <c r="O449" s="558"/>
      <c r="R449" s="535"/>
      <c r="S449" s="558"/>
      <c r="V449" s="535"/>
      <c r="W449" s="558"/>
      <c r="Z449" s="535"/>
      <c r="AA449" s="558"/>
      <c r="AD449" s="535"/>
      <c r="AE449" s="558"/>
      <c r="AH449" s="535"/>
      <c r="AI449" s="558"/>
      <c r="AL449" s="535"/>
      <c r="AP449" s="535"/>
    </row>
    <row r="450">
      <c r="A450" s="552"/>
      <c r="B450" s="552"/>
      <c r="N450" s="535"/>
      <c r="O450" s="558"/>
      <c r="R450" s="535"/>
      <c r="S450" s="558"/>
      <c r="V450" s="535"/>
      <c r="W450" s="558"/>
      <c r="Z450" s="535"/>
      <c r="AA450" s="558"/>
      <c r="AD450" s="535"/>
      <c r="AE450" s="558"/>
      <c r="AH450" s="535"/>
      <c r="AI450" s="558"/>
      <c r="AL450" s="535"/>
      <c r="AP450" s="535"/>
    </row>
    <row r="451">
      <c r="A451" s="552"/>
      <c r="B451" s="552"/>
      <c r="N451" s="535"/>
      <c r="O451" s="558"/>
      <c r="R451" s="535"/>
      <c r="S451" s="558"/>
      <c r="V451" s="535"/>
      <c r="W451" s="558"/>
      <c r="Z451" s="535"/>
      <c r="AA451" s="558"/>
      <c r="AD451" s="535"/>
      <c r="AE451" s="558"/>
      <c r="AH451" s="535"/>
      <c r="AI451" s="558"/>
      <c r="AL451" s="535"/>
      <c r="AP451" s="535"/>
    </row>
    <row r="452">
      <c r="A452" s="552"/>
      <c r="B452" s="552"/>
      <c r="N452" s="535"/>
      <c r="O452" s="558"/>
      <c r="R452" s="535"/>
      <c r="S452" s="558"/>
      <c r="V452" s="535"/>
      <c r="W452" s="558"/>
      <c r="Z452" s="535"/>
      <c r="AA452" s="558"/>
      <c r="AD452" s="535"/>
      <c r="AE452" s="558"/>
      <c r="AH452" s="535"/>
      <c r="AI452" s="558"/>
      <c r="AL452" s="535"/>
      <c r="AP452" s="535"/>
    </row>
    <row r="453">
      <c r="A453" s="552"/>
      <c r="B453" s="552"/>
      <c r="N453" s="535"/>
      <c r="O453" s="558"/>
      <c r="R453" s="535"/>
      <c r="S453" s="558"/>
      <c r="V453" s="535"/>
      <c r="W453" s="558"/>
      <c r="Z453" s="535"/>
      <c r="AA453" s="558"/>
      <c r="AD453" s="535"/>
      <c r="AE453" s="558"/>
      <c r="AH453" s="535"/>
      <c r="AI453" s="558"/>
      <c r="AL453" s="535"/>
      <c r="AP453" s="535"/>
    </row>
    <row r="454">
      <c r="A454" s="552"/>
      <c r="B454" s="552"/>
      <c r="N454" s="535"/>
      <c r="O454" s="558"/>
      <c r="R454" s="535"/>
      <c r="S454" s="558"/>
      <c r="V454" s="535"/>
      <c r="W454" s="558"/>
      <c r="Z454" s="535"/>
      <c r="AA454" s="558"/>
      <c r="AD454" s="535"/>
      <c r="AE454" s="558"/>
      <c r="AH454" s="535"/>
      <c r="AI454" s="558"/>
      <c r="AL454" s="535"/>
      <c r="AP454" s="535"/>
    </row>
    <row r="455">
      <c r="A455" s="552"/>
      <c r="B455" s="552"/>
      <c r="N455" s="535"/>
      <c r="O455" s="558"/>
      <c r="R455" s="535"/>
      <c r="S455" s="558"/>
      <c r="V455" s="535"/>
      <c r="W455" s="558"/>
      <c r="Z455" s="535"/>
      <c r="AA455" s="558"/>
      <c r="AD455" s="535"/>
      <c r="AE455" s="558"/>
      <c r="AH455" s="535"/>
      <c r="AI455" s="558"/>
      <c r="AL455" s="535"/>
      <c r="AP455" s="535"/>
    </row>
    <row r="456">
      <c r="A456" s="552"/>
      <c r="B456" s="552"/>
      <c r="N456" s="535"/>
      <c r="O456" s="558"/>
      <c r="R456" s="535"/>
      <c r="S456" s="558"/>
      <c r="V456" s="535"/>
      <c r="W456" s="558"/>
      <c r="Z456" s="535"/>
      <c r="AA456" s="558"/>
      <c r="AD456" s="535"/>
      <c r="AE456" s="558"/>
      <c r="AH456" s="535"/>
      <c r="AI456" s="558"/>
      <c r="AL456" s="535"/>
      <c r="AP456" s="535"/>
    </row>
    <row r="457">
      <c r="A457" s="552"/>
      <c r="B457" s="552"/>
      <c r="N457" s="535"/>
      <c r="O457" s="558"/>
      <c r="R457" s="535"/>
      <c r="S457" s="558"/>
      <c r="V457" s="535"/>
      <c r="W457" s="558"/>
      <c r="Z457" s="535"/>
      <c r="AA457" s="558"/>
      <c r="AD457" s="535"/>
      <c r="AE457" s="558"/>
      <c r="AH457" s="535"/>
      <c r="AI457" s="558"/>
      <c r="AL457" s="535"/>
      <c r="AP457" s="535"/>
    </row>
    <row r="458">
      <c r="A458" s="552"/>
      <c r="B458" s="552"/>
      <c r="N458" s="535"/>
      <c r="O458" s="558"/>
      <c r="R458" s="535"/>
      <c r="S458" s="558"/>
      <c r="V458" s="535"/>
      <c r="W458" s="558"/>
      <c r="Z458" s="535"/>
      <c r="AA458" s="558"/>
      <c r="AD458" s="535"/>
      <c r="AE458" s="558"/>
      <c r="AH458" s="535"/>
      <c r="AI458" s="558"/>
      <c r="AL458" s="535"/>
      <c r="AP458" s="535"/>
    </row>
    <row r="459">
      <c r="A459" s="552"/>
      <c r="B459" s="552"/>
      <c r="N459" s="535"/>
      <c r="O459" s="558"/>
      <c r="R459" s="535"/>
      <c r="S459" s="558"/>
      <c r="V459" s="535"/>
      <c r="W459" s="558"/>
      <c r="Z459" s="535"/>
      <c r="AA459" s="558"/>
      <c r="AD459" s="535"/>
      <c r="AE459" s="558"/>
      <c r="AH459" s="535"/>
      <c r="AI459" s="558"/>
      <c r="AL459" s="535"/>
      <c r="AP459" s="535"/>
    </row>
    <row r="460">
      <c r="A460" s="552"/>
      <c r="B460" s="552"/>
      <c r="N460" s="535"/>
      <c r="O460" s="558"/>
      <c r="R460" s="535"/>
      <c r="S460" s="558"/>
      <c r="V460" s="535"/>
      <c r="W460" s="558"/>
      <c r="Z460" s="535"/>
      <c r="AA460" s="558"/>
      <c r="AD460" s="535"/>
      <c r="AE460" s="558"/>
      <c r="AH460" s="535"/>
      <c r="AI460" s="558"/>
      <c r="AL460" s="535"/>
      <c r="AP460" s="535"/>
    </row>
    <row r="461">
      <c r="A461" s="552"/>
      <c r="B461" s="552"/>
      <c r="N461" s="535"/>
      <c r="O461" s="558"/>
      <c r="R461" s="535"/>
      <c r="S461" s="558"/>
      <c r="V461" s="535"/>
      <c r="W461" s="558"/>
      <c r="Z461" s="535"/>
      <c r="AA461" s="558"/>
      <c r="AD461" s="535"/>
      <c r="AE461" s="558"/>
      <c r="AH461" s="535"/>
      <c r="AI461" s="558"/>
      <c r="AL461" s="535"/>
      <c r="AP461" s="535"/>
    </row>
    <row r="462">
      <c r="A462" s="552"/>
      <c r="B462" s="552"/>
      <c r="N462" s="535"/>
      <c r="O462" s="558"/>
      <c r="R462" s="535"/>
      <c r="S462" s="558"/>
      <c r="V462" s="535"/>
      <c r="W462" s="558"/>
      <c r="Z462" s="535"/>
      <c r="AA462" s="558"/>
      <c r="AD462" s="535"/>
      <c r="AE462" s="558"/>
      <c r="AH462" s="535"/>
      <c r="AI462" s="558"/>
      <c r="AL462" s="535"/>
      <c r="AP462" s="535"/>
    </row>
    <row r="463">
      <c r="A463" s="552"/>
      <c r="B463" s="552"/>
      <c r="N463" s="535"/>
      <c r="O463" s="558"/>
      <c r="R463" s="535"/>
      <c r="S463" s="558"/>
      <c r="V463" s="535"/>
      <c r="W463" s="558"/>
      <c r="Z463" s="535"/>
      <c r="AA463" s="558"/>
      <c r="AD463" s="535"/>
      <c r="AE463" s="558"/>
      <c r="AH463" s="535"/>
      <c r="AI463" s="558"/>
      <c r="AL463" s="535"/>
      <c r="AP463" s="535"/>
    </row>
    <row r="464">
      <c r="A464" s="552"/>
      <c r="B464" s="552"/>
      <c r="N464" s="535"/>
      <c r="O464" s="558"/>
      <c r="R464" s="535"/>
      <c r="S464" s="558"/>
      <c r="V464" s="535"/>
      <c r="W464" s="558"/>
      <c r="Z464" s="535"/>
      <c r="AA464" s="558"/>
      <c r="AD464" s="535"/>
      <c r="AE464" s="558"/>
      <c r="AH464" s="535"/>
      <c r="AI464" s="558"/>
      <c r="AL464" s="535"/>
      <c r="AP464" s="535"/>
    </row>
    <row r="465">
      <c r="A465" s="552"/>
      <c r="B465" s="552"/>
      <c r="N465" s="535"/>
      <c r="O465" s="558"/>
      <c r="R465" s="535"/>
      <c r="S465" s="558"/>
      <c r="V465" s="535"/>
      <c r="W465" s="558"/>
      <c r="Z465" s="535"/>
      <c r="AA465" s="558"/>
      <c r="AD465" s="535"/>
      <c r="AE465" s="558"/>
      <c r="AH465" s="535"/>
      <c r="AI465" s="558"/>
      <c r="AL465" s="535"/>
      <c r="AP465" s="535"/>
    </row>
    <row r="466">
      <c r="A466" s="552"/>
      <c r="B466" s="552"/>
      <c r="N466" s="535"/>
      <c r="O466" s="558"/>
      <c r="R466" s="535"/>
      <c r="S466" s="558"/>
      <c r="V466" s="535"/>
      <c r="W466" s="558"/>
      <c r="Z466" s="535"/>
      <c r="AA466" s="558"/>
      <c r="AD466" s="535"/>
      <c r="AE466" s="558"/>
      <c r="AH466" s="535"/>
      <c r="AI466" s="558"/>
      <c r="AL466" s="535"/>
      <c r="AP466" s="535"/>
    </row>
    <row r="467">
      <c r="A467" s="552"/>
      <c r="B467" s="552"/>
      <c r="N467" s="535"/>
      <c r="O467" s="558"/>
      <c r="R467" s="535"/>
      <c r="S467" s="558"/>
      <c r="V467" s="535"/>
      <c r="W467" s="558"/>
      <c r="Z467" s="535"/>
      <c r="AA467" s="558"/>
      <c r="AD467" s="535"/>
      <c r="AE467" s="558"/>
      <c r="AH467" s="535"/>
      <c r="AI467" s="558"/>
      <c r="AL467" s="535"/>
      <c r="AP467" s="535"/>
    </row>
    <row r="468">
      <c r="A468" s="552"/>
      <c r="B468" s="552"/>
      <c r="N468" s="535"/>
      <c r="O468" s="558"/>
      <c r="R468" s="535"/>
      <c r="S468" s="558"/>
      <c r="V468" s="535"/>
      <c r="W468" s="558"/>
      <c r="Z468" s="535"/>
      <c r="AA468" s="558"/>
      <c r="AD468" s="535"/>
      <c r="AE468" s="558"/>
      <c r="AH468" s="535"/>
      <c r="AI468" s="558"/>
      <c r="AL468" s="535"/>
      <c r="AP468" s="535"/>
    </row>
    <row r="469">
      <c r="A469" s="552"/>
      <c r="B469" s="552"/>
      <c r="N469" s="535"/>
      <c r="O469" s="558"/>
      <c r="R469" s="535"/>
      <c r="S469" s="558"/>
      <c r="V469" s="535"/>
      <c r="W469" s="558"/>
      <c r="Z469" s="535"/>
      <c r="AA469" s="558"/>
      <c r="AD469" s="535"/>
      <c r="AE469" s="558"/>
      <c r="AH469" s="535"/>
      <c r="AI469" s="558"/>
      <c r="AL469" s="535"/>
      <c r="AP469" s="535"/>
    </row>
    <row r="470">
      <c r="A470" s="552"/>
      <c r="B470" s="552"/>
      <c r="N470" s="535"/>
      <c r="O470" s="558"/>
      <c r="R470" s="535"/>
      <c r="S470" s="558"/>
      <c r="V470" s="535"/>
      <c r="W470" s="558"/>
      <c r="Z470" s="535"/>
      <c r="AA470" s="558"/>
      <c r="AD470" s="535"/>
      <c r="AE470" s="558"/>
      <c r="AH470" s="535"/>
      <c r="AI470" s="558"/>
      <c r="AL470" s="535"/>
      <c r="AP470" s="535"/>
    </row>
    <row r="471">
      <c r="A471" s="552"/>
      <c r="B471" s="552"/>
      <c r="N471" s="535"/>
      <c r="O471" s="558"/>
      <c r="R471" s="535"/>
      <c r="S471" s="558"/>
      <c r="V471" s="535"/>
      <c r="W471" s="558"/>
      <c r="Z471" s="535"/>
      <c r="AA471" s="558"/>
      <c r="AD471" s="535"/>
      <c r="AE471" s="558"/>
      <c r="AH471" s="535"/>
      <c r="AI471" s="558"/>
      <c r="AL471" s="535"/>
      <c r="AP471" s="535"/>
    </row>
    <row r="472">
      <c r="A472" s="552"/>
      <c r="B472" s="552"/>
      <c r="N472" s="535"/>
      <c r="O472" s="558"/>
      <c r="R472" s="535"/>
      <c r="S472" s="558"/>
      <c r="V472" s="535"/>
      <c r="W472" s="558"/>
      <c r="Z472" s="535"/>
      <c r="AA472" s="558"/>
      <c r="AD472" s="535"/>
      <c r="AE472" s="558"/>
      <c r="AH472" s="535"/>
      <c r="AI472" s="558"/>
      <c r="AL472" s="535"/>
      <c r="AP472" s="535"/>
    </row>
    <row r="473">
      <c r="A473" s="552"/>
      <c r="B473" s="552"/>
      <c r="N473" s="535"/>
      <c r="O473" s="558"/>
      <c r="R473" s="535"/>
      <c r="S473" s="558"/>
      <c r="V473" s="535"/>
      <c r="W473" s="558"/>
      <c r="Z473" s="535"/>
      <c r="AA473" s="558"/>
      <c r="AD473" s="535"/>
      <c r="AE473" s="558"/>
      <c r="AH473" s="535"/>
      <c r="AI473" s="558"/>
      <c r="AL473" s="535"/>
      <c r="AP473" s="535"/>
    </row>
    <row r="474">
      <c r="A474" s="552"/>
      <c r="B474" s="552"/>
      <c r="N474" s="535"/>
      <c r="O474" s="558"/>
      <c r="R474" s="535"/>
      <c r="S474" s="558"/>
      <c r="V474" s="535"/>
      <c r="W474" s="558"/>
      <c r="Z474" s="535"/>
      <c r="AA474" s="558"/>
      <c r="AD474" s="535"/>
      <c r="AE474" s="558"/>
      <c r="AH474" s="535"/>
      <c r="AI474" s="558"/>
      <c r="AL474" s="535"/>
      <c r="AP474" s="535"/>
    </row>
    <row r="475">
      <c r="A475" s="552"/>
      <c r="B475" s="552"/>
      <c r="N475" s="535"/>
      <c r="O475" s="558"/>
      <c r="R475" s="535"/>
      <c r="S475" s="558"/>
      <c r="V475" s="535"/>
      <c r="W475" s="558"/>
      <c r="Z475" s="535"/>
      <c r="AA475" s="558"/>
      <c r="AD475" s="535"/>
      <c r="AE475" s="558"/>
      <c r="AH475" s="535"/>
      <c r="AI475" s="558"/>
      <c r="AL475" s="535"/>
      <c r="AP475" s="535"/>
    </row>
    <row r="476">
      <c r="A476" s="552"/>
      <c r="B476" s="552"/>
      <c r="N476" s="535"/>
      <c r="O476" s="558"/>
      <c r="R476" s="535"/>
      <c r="S476" s="558"/>
      <c r="V476" s="535"/>
      <c r="W476" s="558"/>
      <c r="Z476" s="535"/>
      <c r="AA476" s="558"/>
      <c r="AD476" s="535"/>
      <c r="AE476" s="558"/>
      <c r="AH476" s="535"/>
      <c r="AI476" s="558"/>
      <c r="AL476" s="535"/>
      <c r="AP476" s="535"/>
    </row>
    <row r="477">
      <c r="A477" s="552"/>
      <c r="B477" s="552"/>
      <c r="N477" s="535"/>
      <c r="O477" s="558"/>
      <c r="R477" s="535"/>
      <c r="S477" s="558"/>
      <c r="V477" s="535"/>
      <c r="W477" s="558"/>
      <c r="Z477" s="535"/>
      <c r="AA477" s="558"/>
      <c r="AD477" s="535"/>
      <c r="AE477" s="558"/>
      <c r="AH477" s="535"/>
      <c r="AI477" s="558"/>
      <c r="AL477" s="535"/>
      <c r="AP477" s="535"/>
    </row>
    <row r="478">
      <c r="A478" s="552"/>
      <c r="B478" s="552"/>
      <c r="N478" s="535"/>
      <c r="O478" s="558"/>
      <c r="R478" s="535"/>
      <c r="S478" s="558"/>
      <c r="V478" s="535"/>
      <c r="W478" s="558"/>
      <c r="Z478" s="535"/>
      <c r="AA478" s="558"/>
      <c r="AD478" s="535"/>
      <c r="AE478" s="558"/>
      <c r="AH478" s="535"/>
      <c r="AI478" s="558"/>
      <c r="AL478" s="535"/>
      <c r="AP478" s="535"/>
    </row>
    <row r="479">
      <c r="A479" s="552"/>
      <c r="B479" s="552"/>
      <c r="N479" s="535"/>
      <c r="O479" s="558"/>
      <c r="R479" s="535"/>
      <c r="S479" s="558"/>
      <c r="V479" s="535"/>
      <c r="W479" s="558"/>
      <c r="Z479" s="535"/>
      <c r="AA479" s="558"/>
      <c r="AD479" s="535"/>
      <c r="AE479" s="558"/>
      <c r="AH479" s="535"/>
      <c r="AI479" s="558"/>
      <c r="AL479" s="535"/>
      <c r="AP479" s="535"/>
    </row>
    <row r="480">
      <c r="A480" s="552"/>
      <c r="B480" s="552"/>
      <c r="N480" s="535"/>
      <c r="O480" s="558"/>
      <c r="R480" s="535"/>
      <c r="S480" s="558"/>
      <c r="V480" s="535"/>
      <c r="W480" s="558"/>
      <c r="Z480" s="535"/>
      <c r="AA480" s="558"/>
      <c r="AD480" s="535"/>
      <c r="AE480" s="558"/>
      <c r="AH480" s="535"/>
      <c r="AI480" s="558"/>
      <c r="AL480" s="535"/>
      <c r="AP480" s="535"/>
    </row>
    <row r="481">
      <c r="A481" s="552"/>
      <c r="B481" s="552"/>
      <c r="N481" s="535"/>
      <c r="O481" s="558"/>
      <c r="R481" s="535"/>
      <c r="S481" s="558"/>
      <c r="V481" s="535"/>
      <c r="W481" s="558"/>
      <c r="Z481" s="535"/>
      <c r="AA481" s="558"/>
      <c r="AD481" s="535"/>
      <c r="AE481" s="558"/>
      <c r="AH481" s="535"/>
      <c r="AI481" s="558"/>
      <c r="AL481" s="535"/>
      <c r="AP481" s="535"/>
    </row>
    <row r="482">
      <c r="A482" s="552"/>
      <c r="B482" s="552"/>
      <c r="N482" s="535"/>
      <c r="O482" s="558"/>
      <c r="R482" s="535"/>
      <c r="S482" s="558"/>
      <c r="V482" s="535"/>
      <c r="W482" s="558"/>
      <c r="Z482" s="535"/>
      <c r="AA482" s="558"/>
      <c r="AD482" s="535"/>
      <c r="AE482" s="558"/>
      <c r="AH482" s="535"/>
      <c r="AI482" s="558"/>
      <c r="AL482" s="535"/>
      <c r="AP482" s="535"/>
    </row>
    <row r="483">
      <c r="A483" s="552"/>
      <c r="B483" s="552"/>
      <c r="N483" s="535"/>
      <c r="O483" s="558"/>
      <c r="R483" s="535"/>
      <c r="S483" s="558"/>
      <c r="V483" s="535"/>
      <c r="W483" s="558"/>
      <c r="Z483" s="535"/>
      <c r="AA483" s="558"/>
      <c r="AD483" s="535"/>
      <c r="AE483" s="558"/>
      <c r="AH483" s="535"/>
      <c r="AI483" s="558"/>
      <c r="AL483" s="535"/>
      <c r="AP483" s="535"/>
    </row>
    <row r="484">
      <c r="A484" s="552"/>
      <c r="B484" s="552"/>
      <c r="N484" s="535"/>
      <c r="O484" s="558"/>
      <c r="R484" s="535"/>
      <c r="S484" s="558"/>
      <c r="V484" s="535"/>
      <c r="W484" s="558"/>
      <c r="Z484" s="535"/>
      <c r="AA484" s="558"/>
      <c r="AD484" s="535"/>
      <c r="AE484" s="558"/>
      <c r="AH484" s="535"/>
      <c r="AI484" s="558"/>
      <c r="AL484" s="535"/>
      <c r="AP484" s="535"/>
    </row>
    <row r="485">
      <c r="A485" s="552"/>
      <c r="B485" s="552"/>
      <c r="N485" s="535"/>
      <c r="O485" s="558"/>
      <c r="R485" s="535"/>
      <c r="S485" s="558"/>
      <c r="V485" s="535"/>
      <c r="W485" s="558"/>
      <c r="Z485" s="535"/>
      <c r="AA485" s="558"/>
      <c r="AD485" s="535"/>
      <c r="AE485" s="558"/>
      <c r="AH485" s="535"/>
      <c r="AI485" s="558"/>
      <c r="AL485" s="535"/>
      <c r="AP485" s="535"/>
    </row>
    <row r="486">
      <c r="A486" s="552"/>
      <c r="B486" s="552"/>
      <c r="N486" s="535"/>
      <c r="O486" s="558"/>
      <c r="R486" s="535"/>
      <c r="S486" s="558"/>
      <c r="V486" s="535"/>
      <c r="W486" s="558"/>
      <c r="Z486" s="535"/>
      <c r="AA486" s="558"/>
      <c r="AD486" s="535"/>
      <c r="AE486" s="558"/>
      <c r="AH486" s="535"/>
      <c r="AI486" s="558"/>
      <c r="AL486" s="535"/>
      <c r="AP486" s="535"/>
    </row>
    <row r="487">
      <c r="A487" s="552"/>
      <c r="B487" s="552"/>
      <c r="N487" s="535"/>
      <c r="O487" s="558"/>
      <c r="R487" s="535"/>
      <c r="S487" s="558"/>
      <c r="V487" s="535"/>
      <c r="W487" s="558"/>
      <c r="Z487" s="535"/>
      <c r="AA487" s="558"/>
      <c r="AD487" s="535"/>
      <c r="AE487" s="558"/>
      <c r="AH487" s="535"/>
      <c r="AI487" s="558"/>
      <c r="AL487" s="535"/>
      <c r="AP487" s="535"/>
    </row>
    <row r="488">
      <c r="A488" s="552"/>
      <c r="B488" s="552"/>
      <c r="N488" s="535"/>
      <c r="O488" s="558"/>
      <c r="R488" s="535"/>
      <c r="S488" s="558"/>
      <c r="V488" s="535"/>
      <c r="W488" s="558"/>
      <c r="Z488" s="535"/>
      <c r="AA488" s="558"/>
      <c r="AD488" s="535"/>
      <c r="AE488" s="558"/>
      <c r="AH488" s="535"/>
      <c r="AI488" s="558"/>
      <c r="AL488" s="535"/>
      <c r="AP488" s="535"/>
    </row>
    <row r="489">
      <c r="A489" s="552"/>
      <c r="B489" s="552"/>
      <c r="N489" s="535"/>
      <c r="O489" s="558"/>
      <c r="R489" s="535"/>
      <c r="S489" s="558"/>
      <c r="V489" s="535"/>
      <c r="W489" s="558"/>
      <c r="Z489" s="535"/>
      <c r="AA489" s="558"/>
      <c r="AD489" s="535"/>
      <c r="AE489" s="558"/>
      <c r="AH489" s="535"/>
      <c r="AI489" s="558"/>
      <c r="AL489" s="535"/>
      <c r="AP489" s="535"/>
    </row>
    <row r="490">
      <c r="A490" s="552"/>
      <c r="B490" s="552"/>
      <c r="N490" s="535"/>
      <c r="O490" s="558"/>
      <c r="R490" s="535"/>
      <c r="S490" s="558"/>
      <c r="V490" s="535"/>
      <c r="W490" s="558"/>
      <c r="Z490" s="535"/>
      <c r="AA490" s="558"/>
      <c r="AD490" s="535"/>
      <c r="AE490" s="558"/>
      <c r="AH490" s="535"/>
      <c r="AI490" s="558"/>
      <c r="AL490" s="535"/>
      <c r="AP490" s="535"/>
    </row>
    <row r="491">
      <c r="A491" s="552"/>
      <c r="B491" s="552"/>
      <c r="N491" s="535"/>
      <c r="O491" s="558"/>
      <c r="R491" s="535"/>
      <c r="S491" s="558"/>
      <c r="V491" s="535"/>
      <c r="W491" s="558"/>
      <c r="Z491" s="535"/>
      <c r="AA491" s="558"/>
      <c r="AD491" s="535"/>
      <c r="AE491" s="558"/>
      <c r="AH491" s="535"/>
      <c r="AI491" s="558"/>
      <c r="AL491" s="535"/>
      <c r="AP491" s="535"/>
    </row>
    <row r="492">
      <c r="A492" s="552"/>
      <c r="B492" s="552"/>
      <c r="N492" s="535"/>
      <c r="O492" s="558"/>
      <c r="R492" s="535"/>
      <c r="S492" s="558"/>
      <c r="V492" s="535"/>
      <c r="W492" s="558"/>
      <c r="Z492" s="535"/>
      <c r="AA492" s="558"/>
      <c r="AD492" s="535"/>
      <c r="AE492" s="558"/>
      <c r="AH492" s="535"/>
      <c r="AI492" s="558"/>
      <c r="AL492" s="535"/>
      <c r="AP492" s="535"/>
    </row>
    <row r="493">
      <c r="A493" s="552"/>
      <c r="B493" s="552"/>
      <c r="N493" s="535"/>
      <c r="O493" s="558"/>
      <c r="R493" s="535"/>
      <c r="S493" s="558"/>
      <c r="V493" s="535"/>
      <c r="W493" s="558"/>
      <c r="Z493" s="535"/>
      <c r="AA493" s="558"/>
      <c r="AD493" s="535"/>
      <c r="AE493" s="558"/>
      <c r="AH493" s="535"/>
      <c r="AI493" s="558"/>
      <c r="AL493" s="535"/>
      <c r="AP493" s="535"/>
    </row>
    <row r="494">
      <c r="A494" s="552"/>
      <c r="B494" s="552"/>
      <c r="N494" s="535"/>
      <c r="O494" s="558"/>
      <c r="R494" s="535"/>
      <c r="S494" s="558"/>
      <c r="V494" s="535"/>
      <c r="W494" s="558"/>
      <c r="Z494" s="535"/>
      <c r="AA494" s="558"/>
      <c r="AD494" s="535"/>
      <c r="AE494" s="558"/>
      <c r="AH494" s="535"/>
      <c r="AI494" s="558"/>
      <c r="AL494" s="535"/>
      <c r="AP494" s="535"/>
    </row>
    <row r="495">
      <c r="A495" s="552"/>
      <c r="B495" s="552"/>
      <c r="N495" s="535"/>
      <c r="O495" s="558"/>
      <c r="R495" s="535"/>
      <c r="S495" s="558"/>
      <c r="V495" s="535"/>
      <c r="W495" s="558"/>
      <c r="Z495" s="535"/>
      <c r="AA495" s="558"/>
      <c r="AD495" s="535"/>
      <c r="AE495" s="558"/>
      <c r="AH495" s="535"/>
      <c r="AI495" s="558"/>
      <c r="AL495" s="535"/>
      <c r="AP495" s="535"/>
    </row>
    <row r="496">
      <c r="A496" s="552"/>
      <c r="B496" s="552"/>
      <c r="N496" s="535"/>
      <c r="O496" s="558"/>
      <c r="R496" s="535"/>
      <c r="S496" s="558"/>
      <c r="V496" s="535"/>
      <c r="W496" s="558"/>
      <c r="Z496" s="535"/>
      <c r="AA496" s="558"/>
      <c r="AD496" s="535"/>
      <c r="AE496" s="558"/>
      <c r="AH496" s="535"/>
      <c r="AI496" s="558"/>
      <c r="AL496" s="535"/>
      <c r="AP496" s="535"/>
    </row>
    <row r="497">
      <c r="A497" s="552"/>
      <c r="B497" s="552"/>
      <c r="N497" s="535"/>
      <c r="O497" s="558"/>
      <c r="R497" s="535"/>
      <c r="S497" s="558"/>
      <c r="V497" s="535"/>
      <c r="W497" s="558"/>
      <c r="Z497" s="535"/>
      <c r="AA497" s="558"/>
      <c r="AD497" s="535"/>
      <c r="AE497" s="558"/>
      <c r="AH497" s="535"/>
      <c r="AI497" s="558"/>
      <c r="AL497" s="535"/>
      <c r="AP497" s="535"/>
    </row>
    <row r="498">
      <c r="A498" s="552"/>
      <c r="B498" s="552"/>
      <c r="N498" s="535"/>
      <c r="O498" s="558"/>
      <c r="R498" s="535"/>
      <c r="S498" s="558"/>
      <c r="V498" s="535"/>
      <c r="W498" s="558"/>
      <c r="Z498" s="535"/>
      <c r="AA498" s="558"/>
      <c r="AD498" s="535"/>
      <c r="AE498" s="558"/>
      <c r="AH498" s="535"/>
      <c r="AI498" s="558"/>
      <c r="AL498" s="535"/>
      <c r="AP498" s="535"/>
    </row>
    <row r="499">
      <c r="A499" s="552"/>
      <c r="B499" s="552"/>
      <c r="N499" s="535"/>
      <c r="O499" s="558"/>
      <c r="R499" s="535"/>
      <c r="S499" s="558"/>
      <c r="V499" s="535"/>
      <c r="W499" s="558"/>
      <c r="Z499" s="535"/>
      <c r="AA499" s="558"/>
      <c r="AD499" s="535"/>
      <c r="AE499" s="558"/>
      <c r="AH499" s="535"/>
      <c r="AI499" s="558"/>
      <c r="AL499" s="535"/>
      <c r="AP499" s="535"/>
    </row>
    <row r="500">
      <c r="A500" s="552"/>
      <c r="B500" s="552"/>
      <c r="N500" s="535"/>
      <c r="O500" s="558"/>
      <c r="R500" s="535"/>
      <c r="S500" s="558"/>
      <c r="V500" s="535"/>
      <c r="W500" s="558"/>
      <c r="Z500" s="535"/>
      <c r="AA500" s="558"/>
      <c r="AD500" s="535"/>
      <c r="AE500" s="558"/>
      <c r="AH500" s="535"/>
      <c r="AI500" s="558"/>
      <c r="AL500" s="535"/>
      <c r="AP500" s="535"/>
    </row>
    <row r="501">
      <c r="A501" s="552"/>
      <c r="B501" s="552"/>
      <c r="N501" s="535"/>
      <c r="O501" s="558"/>
      <c r="R501" s="535"/>
      <c r="S501" s="558"/>
      <c r="V501" s="535"/>
      <c r="W501" s="558"/>
      <c r="Z501" s="535"/>
      <c r="AA501" s="558"/>
      <c r="AD501" s="535"/>
      <c r="AE501" s="558"/>
      <c r="AH501" s="535"/>
      <c r="AI501" s="558"/>
      <c r="AL501" s="535"/>
      <c r="AP501" s="535"/>
    </row>
    <row r="502">
      <c r="A502" s="552"/>
      <c r="B502" s="552"/>
      <c r="N502" s="535"/>
      <c r="O502" s="558"/>
      <c r="R502" s="535"/>
      <c r="S502" s="558"/>
      <c r="V502" s="535"/>
      <c r="W502" s="558"/>
      <c r="Z502" s="535"/>
      <c r="AA502" s="558"/>
      <c r="AD502" s="535"/>
      <c r="AE502" s="558"/>
      <c r="AH502" s="535"/>
      <c r="AI502" s="558"/>
      <c r="AL502" s="535"/>
      <c r="AP502" s="535"/>
    </row>
    <row r="503">
      <c r="A503" s="552"/>
      <c r="B503" s="552"/>
      <c r="N503" s="535"/>
      <c r="O503" s="558"/>
      <c r="R503" s="535"/>
      <c r="S503" s="558"/>
      <c r="V503" s="535"/>
      <c r="W503" s="558"/>
      <c r="Z503" s="535"/>
      <c r="AA503" s="558"/>
      <c r="AD503" s="535"/>
      <c r="AE503" s="558"/>
      <c r="AH503" s="535"/>
      <c r="AI503" s="558"/>
      <c r="AL503" s="535"/>
      <c r="AP503" s="535"/>
    </row>
    <row r="504">
      <c r="A504" s="552"/>
      <c r="B504" s="552"/>
      <c r="N504" s="535"/>
      <c r="O504" s="558"/>
      <c r="R504" s="535"/>
      <c r="S504" s="558"/>
      <c r="V504" s="535"/>
      <c r="W504" s="558"/>
      <c r="Z504" s="535"/>
      <c r="AA504" s="558"/>
      <c r="AD504" s="535"/>
      <c r="AE504" s="558"/>
      <c r="AH504" s="535"/>
      <c r="AI504" s="558"/>
      <c r="AL504" s="535"/>
      <c r="AP504" s="535"/>
    </row>
    <row r="505">
      <c r="A505" s="552"/>
      <c r="B505" s="552"/>
      <c r="N505" s="535"/>
      <c r="O505" s="558"/>
      <c r="R505" s="535"/>
      <c r="S505" s="558"/>
      <c r="V505" s="535"/>
      <c r="W505" s="558"/>
      <c r="Z505" s="535"/>
      <c r="AA505" s="558"/>
      <c r="AD505" s="535"/>
      <c r="AE505" s="558"/>
      <c r="AH505" s="535"/>
      <c r="AI505" s="558"/>
      <c r="AL505" s="535"/>
      <c r="AP505" s="535"/>
    </row>
    <row r="506">
      <c r="A506" s="552"/>
      <c r="B506" s="552"/>
      <c r="N506" s="535"/>
      <c r="O506" s="558"/>
      <c r="R506" s="535"/>
      <c r="S506" s="558"/>
      <c r="V506" s="535"/>
      <c r="W506" s="558"/>
      <c r="Z506" s="535"/>
      <c r="AA506" s="558"/>
      <c r="AD506" s="535"/>
      <c r="AE506" s="558"/>
      <c r="AH506" s="535"/>
      <c r="AI506" s="558"/>
      <c r="AL506" s="535"/>
      <c r="AP506" s="535"/>
    </row>
    <row r="507">
      <c r="A507" s="552"/>
      <c r="B507" s="552"/>
      <c r="N507" s="535"/>
      <c r="O507" s="558"/>
      <c r="R507" s="535"/>
      <c r="S507" s="558"/>
      <c r="V507" s="535"/>
      <c r="W507" s="558"/>
      <c r="Z507" s="535"/>
      <c r="AA507" s="558"/>
      <c r="AD507" s="535"/>
      <c r="AE507" s="558"/>
      <c r="AH507" s="535"/>
      <c r="AI507" s="558"/>
      <c r="AL507" s="535"/>
      <c r="AP507" s="535"/>
    </row>
    <row r="508">
      <c r="A508" s="552"/>
      <c r="B508" s="552"/>
      <c r="N508" s="535"/>
      <c r="O508" s="558"/>
      <c r="R508" s="535"/>
      <c r="S508" s="558"/>
      <c r="V508" s="535"/>
      <c r="W508" s="558"/>
      <c r="Z508" s="535"/>
      <c r="AA508" s="558"/>
      <c r="AD508" s="535"/>
      <c r="AE508" s="558"/>
      <c r="AH508" s="535"/>
      <c r="AI508" s="558"/>
      <c r="AL508" s="535"/>
      <c r="AP508" s="535"/>
    </row>
    <row r="509">
      <c r="A509" s="552"/>
      <c r="B509" s="552"/>
      <c r="N509" s="535"/>
      <c r="O509" s="558"/>
      <c r="R509" s="535"/>
      <c r="S509" s="558"/>
      <c r="V509" s="535"/>
      <c r="W509" s="558"/>
      <c r="Z509" s="535"/>
      <c r="AA509" s="558"/>
      <c r="AD509" s="535"/>
      <c r="AE509" s="558"/>
      <c r="AH509" s="535"/>
      <c r="AI509" s="558"/>
      <c r="AL509" s="535"/>
      <c r="AP509" s="535"/>
    </row>
    <row r="510">
      <c r="A510" s="552"/>
      <c r="B510" s="552"/>
      <c r="N510" s="535"/>
      <c r="O510" s="558"/>
      <c r="R510" s="535"/>
      <c r="S510" s="558"/>
      <c r="V510" s="535"/>
      <c r="W510" s="558"/>
      <c r="Z510" s="535"/>
      <c r="AA510" s="558"/>
      <c r="AD510" s="535"/>
      <c r="AE510" s="558"/>
      <c r="AH510" s="535"/>
      <c r="AI510" s="558"/>
      <c r="AL510" s="535"/>
      <c r="AP510" s="535"/>
    </row>
    <row r="511">
      <c r="A511" s="552"/>
      <c r="B511" s="552"/>
      <c r="N511" s="535"/>
      <c r="O511" s="558"/>
      <c r="R511" s="535"/>
      <c r="S511" s="558"/>
      <c r="V511" s="535"/>
      <c r="W511" s="558"/>
      <c r="Z511" s="535"/>
      <c r="AA511" s="558"/>
      <c r="AD511" s="535"/>
      <c r="AE511" s="558"/>
      <c r="AH511" s="535"/>
      <c r="AI511" s="558"/>
      <c r="AL511" s="535"/>
      <c r="AP511" s="535"/>
    </row>
    <row r="512">
      <c r="A512" s="552"/>
      <c r="B512" s="552"/>
      <c r="N512" s="535"/>
      <c r="O512" s="558"/>
      <c r="R512" s="535"/>
      <c r="S512" s="558"/>
      <c r="V512" s="535"/>
      <c r="W512" s="558"/>
      <c r="Z512" s="535"/>
      <c r="AA512" s="558"/>
      <c r="AD512" s="535"/>
      <c r="AE512" s="558"/>
      <c r="AH512" s="535"/>
      <c r="AI512" s="558"/>
      <c r="AL512" s="535"/>
      <c r="AP512" s="535"/>
    </row>
    <row r="513">
      <c r="A513" s="552"/>
      <c r="B513" s="552"/>
      <c r="N513" s="535"/>
      <c r="O513" s="558"/>
      <c r="R513" s="535"/>
      <c r="S513" s="558"/>
      <c r="V513" s="535"/>
      <c r="W513" s="558"/>
      <c r="Z513" s="535"/>
      <c r="AA513" s="558"/>
      <c r="AD513" s="535"/>
      <c r="AE513" s="558"/>
      <c r="AH513" s="535"/>
      <c r="AI513" s="558"/>
      <c r="AL513" s="535"/>
      <c r="AP513" s="535"/>
    </row>
    <row r="514">
      <c r="A514" s="552"/>
      <c r="B514" s="552"/>
      <c r="N514" s="535"/>
      <c r="O514" s="558"/>
      <c r="R514" s="535"/>
      <c r="S514" s="558"/>
      <c r="V514" s="535"/>
      <c r="W514" s="558"/>
      <c r="Z514" s="535"/>
      <c r="AA514" s="558"/>
      <c r="AD514" s="535"/>
      <c r="AE514" s="558"/>
      <c r="AH514" s="535"/>
      <c r="AI514" s="558"/>
      <c r="AL514" s="535"/>
      <c r="AP514" s="535"/>
    </row>
    <row r="515">
      <c r="A515" s="552"/>
      <c r="B515" s="552"/>
      <c r="N515" s="535"/>
      <c r="O515" s="558"/>
      <c r="R515" s="535"/>
      <c r="S515" s="558"/>
      <c r="V515" s="535"/>
      <c r="W515" s="558"/>
      <c r="Z515" s="535"/>
      <c r="AA515" s="558"/>
      <c r="AD515" s="535"/>
      <c r="AE515" s="558"/>
      <c r="AH515" s="535"/>
      <c r="AI515" s="558"/>
      <c r="AL515" s="535"/>
      <c r="AP515" s="535"/>
    </row>
    <row r="516">
      <c r="A516" s="552"/>
      <c r="B516" s="552"/>
      <c r="N516" s="535"/>
      <c r="O516" s="558"/>
      <c r="R516" s="535"/>
      <c r="S516" s="558"/>
      <c r="V516" s="535"/>
      <c r="W516" s="558"/>
      <c r="Z516" s="535"/>
      <c r="AA516" s="558"/>
      <c r="AD516" s="535"/>
      <c r="AE516" s="558"/>
      <c r="AH516" s="535"/>
      <c r="AI516" s="558"/>
      <c r="AL516" s="535"/>
      <c r="AP516" s="535"/>
    </row>
    <row r="517">
      <c r="A517" s="552"/>
      <c r="B517" s="552"/>
      <c r="N517" s="535"/>
      <c r="O517" s="558"/>
      <c r="R517" s="535"/>
      <c r="S517" s="558"/>
      <c r="V517" s="535"/>
      <c r="W517" s="558"/>
      <c r="Z517" s="535"/>
      <c r="AA517" s="558"/>
      <c r="AD517" s="535"/>
      <c r="AE517" s="558"/>
      <c r="AH517" s="535"/>
      <c r="AI517" s="558"/>
      <c r="AL517" s="535"/>
      <c r="AP517" s="535"/>
    </row>
    <row r="518">
      <c r="A518" s="552"/>
      <c r="B518" s="552"/>
      <c r="N518" s="535"/>
      <c r="O518" s="558"/>
      <c r="R518" s="535"/>
      <c r="S518" s="558"/>
      <c r="V518" s="535"/>
      <c r="W518" s="558"/>
      <c r="Z518" s="535"/>
      <c r="AA518" s="558"/>
      <c r="AD518" s="535"/>
      <c r="AE518" s="558"/>
      <c r="AH518" s="535"/>
      <c r="AI518" s="558"/>
      <c r="AL518" s="535"/>
      <c r="AP518" s="535"/>
    </row>
    <row r="519">
      <c r="A519" s="552"/>
      <c r="B519" s="552"/>
      <c r="N519" s="535"/>
      <c r="O519" s="558"/>
      <c r="R519" s="535"/>
      <c r="S519" s="558"/>
      <c r="V519" s="535"/>
      <c r="W519" s="558"/>
      <c r="Z519" s="535"/>
      <c r="AA519" s="558"/>
      <c r="AD519" s="535"/>
      <c r="AE519" s="558"/>
      <c r="AH519" s="535"/>
      <c r="AI519" s="558"/>
      <c r="AL519" s="535"/>
      <c r="AP519" s="535"/>
    </row>
    <row r="520">
      <c r="A520" s="552"/>
      <c r="B520" s="552"/>
      <c r="N520" s="535"/>
      <c r="O520" s="558"/>
      <c r="R520" s="535"/>
      <c r="S520" s="558"/>
      <c r="V520" s="535"/>
      <c r="W520" s="558"/>
      <c r="Z520" s="535"/>
      <c r="AA520" s="558"/>
      <c r="AD520" s="535"/>
      <c r="AE520" s="558"/>
      <c r="AH520" s="535"/>
      <c r="AI520" s="558"/>
      <c r="AL520" s="535"/>
      <c r="AP520" s="535"/>
    </row>
    <row r="521">
      <c r="A521" s="552"/>
      <c r="B521" s="552"/>
      <c r="N521" s="535"/>
      <c r="O521" s="558"/>
      <c r="R521" s="535"/>
      <c r="S521" s="558"/>
      <c r="V521" s="535"/>
      <c r="W521" s="558"/>
      <c r="Z521" s="535"/>
      <c r="AA521" s="558"/>
      <c r="AD521" s="535"/>
      <c r="AE521" s="558"/>
      <c r="AH521" s="535"/>
      <c r="AI521" s="558"/>
      <c r="AL521" s="535"/>
      <c r="AP521" s="535"/>
    </row>
    <row r="522">
      <c r="A522" s="552"/>
      <c r="B522" s="552"/>
      <c r="N522" s="535"/>
      <c r="O522" s="558"/>
      <c r="R522" s="535"/>
      <c r="S522" s="558"/>
      <c r="V522" s="535"/>
      <c r="W522" s="558"/>
      <c r="Z522" s="535"/>
      <c r="AA522" s="558"/>
      <c r="AD522" s="535"/>
      <c r="AE522" s="558"/>
      <c r="AH522" s="535"/>
      <c r="AI522" s="558"/>
      <c r="AL522" s="535"/>
      <c r="AP522" s="535"/>
    </row>
    <row r="523">
      <c r="A523" s="552"/>
      <c r="B523" s="552"/>
      <c r="N523" s="535"/>
      <c r="O523" s="558"/>
      <c r="R523" s="535"/>
      <c r="S523" s="558"/>
      <c r="V523" s="535"/>
      <c r="W523" s="558"/>
      <c r="Z523" s="535"/>
      <c r="AA523" s="558"/>
      <c r="AD523" s="535"/>
      <c r="AE523" s="558"/>
      <c r="AH523" s="535"/>
      <c r="AI523" s="558"/>
      <c r="AL523" s="535"/>
      <c r="AP523" s="535"/>
    </row>
    <row r="524">
      <c r="A524" s="552"/>
      <c r="B524" s="552"/>
      <c r="N524" s="535"/>
      <c r="O524" s="558"/>
      <c r="R524" s="535"/>
      <c r="S524" s="558"/>
      <c r="V524" s="535"/>
      <c r="W524" s="558"/>
      <c r="Z524" s="535"/>
      <c r="AA524" s="558"/>
      <c r="AD524" s="535"/>
      <c r="AE524" s="558"/>
      <c r="AH524" s="535"/>
      <c r="AI524" s="558"/>
      <c r="AL524" s="535"/>
      <c r="AP524" s="535"/>
    </row>
    <row r="525">
      <c r="A525" s="552"/>
      <c r="B525" s="552"/>
      <c r="N525" s="535"/>
      <c r="O525" s="558"/>
      <c r="R525" s="535"/>
      <c r="S525" s="558"/>
      <c r="V525" s="535"/>
      <c r="W525" s="558"/>
      <c r="Z525" s="535"/>
      <c r="AA525" s="558"/>
      <c r="AD525" s="535"/>
      <c r="AE525" s="558"/>
      <c r="AH525" s="535"/>
      <c r="AI525" s="558"/>
      <c r="AL525" s="535"/>
      <c r="AP525" s="535"/>
    </row>
    <row r="526">
      <c r="A526" s="552"/>
      <c r="B526" s="552"/>
      <c r="N526" s="535"/>
      <c r="O526" s="558"/>
      <c r="R526" s="535"/>
      <c r="S526" s="558"/>
      <c r="V526" s="535"/>
      <c r="W526" s="558"/>
      <c r="Z526" s="535"/>
      <c r="AA526" s="558"/>
      <c r="AD526" s="535"/>
      <c r="AE526" s="558"/>
      <c r="AH526" s="535"/>
      <c r="AI526" s="558"/>
      <c r="AL526" s="535"/>
      <c r="AP526" s="535"/>
    </row>
    <row r="527">
      <c r="A527" s="552"/>
      <c r="B527" s="552"/>
      <c r="N527" s="535"/>
      <c r="O527" s="558"/>
      <c r="R527" s="535"/>
      <c r="S527" s="558"/>
      <c r="V527" s="535"/>
      <c r="W527" s="558"/>
      <c r="Z527" s="535"/>
      <c r="AA527" s="558"/>
      <c r="AD527" s="535"/>
      <c r="AE527" s="558"/>
      <c r="AH527" s="535"/>
      <c r="AI527" s="558"/>
      <c r="AL527" s="535"/>
      <c r="AP527" s="535"/>
    </row>
    <row r="528">
      <c r="A528" s="552"/>
      <c r="B528" s="552"/>
      <c r="N528" s="535"/>
      <c r="O528" s="558"/>
      <c r="R528" s="535"/>
      <c r="S528" s="558"/>
      <c r="V528" s="535"/>
      <c r="W528" s="558"/>
      <c r="Z528" s="535"/>
      <c r="AA528" s="558"/>
      <c r="AD528" s="535"/>
      <c r="AE528" s="558"/>
      <c r="AH528" s="535"/>
      <c r="AI528" s="558"/>
      <c r="AL528" s="535"/>
      <c r="AP528" s="535"/>
    </row>
    <row r="529">
      <c r="A529" s="552"/>
      <c r="B529" s="552"/>
      <c r="N529" s="535"/>
      <c r="O529" s="558"/>
      <c r="R529" s="535"/>
      <c r="S529" s="558"/>
      <c r="V529" s="535"/>
      <c r="W529" s="558"/>
      <c r="Z529" s="535"/>
      <c r="AA529" s="558"/>
      <c r="AD529" s="535"/>
      <c r="AE529" s="558"/>
      <c r="AH529" s="535"/>
      <c r="AI529" s="558"/>
      <c r="AL529" s="535"/>
      <c r="AP529" s="535"/>
    </row>
    <row r="530">
      <c r="A530" s="552"/>
      <c r="B530" s="552"/>
      <c r="N530" s="535"/>
      <c r="O530" s="558"/>
      <c r="R530" s="535"/>
      <c r="S530" s="558"/>
      <c r="V530" s="535"/>
      <c r="W530" s="558"/>
      <c r="Z530" s="535"/>
      <c r="AA530" s="558"/>
      <c r="AD530" s="535"/>
      <c r="AE530" s="558"/>
      <c r="AH530" s="535"/>
      <c r="AI530" s="558"/>
      <c r="AL530" s="535"/>
      <c r="AP530" s="535"/>
    </row>
    <row r="531">
      <c r="A531" s="552"/>
      <c r="B531" s="552"/>
      <c r="N531" s="535"/>
      <c r="O531" s="558"/>
      <c r="R531" s="535"/>
      <c r="S531" s="558"/>
      <c r="V531" s="535"/>
      <c r="W531" s="558"/>
      <c r="Z531" s="535"/>
      <c r="AA531" s="558"/>
      <c r="AD531" s="535"/>
      <c r="AE531" s="558"/>
      <c r="AH531" s="535"/>
      <c r="AI531" s="558"/>
      <c r="AL531" s="535"/>
      <c r="AP531" s="535"/>
    </row>
    <row r="532">
      <c r="A532" s="552"/>
      <c r="B532" s="552"/>
      <c r="N532" s="535"/>
      <c r="O532" s="558"/>
      <c r="R532" s="535"/>
      <c r="S532" s="558"/>
      <c r="V532" s="535"/>
      <c r="W532" s="558"/>
      <c r="Z532" s="535"/>
      <c r="AA532" s="558"/>
      <c r="AD532" s="535"/>
      <c r="AE532" s="558"/>
      <c r="AH532" s="535"/>
      <c r="AI532" s="558"/>
      <c r="AL532" s="535"/>
      <c r="AP532" s="535"/>
    </row>
    <row r="533">
      <c r="A533" s="552"/>
      <c r="B533" s="552"/>
      <c r="N533" s="535"/>
      <c r="O533" s="558"/>
      <c r="R533" s="535"/>
      <c r="S533" s="558"/>
      <c r="V533" s="535"/>
      <c r="W533" s="558"/>
      <c r="Z533" s="535"/>
      <c r="AA533" s="558"/>
      <c r="AD533" s="535"/>
      <c r="AE533" s="558"/>
      <c r="AH533" s="535"/>
      <c r="AI533" s="558"/>
      <c r="AL533" s="535"/>
      <c r="AP533" s="535"/>
    </row>
    <row r="534">
      <c r="A534" s="552"/>
      <c r="B534" s="552"/>
      <c r="N534" s="535"/>
      <c r="O534" s="558"/>
      <c r="R534" s="535"/>
      <c r="S534" s="558"/>
      <c r="V534" s="535"/>
      <c r="W534" s="558"/>
      <c r="Z534" s="535"/>
      <c r="AA534" s="558"/>
      <c r="AD534" s="535"/>
      <c r="AE534" s="558"/>
      <c r="AH534" s="535"/>
      <c r="AI534" s="558"/>
      <c r="AL534" s="535"/>
      <c r="AP534" s="535"/>
    </row>
    <row r="535">
      <c r="A535" s="552"/>
      <c r="B535" s="552"/>
      <c r="N535" s="535"/>
      <c r="O535" s="558"/>
      <c r="R535" s="535"/>
      <c r="S535" s="558"/>
      <c r="V535" s="535"/>
      <c r="W535" s="558"/>
      <c r="Z535" s="535"/>
      <c r="AA535" s="558"/>
      <c r="AD535" s="535"/>
      <c r="AE535" s="558"/>
      <c r="AH535" s="535"/>
      <c r="AI535" s="558"/>
      <c r="AL535" s="535"/>
      <c r="AP535" s="535"/>
    </row>
    <row r="536">
      <c r="A536" s="552"/>
      <c r="B536" s="552"/>
      <c r="N536" s="535"/>
      <c r="O536" s="558"/>
      <c r="R536" s="535"/>
      <c r="S536" s="558"/>
      <c r="V536" s="535"/>
      <c r="W536" s="558"/>
      <c r="Z536" s="535"/>
      <c r="AA536" s="558"/>
      <c r="AD536" s="535"/>
      <c r="AE536" s="558"/>
      <c r="AH536" s="535"/>
      <c r="AI536" s="558"/>
      <c r="AL536" s="535"/>
      <c r="AP536" s="535"/>
    </row>
    <row r="537">
      <c r="A537" s="552"/>
      <c r="B537" s="552"/>
      <c r="N537" s="535"/>
      <c r="O537" s="558"/>
      <c r="R537" s="535"/>
      <c r="S537" s="558"/>
      <c r="V537" s="535"/>
      <c r="W537" s="558"/>
      <c r="Z537" s="535"/>
      <c r="AA537" s="558"/>
      <c r="AD537" s="535"/>
      <c r="AE537" s="558"/>
      <c r="AH537" s="535"/>
      <c r="AI537" s="558"/>
      <c r="AL537" s="535"/>
      <c r="AP537" s="535"/>
    </row>
    <row r="538">
      <c r="A538" s="552"/>
      <c r="B538" s="552"/>
      <c r="N538" s="535"/>
      <c r="O538" s="558"/>
      <c r="R538" s="535"/>
      <c r="S538" s="558"/>
      <c r="V538" s="535"/>
      <c r="W538" s="558"/>
      <c r="Z538" s="535"/>
      <c r="AA538" s="558"/>
      <c r="AD538" s="535"/>
      <c r="AE538" s="558"/>
      <c r="AH538" s="535"/>
      <c r="AI538" s="558"/>
      <c r="AL538" s="535"/>
      <c r="AP538" s="535"/>
    </row>
    <row r="539">
      <c r="A539" s="552"/>
      <c r="B539" s="552"/>
      <c r="N539" s="535"/>
      <c r="O539" s="558"/>
      <c r="R539" s="535"/>
      <c r="S539" s="558"/>
      <c r="V539" s="535"/>
      <c r="W539" s="558"/>
      <c r="Z539" s="535"/>
      <c r="AA539" s="558"/>
      <c r="AD539" s="535"/>
      <c r="AE539" s="558"/>
      <c r="AH539" s="535"/>
      <c r="AI539" s="558"/>
      <c r="AL539" s="535"/>
      <c r="AP539" s="535"/>
    </row>
    <row r="540">
      <c r="A540" s="552"/>
      <c r="B540" s="552"/>
      <c r="N540" s="535"/>
      <c r="O540" s="558"/>
      <c r="R540" s="535"/>
      <c r="S540" s="558"/>
      <c r="V540" s="535"/>
      <c r="W540" s="558"/>
      <c r="Z540" s="535"/>
      <c r="AA540" s="558"/>
      <c r="AD540" s="535"/>
      <c r="AE540" s="558"/>
      <c r="AH540" s="535"/>
      <c r="AI540" s="558"/>
      <c r="AL540" s="535"/>
      <c r="AP540" s="535"/>
    </row>
    <row r="541">
      <c r="A541" s="552"/>
      <c r="B541" s="552"/>
      <c r="N541" s="535"/>
      <c r="O541" s="558"/>
      <c r="R541" s="535"/>
      <c r="S541" s="558"/>
      <c r="V541" s="535"/>
      <c r="W541" s="558"/>
      <c r="Z541" s="535"/>
      <c r="AA541" s="558"/>
      <c r="AD541" s="535"/>
      <c r="AE541" s="558"/>
      <c r="AH541" s="535"/>
      <c r="AI541" s="558"/>
      <c r="AL541" s="535"/>
      <c r="AP541" s="535"/>
    </row>
    <row r="542">
      <c r="A542" s="552"/>
      <c r="B542" s="552"/>
      <c r="N542" s="535"/>
      <c r="O542" s="558"/>
      <c r="R542" s="535"/>
      <c r="S542" s="558"/>
      <c r="V542" s="535"/>
      <c r="W542" s="558"/>
      <c r="Z542" s="535"/>
      <c r="AA542" s="558"/>
      <c r="AD542" s="535"/>
      <c r="AE542" s="558"/>
      <c r="AH542" s="535"/>
      <c r="AI542" s="558"/>
      <c r="AL542" s="535"/>
      <c r="AP542" s="535"/>
    </row>
    <row r="543">
      <c r="A543" s="552"/>
      <c r="B543" s="552"/>
      <c r="N543" s="535"/>
      <c r="O543" s="558"/>
      <c r="R543" s="535"/>
      <c r="S543" s="558"/>
      <c r="V543" s="535"/>
      <c r="W543" s="558"/>
      <c r="Z543" s="535"/>
      <c r="AA543" s="558"/>
      <c r="AD543" s="535"/>
      <c r="AE543" s="558"/>
      <c r="AH543" s="535"/>
      <c r="AI543" s="558"/>
      <c r="AL543" s="535"/>
      <c r="AP543" s="535"/>
    </row>
    <row r="544">
      <c r="A544" s="552"/>
      <c r="B544" s="552"/>
      <c r="N544" s="535"/>
      <c r="O544" s="558"/>
      <c r="R544" s="535"/>
      <c r="S544" s="558"/>
      <c r="V544" s="535"/>
      <c r="W544" s="558"/>
      <c r="Z544" s="535"/>
      <c r="AA544" s="558"/>
      <c r="AD544" s="535"/>
      <c r="AE544" s="558"/>
      <c r="AH544" s="535"/>
      <c r="AI544" s="558"/>
      <c r="AL544" s="535"/>
      <c r="AP544" s="535"/>
    </row>
    <row r="545">
      <c r="A545" s="552"/>
      <c r="B545" s="552"/>
      <c r="N545" s="535"/>
      <c r="O545" s="558"/>
      <c r="R545" s="535"/>
      <c r="S545" s="558"/>
      <c r="V545" s="535"/>
      <c r="W545" s="558"/>
      <c r="Z545" s="535"/>
      <c r="AA545" s="558"/>
      <c r="AD545" s="535"/>
      <c r="AE545" s="558"/>
      <c r="AH545" s="535"/>
      <c r="AI545" s="558"/>
      <c r="AL545" s="535"/>
      <c r="AP545" s="535"/>
    </row>
    <row r="546">
      <c r="A546" s="552"/>
      <c r="B546" s="552"/>
      <c r="N546" s="535"/>
      <c r="O546" s="558"/>
      <c r="R546" s="535"/>
      <c r="S546" s="558"/>
      <c r="V546" s="535"/>
      <c r="W546" s="558"/>
      <c r="Z546" s="535"/>
      <c r="AA546" s="558"/>
      <c r="AD546" s="535"/>
      <c r="AE546" s="558"/>
      <c r="AH546" s="535"/>
      <c r="AI546" s="558"/>
      <c r="AL546" s="535"/>
      <c r="AP546" s="535"/>
    </row>
    <row r="547">
      <c r="A547" s="552"/>
      <c r="B547" s="552"/>
      <c r="N547" s="535"/>
      <c r="O547" s="558"/>
      <c r="R547" s="535"/>
      <c r="S547" s="558"/>
      <c r="V547" s="535"/>
      <c r="W547" s="558"/>
      <c r="Z547" s="535"/>
      <c r="AA547" s="558"/>
      <c r="AD547" s="535"/>
      <c r="AE547" s="558"/>
      <c r="AH547" s="535"/>
      <c r="AI547" s="558"/>
      <c r="AL547" s="535"/>
      <c r="AP547" s="535"/>
    </row>
    <row r="548">
      <c r="A548" s="552"/>
      <c r="B548" s="552"/>
      <c r="N548" s="535"/>
      <c r="O548" s="558"/>
      <c r="R548" s="535"/>
      <c r="S548" s="558"/>
      <c r="V548" s="535"/>
      <c r="W548" s="558"/>
      <c r="Z548" s="535"/>
      <c r="AA548" s="558"/>
      <c r="AD548" s="535"/>
      <c r="AE548" s="558"/>
      <c r="AH548" s="535"/>
      <c r="AI548" s="558"/>
      <c r="AL548" s="535"/>
      <c r="AP548" s="535"/>
    </row>
    <row r="549">
      <c r="A549" s="552"/>
      <c r="B549" s="552"/>
      <c r="N549" s="535"/>
      <c r="O549" s="558"/>
      <c r="R549" s="535"/>
      <c r="S549" s="558"/>
      <c r="V549" s="535"/>
      <c r="W549" s="558"/>
      <c r="Z549" s="535"/>
      <c r="AA549" s="558"/>
      <c r="AD549" s="535"/>
      <c r="AE549" s="558"/>
      <c r="AH549" s="535"/>
      <c r="AI549" s="558"/>
      <c r="AL549" s="535"/>
      <c r="AP549" s="535"/>
    </row>
    <row r="550">
      <c r="A550" s="552"/>
      <c r="B550" s="552"/>
      <c r="N550" s="535"/>
      <c r="O550" s="558"/>
      <c r="R550" s="535"/>
      <c r="S550" s="558"/>
      <c r="V550" s="535"/>
      <c r="W550" s="558"/>
      <c r="Z550" s="535"/>
      <c r="AA550" s="558"/>
      <c r="AD550" s="535"/>
      <c r="AE550" s="558"/>
      <c r="AH550" s="535"/>
      <c r="AI550" s="558"/>
      <c r="AL550" s="535"/>
      <c r="AP550" s="535"/>
    </row>
    <row r="551">
      <c r="A551" s="552"/>
      <c r="B551" s="552"/>
      <c r="N551" s="535"/>
      <c r="O551" s="558"/>
      <c r="R551" s="535"/>
      <c r="S551" s="558"/>
      <c r="V551" s="535"/>
      <c r="W551" s="558"/>
      <c r="Z551" s="535"/>
      <c r="AA551" s="558"/>
      <c r="AD551" s="535"/>
      <c r="AE551" s="558"/>
      <c r="AH551" s="535"/>
      <c r="AI551" s="558"/>
      <c r="AL551" s="535"/>
      <c r="AP551" s="535"/>
    </row>
    <row r="552">
      <c r="A552" s="552"/>
      <c r="B552" s="552"/>
      <c r="N552" s="535"/>
      <c r="O552" s="558"/>
      <c r="R552" s="535"/>
      <c r="S552" s="558"/>
      <c r="V552" s="535"/>
      <c r="W552" s="558"/>
      <c r="Z552" s="535"/>
      <c r="AA552" s="558"/>
      <c r="AD552" s="535"/>
      <c r="AE552" s="558"/>
      <c r="AH552" s="535"/>
      <c r="AI552" s="558"/>
      <c r="AL552" s="535"/>
      <c r="AP552" s="535"/>
    </row>
    <row r="553">
      <c r="A553" s="552"/>
      <c r="B553" s="552"/>
      <c r="N553" s="535"/>
      <c r="O553" s="558"/>
      <c r="R553" s="535"/>
      <c r="S553" s="558"/>
      <c r="V553" s="535"/>
      <c r="W553" s="558"/>
      <c r="Z553" s="535"/>
      <c r="AA553" s="558"/>
      <c r="AD553" s="535"/>
      <c r="AE553" s="558"/>
      <c r="AH553" s="535"/>
      <c r="AI553" s="558"/>
      <c r="AL553" s="535"/>
      <c r="AP553" s="535"/>
    </row>
    <row r="554">
      <c r="A554" s="552"/>
      <c r="B554" s="552"/>
      <c r="N554" s="535"/>
      <c r="O554" s="558"/>
      <c r="R554" s="535"/>
      <c r="S554" s="558"/>
      <c r="V554" s="535"/>
      <c r="W554" s="558"/>
      <c r="Z554" s="535"/>
      <c r="AA554" s="558"/>
      <c r="AD554" s="535"/>
      <c r="AE554" s="558"/>
      <c r="AH554" s="535"/>
      <c r="AI554" s="558"/>
      <c r="AL554" s="535"/>
      <c r="AP554" s="535"/>
    </row>
    <row r="555">
      <c r="A555" s="552"/>
      <c r="B555" s="552"/>
      <c r="N555" s="535"/>
      <c r="O555" s="558"/>
      <c r="R555" s="535"/>
      <c r="S555" s="558"/>
      <c r="V555" s="535"/>
      <c r="W555" s="558"/>
      <c r="Z555" s="535"/>
      <c r="AA555" s="558"/>
      <c r="AD555" s="535"/>
      <c r="AE555" s="558"/>
      <c r="AH555" s="535"/>
      <c r="AI555" s="558"/>
      <c r="AL555" s="535"/>
      <c r="AP555" s="535"/>
    </row>
    <row r="556">
      <c r="A556" s="552"/>
      <c r="B556" s="552"/>
      <c r="N556" s="535"/>
      <c r="O556" s="558"/>
      <c r="R556" s="535"/>
      <c r="S556" s="558"/>
      <c r="V556" s="535"/>
      <c r="W556" s="558"/>
      <c r="Z556" s="535"/>
      <c r="AA556" s="558"/>
      <c r="AD556" s="535"/>
      <c r="AE556" s="558"/>
      <c r="AH556" s="535"/>
      <c r="AI556" s="558"/>
      <c r="AL556" s="535"/>
      <c r="AP556" s="535"/>
    </row>
    <row r="557">
      <c r="A557" s="552"/>
      <c r="B557" s="552"/>
      <c r="N557" s="535"/>
      <c r="O557" s="558"/>
      <c r="R557" s="535"/>
      <c r="S557" s="558"/>
      <c r="V557" s="535"/>
      <c r="W557" s="558"/>
      <c r="Z557" s="535"/>
      <c r="AA557" s="558"/>
      <c r="AD557" s="535"/>
      <c r="AE557" s="558"/>
      <c r="AH557" s="535"/>
      <c r="AI557" s="558"/>
      <c r="AL557" s="535"/>
      <c r="AP557" s="535"/>
    </row>
    <row r="558">
      <c r="A558" s="552"/>
      <c r="B558" s="552"/>
      <c r="N558" s="535"/>
      <c r="O558" s="558"/>
      <c r="R558" s="535"/>
      <c r="S558" s="558"/>
      <c r="V558" s="535"/>
      <c r="W558" s="558"/>
      <c r="Z558" s="535"/>
      <c r="AA558" s="558"/>
      <c r="AD558" s="535"/>
      <c r="AE558" s="558"/>
      <c r="AH558" s="535"/>
      <c r="AI558" s="558"/>
      <c r="AL558" s="535"/>
      <c r="AP558" s="535"/>
    </row>
    <row r="559">
      <c r="A559" s="552"/>
      <c r="B559" s="552"/>
      <c r="N559" s="535"/>
      <c r="O559" s="558"/>
      <c r="R559" s="535"/>
      <c r="S559" s="558"/>
      <c r="V559" s="535"/>
      <c r="W559" s="558"/>
      <c r="Z559" s="535"/>
      <c r="AA559" s="558"/>
      <c r="AD559" s="535"/>
      <c r="AE559" s="558"/>
      <c r="AH559" s="535"/>
      <c r="AI559" s="558"/>
      <c r="AL559" s="535"/>
      <c r="AP559" s="535"/>
    </row>
    <row r="560">
      <c r="A560" s="552"/>
      <c r="B560" s="552"/>
      <c r="N560" s="535"/>
      <c r="O560" s="558"/>
      <c r="R560" s="535"/>
      <c r="S560" s="558"/>
      <c r="V560" s="535"/>
      <c r="W560" s="558"/>
      <c r="Z560" s="535"/>
      <c r="AA560" s="558"/>
      <c r="AD560" s="535"/>
      <c r="AE560" s="558"/>
      <c r="AH560" s="535"/>
      <c r="AI560" s="558"/>
      <c r="AL560" s="535"/>
      <c r="AP560" s="535"/>
    </row>
    <row r="561">
      <c r="A561" s="552"/>
      <c r="B561" s="552"/>
      <c r="N561" s="535"/>
      <c r="O561" s="558"/>
      <c r="R561" s="535"/>
      <c r="S561" s="558"/>
      <c r="V561" s="535"/>
      <c r="W561" s="558"/>
      <c r="Z561" s="535"/>
      <c r="AA561" s="558"/>
      <c r="AD561" s="535"/>
      <c r="AE561" s="558"/>
      <c r="AH561" s="535"/>
      <c r="AI561" s="558"/>
      <c r="AL561" s="535"/>
      <c r="AP561" s="535"/>
    </row>
    <row r="562">
      <c r="A562" s="552"/>
      <c r="B562" s="552"/>
      <c r="N562" s="535"/>
      <c r="O562" s="558"/>
      <c r="R562" s="535"/>
      <c r="S562" s="558"/>
      <c r="V562" s="535"/>
      <c r="W562" s="558"/>
      <c r="Z562" s="535"/>
      <c r="AA562" s="558"/>
      <c r="AD562" s="535"/>
      <c r="AE562" s="558"/>
      <c r="AH562" s="535"/>
      <c r="AI562" s="558"/>
      <c r="AL562" s="535"/>
      <c r="AP562" s="535"/>
    </row>
    <row r="563">
      <c r="A563" s="552"/>
      <c r="B563" s="552"/>
      <c r="N563" s="535"/>
      <c r="O563" s="558"/>
      <c r="R563" s="535"/>
      <c r="S563" s="558"/>
      <c r="V563" s="535"/>
      <c r="W563" s="558"/>
      <c r="Z563" s="535"/>
      <c r="AA563" s="558"/>
      <c r="AD563" s="535"/>
      <c r="AE563" s="558"/>
      <c r="AH563" s="535"/>
      <c r="AI563" s="558"/>
      <c r="AL563" s="535"/>
      <c r="AP563" s="535"/>
    </row>
    <row r="564">
      <c r="A564" s="552"/>
      <c r="B564" s="552"/>
      <c r="N564" s="535"/>
      <c r="O564" s="558"/>
      <c r="R564" s="535"/>
      <c r="S564" s="558"/>
      <c r="V564" s="535"/>
      <c r="W564" s="558"/>
      <c r="Z564" s="535"/>
      <c r="AA564" s="558"/>
      <c r="AD564" s="535"/>
      <c r="AE564" s="558"/>
      <c r="AH564" s="535"/>
      <c r="AI564" s="558"/>
      <c r="AL564" s="535"/>
      <c r="AP564" s="535"/>
    </row>
    <row r="565">
      <c r="A565" s="552"/>
      <c r="B565" s="552"/>
      <c r="N565" s="535"/>
      <c r="O565" s="558"/>
      <c r="R565" s="535"/>
      <c r="S565" s="558"/>
      <c r="V565" s="535"/>
      <c r="W565" s="558"/>
      <c r="Z565" s="535"/>
      <c r="AA565" s="558"/>
      <c r="AD565" s="535"/>
      <c r="AE565" s="558"/>
      <c r="AH565" s="535"/>
      <c r="AI565" s="558"/>
      <c r="AL565" s="535"/>
      <c r="AP565" s="535"/>
    </row>
    <row r="566">
      <c r="A566" s="552"/>
      <c r="B566" s="552"/>
      <c r="N566" s="535"/>
      <c r="O566" s="558"/>
      <c r="R566" s="535"/>
      <c r="S566" s="558"/>
      <c r="V566" s="535"/>
      <c r="W566" s="558"/>
      <c r="Z566" s="535"/>
      <c r="AA566" s="558"/>
      <c r="AD566" s="535"/>
      <c r="AE566" s="558"/>
      <c r="AH566" s="535"/>
      <c r="AI566" s="558"/>
      <c r="AL566" s="535"/>
      <c r="AP566" s="535"/>
    </row>
    <row r="567">
      <c r="A567" s="552"/>
      <c r="B567" s="552"/>
      <c r="N567" s="535"/>
      <c r="O567" s="558"/>
      <c r="R567" s="535"/>
      <c r="S567" s="558"/>
      <c r="V567" s="535"/>
      <c r="W567" s="558"/>
      <c r="Z567" s="535"/>
      <c r="AA567" s="558"/>
      <c r="AD567" s="535"/>
      <c r="AE567" s="558"/>
      <c r="AH567" s="535"/>
      <c r="AI567" s="558"/>
      <c r="AL567" s="535"/>
      <c r="AP567" s="535"/>
    </row>
    <row r="568">
      <c r="A568" s="552"/>
      <c r="B568" s="552"/>
      <c r="N568" s="535"/>
      <c r="O568" s="558"/>
      <c r="R568" s="535"/>
      <c r="S568" s="558"/>
      <c r="V568" s="535"/>
      <c r="W568" s="558"/>
      <c r="Z568" s="535"/>
      <c r="AA568" s="558"/>
      <c r="AD568" s="535"/>
      <c r="AE568" s="558"/>
      <c r="AH568" s="535"/>
      <c r="AI568" s="558"/>
      <c r="AL568" s="535"/>
      <c r="AP568" s="535"/>
    </row>
    <row r="569">
      <c r="A569" s="552"/>
      <c r="B569" s="552"/>
      <c r="N569" s="535"/>
      <c r="O569" s="558"/>
      <c r="R569" s="535"/>
      <c r="S569" s="558"/>
      <c r="V569" s="535"/>
      <c r="W569" s="558"/>
      <c r="Z569" s="535"/>
      <c r="AA569" s="558"/>
      <c r="AD569" s="535"/>
      <c r="AE569" s="558"/>
      <c r="AH569" s="535"/>
      <c r="AI569" s="558"/>
      <c r="AL569" s="535"/>
      <c r="AP569" s="535"/>
    </row>
    <row r="570">
      <c r="A570" s="552"/>
      <c r="B570" s="552"/>
      <c r="N570" s="535"/>
      <c r="O570" s="558"/>
      <c r="R570" s="535"/>
      <c r="S570" s="558"/>
      <c r="V570" s="535"/>
      <c r="W570" s="558"/>
      <c r="Z570" s="535"/>
      <c r="AA570" s="558"/>
      <c r="AD570" s="535"/>
      <c r="AE570" s="558"/>
      <c r="AH570" s="535"/>
      <c r="AI570" s="558"/>
      <c r="AL570" s="535"/>
      <c r="AP570" s="535"/>
    </row>
    <row r="571">
      <c r="A571" s="552"/>
      <c r="B571" s="552"/>
      <c r="N571" s="535"/>
      <c r="O571" s="558"/>
      <c r="R571" s="535"/>
      <c r="S571" s="558"/>
      <c r="V571" s="535"/>
      <c r="W571" s="558"/>
      <c r="Z571" s="535"/>
      <c r="AA571" s="558"/>
      <c r="AD571" s="535"/>
      <c r="AE571" s="558"/>
      <c r="AH571" s="535"/>
      <c r="AI571" s="558"/>
      <c r="AL571" s="535"/>
      <c r="AP571" s="535"/>
    </row>
    <row r="572">
      <c r="A572" s="552"/>
      <c r="B572" s="552"/>
      <c r="N572" s="535"/>
      <c r="O572" s="558"/>
      <c r="R572" s="535"/>
      <c r="S572" s="558"/>
      <c r="V572" s="535"/>
      <c r="W572" s="558"/>
      <c r="Z572" s="535"/>
      <c r="AA572" s="558"/>
      <c r="AD572" s="535"/>
      <c r="AE572" s="558"/>
      <c r="AH572" s="535"/>
      <c r="AI572" s="558"/>
      <c r="AL572" s="535"/>
      <c r="AP572" s="535"/>
    </row>
    <row r="573">
      <c r="A573" s="552"/>
      <c r="B573" s="552"/>
      <c r="N573" s="535"/>
      <c r="O573" s="558"/>
      <c r="R573" s="535"/>
      <c r="S573" s="558"/>
      <c r="V573" s="535"/>
      <c r="W573" s="558"/>
      <c r="Z573" s="535"/>
      <c r="AA573" s="558"/>
      <c r="AD573" s="535"/>
      <c r="AE573" s="558"/>
      <c r="AH573" s="535"/>
      <c r="AI573" s="558"/>
      <c r="AL573" s="535"/>
      <c r="AP573" s="535"/>
    </row>
    <row r="574">
      <c r="A574" s="552"/>
      <c r="B574" s="552"/>
      <c r="N574" s="535"/>
      <c r="O574" s="558"/>
      <c r="R574" s="535"/>
      <c r="S574" s="558"/>
      <c r="V574" s="535"/>
      <c r="W574" s="558"/>
      <c r="Z574" s="535"/>
      <c r="AA574" s="558"/>
      <c r="AD574" s="535"/>
      <c r="AE574" s="558"/>
      <c r="AH574" s="535"/>
      <c r="AI574" s="558"/>
      <c r="AL574" s="535"/>
      <c r="AP574" s="535"/>
    </row>
    <row r="575">
      <c r="A575" s="552"/>
      <c r="B575" s="552"/>
      <c r="N575" s="535"/>
      <c r="O575" s="558"/>
      <c r="R575" s="535"/>
      <c r="S575" s="558"/>
      <c r="V575" s="535"/>
      <c r="W575" s="558"/>
      <c r="Z575" s="535"/>
      <c r="AA575" s="558"/>
      <c r="AD575" s="535"/>
      <c r="AE575" s="558"/>
      <c r="AH575" s="535"/>
      <c r="AI575" s="558"/>
      <c r="AL575" s="535"/>
      <c r="AP575" s="535"/>
    </row>
    <row r="576">
      <c r="A576" s="552"/>
      <c r="B576" s="552"/>
      <c r="N576" s="535"/>
      <c r="O576" s="558"/>
      <c r="R576" s="535"/>
      <c r="S576" s="558"/>
      <c r="V576" s="535"/>
      <c r="W576" s="558"/>
      <c r="Z576" s="535"/>
      <c r="AA576" s="558"/>
      <c r="AD576" s="535"/>
      <c r="AE576" s="558"/>
      <c r="AH576" s="535"/>
      <c r="AI576" s="558"/>
      <c r="AL576" s="535"/>
      <c r="AP576" s="535"/>
    </row>
    <row r="577">
      <c r="A577" s="552"/>
      <c r="B577" s="552"/>
      <c r="N577" s="535"/>
      <c r="O577" s="558"/>
      <c r="R577" s="535"/>
      <c r="S577" s="558"/>
      <c r="V577" s="535"/>
      <c r="W577" s="558"/>
      <c r="Z577" s="535"/>
      <c r="AA577" s="558"/>
      <c r="AD577" s="535"/>
      <c r="AE577" s="558"/>
      <c r="AH577" s="535"/>
      <c r="AI577" s="558"/>
      <c r="AL577" s="535"/>
      <c r="AP577" s="535"/>
    </row>
    <row r="578">
      <c r="A578" s="552"/>
      <c r="B578" s="552"/>
      <c r="N578" s="535"/>
      <c r="O578" s="558"/>
      <c r="R578" s="535"/>
      <c r="S578" s="558"/>
      <c r="V578" s="535"/>
      <c r="W578" s="558"/>
      <c r="Z578" s="535"/>
      <c r="AA578" s="558"/>
      <c r="AD578" s="535"/>
      <c r="AE578" s="558"/>
      <c r="AH578" s="535"/>
      <c r="AI578" s="558"/>
      <c r="AL578" s="535"/>
      <c r="AP578" s="535"/>
    </row>
    <row r="579">
      <c r="A579" s="552"/>
      <c r="B579" s="552"/>
      <c r="N579" s="535"/>
      <c r="O579" s="558"/>
      <c r="R579" s="535"/>
      <c r="S579" s="558"/>
      <c r="V579" s="535"/>
      <c r="W579" s="558"/>
      <c r="Z579" s="535"/>
      <c r="AA579" s="558"/>
      <c r="AD579" s="535"/>
      <c r="AE579" s="558"/>
      <c r="AH579" s="535"/>
      <c r="AI579" s="558"/>
      <c r="AL579" s="535"/>
      <c r="AP579" s="535"/>
    </row>
    <row r="580">
      <c r="A580" s="552"/>
      <c r="B580" s="552"/>
      <c r="N580" s="535"/>
      <c r="O580" s="558"/>
      <c r="R580" s="535"/>
      <c r="S580" s="558"/>
      <c r="V580" s="535"/>
      <c r="W580" s="558"/>
      <c r="Z580" s="535"/>
      <c r="AA580" s="558"/>
      <c r="AD580" s="535"/>
      <c r="AE580" s="558"/>
      <c r="AH580" s="535"/>
      <c r="AI580" s="558"/>
      <c r="AL580" s="535"/>
      <c r="AP580" s="535"/>
    </row>
    <row r="581">
      <c r="A581" s="552"/>
      <c r="B581" s="552"/>
      <c r="N581" s="535"/>
      <c r="O581" s="558"/>
      <c r="R581" s="535"/>
      <c r="S581" s="558"/>
      <c r="V581" s="535"/>
      <c r="W581" s="558"/>
      <c r="Z581" s="535"/>
      <c r="AA581" s="558"/>
      <c r="AD581" s="535"/>
      <c r="AE581" s="558"/>
      <c r="AH581" s="535"/>
      <c r="AI581" s="558"/>
      <c r="AL581" s="535"/>
      <c r="AP581" s="535"/>
    </row>
    <row r="582">
      <c r="A582" s="552"/>
      <c r="B582" s="552"/>
      <c r="N582" s="535"/>
      <c r="O582" s="558"/>
      <c r="R582" s="535"/>
      <c r="S582" s="558"/>
      <c r="V582" s="535"/>
      <c r="W582" s="558"/>
      <c r="Z582" s="535"/>
      <c r="AA582" s="558"/>
      <c r="AD582" s="535"/>
      <c r="AE582" s="558"/>
      <c r="AH582" s="535"/>
      <c r="AI582" s="558"/>
      <c r="AL582" s="535"/>
      <c r="AP582" s="535"/>
    </row>
    <row r="583">
      <c r="A583" s="552"/>
      <c r="B583" s="552"/>
      <c r="N583" s="535"/>
      <c r="O583" s="558"/>
      <c r="R583" s="535"/>
      <c r="S583" s="558"/>
      <c r="V583" s="535"/>
      <c r="W583" s="558"/>
      <c r="Z583" s="535"/>
      <c r="AA583" s="558"/>
      <c r="AD583" s="535"/>
      <c r="AE583" s="558"/>
      <c r="AH583" s="535"/>
      <c r="AI583" s="558"/>
      <c r="AL583" s="535"/>
      <c r="AP583" s="535"/>
    </row>
    <row r="584">
      <c r="A584" s="552"/>
      <c r="B584" s="552"/>
      <c r="N584" s="535"/>
      <c r="O584" s="558"/>
      <c r="R584" s="535"/>
      <c r="S584" s="558"/>
      <c r="V584" s="535"/>
      <c r="W584" s="558"/>
      <c r="Z584" s="535"/>
      <c r="AA584" s="558"/>
      <c r="AD584" s="535"/>
      <c r="AE584" s="558"/>
      <c r="AH584" s="535"/>
      <c r="AI584" s="558"/>
      <c r="AL584" s="535"/>
      <c r="AP584" s="535"/>
    </row>
    <row r="585">
      <c r="A585" s="552"/>
      <c r="B585" s="552"/>
      <c r="N585" s="535"/>
      <c r="O585" s="558"/>
      <c r="R585" s="535"/>
      <c r="S585" s="558"/>
      <c r="V585" s="535"/>
      <c r="W585" s="558"/>
      <c r="Z585" s="535"/>
      <c r="AA585" s="558"/>
      <c r="AD585" s="535"/>
      <c r="AE585" s="558"/>
      <c r="AH585" s="535"/>
      <c r="AI585" s="558"/>
      <c r="AL585" s="535"/>
      <c r="AP585" s="535"/>
    </row>
    <row r="586">
      <c r="A586" s="552"/>
      <c r="B586" s="552"/>
      <c r="N586" s="535"/>
      <c r="O586" s="558"/>
      <c r="R586" s="535"/>
      <c r="S586" s="558"/>
      <c r="V586" s="535"/>
      <c r="W586" s="558"/>
      <c r="Z586" s="535"/>
      <c r="AA586" s="558"/>
      <c r="AD586" s="535"/>
      <c r="AE586" s="558"/>
      <c r="AH586" s="535"/>
      <c r="AI586" s="558"/>
      <c r="AL586" s="535"/>
      <c r="AP586" s="535"/>
    </row>
    <row r="587">
      <c r="A587" s="552"/>
      <c r="B587" s="552"/>
      <c r="N587" s="535"/>
      <c r="O587" s="558"/>
      <c r="R587" s="535"/>
      <c r="S587" s="558"/>
      <c r="V587" s="535"/>
      <c r="W587" s="558"/>
      <c r="Z587" s="535"/>
      <c r="AA587" s="558"/>
      <c r="AD587" s="535"/>
      <c r="AE587" s="558"/>
      <c r="AH587" s="535"/>
      <c r="AI587" s="558"/>
      <c r="AL587" s="535"/>
      <c r="AP587" s="535"/>
    </row>
    <row r="588">
      <c r="A588" s="552"/>
      <c r="B588" s="552"/>
      <c r="N588" s="535"/>
      <c r="O588" s="558"/>
      <c r="R588" s="535"/>
      <c r="S588" s="558"/>
      <c r="V588" s="535"/>
      <c r="W588" s="558"/>
      <c r="Z588" s="535"/>
      <c r="AA588" s="558"/>
      <c r="AD588" s="535"/>
      <c r="AE588" s="558"/>
      <c r="AH588" s="535"/>
      <c r="AI588" s="558"/>
      <c r="AL588" s="535"/>
      <c r="AP588" s="535"/>
    </row>
    <row r="589">
      <c r="A589" s="552"/>
      <c r="B589" s="552"/>
      <c r="N589" s="535"/>
      <c r="O589" s="558"/>
      <c r="R589" s="535"/>
      <c r="S589" s="558"/>
      <c r="V589" s="535"/>
      <c r="W589" s="558"/>
      <c r="Z589" s="535"/>
      <c r="AA589" s="558"/>
      <c r="AD589" s="535"/>
      <c r="AE589" s="558"/>
      <c r="AH589" s="535"/>
      <c r="AI589" s="558"/>
      <c r="AL589" s="535"/>
      <c r="AP589" s="535"/>
    </row>
    <row r="590">
      <c r="A590" s="552"/>
      <c r="B590" s="552"/>
      <c r="N590" s="535"/>
      <c r="O590" s="558"/>
      <c r="R590" s="535"/>
      <c r="S590" s="558"/>
      <c r="V590" s="535"/>
      <c r="W590" s="558"/>
      <c r="Z590" s="535"/>
      <c r="AA590" s="558"/>
      <c r="AD590" s="535"/>
      <c r="AE590" s="558"/>
      <c r="AH590" s="535"/>
      <c r="AI590" s="558"/>
      <c r="AL590" s="535"/>
      <c r="AP590" s="535"/>
    </row>
    <row r="591">
      <c r="A591" s="552"/>
      <c r="B591" s="552"/>
      <c r="N591" s="535"/>
      <c r="O591" s="558"/>
      <c r="R591" s="535"/>
      <c r="S591" s="558"/>
      <c r="V591" s="535"/>
      <c r="W591" s="558"/>
      <c r="Z591" s="535"/>
      <c r="AA591" s="558"/>
      <c r="AD591" s="535"/>
      <c r="AE591" s="558"/>
      <c r="AH591" s="535"/>
      <c r="AI591" s="558"/>
      <c r="AL591" s="535"/>
      <c r="AP591" s="535"/>
    </row>
    <row r="592">
      <c r="A592" s="552"/>
      <c r="B592" s="552"/>
      <c r="N592" s="535"/>
      <c r="O592" s="558"/>
      <c r="R592" s="535"/>
      <c r="S592" s="558"/>
      <c r="V592" s="535"/>
      <c r="W592" s="558"/>
      <c r="Z592" s="535"/>
      <c r="AA592" s="558"/>
      <c r="AD592" s="535"/>
      <c r="AE592" s="558"/>
      <c r="AH592" s="535"/>
      <c r="AI592" s="558"/>
      <c r="AL592" s="535"/>
      <c r="AP592" s="535"/>
    </row>
    <row r="593">
      <c r="A593" s="552"/>
      <c r="B593" s="552"/>
      <c r="N593" s="535"/>
      <c r="O593" s="558"/>
      <c r="R593" s="535"/>
      <c r="S593" s="558"/>
      <c r="V593" s="535"/>
      <c r="W593" s="558"/>
      <c r="Z593" s="535"/>
      <c r="AA593" s="558"/>
      <c r="AD593" s="535"/>
      <c r="AE593" s="558"/>
      <c r="AH593" s="535"/>
      <c r="AI593" s="558"/>
      <c r="AL593" s="535"/>
      <c r="AP593" s="535"/>
    </row>
    <row r="594">
      <c r="A594" s="552"/>
      <c r="B594" s="552"/>
      <c r="N594" s="535"/>
      <c r="O594" s="558"/>
      <c r="R594" s="535"/>
      <c r="S594" s="558"/>
      <c r="V594" s="535"/>
      <c r="W594" s="558"/>
      <c r="Z594" s="535"/>
      <c r="AA594" s="558"/>
      <c r="AD594" s="535"/>
      <c r="AE594" s="558"/>
      <c r="AH594" s="535"/>
      <c r="AI594" s="558"/>
      <c r="AL594" s="535"/>
      <c r="AP594" s="535"/>
    </row>
    <row r="595">
      <c r="A595" s="552"/>
      <c r="B595" s="552"/>
      <c r="N595" s="535"/>
      <c r="O595" s="558"/>
      <c r="R595" s="535"/>
      <c r="S595" s="558"/>
      <c r="V595" s="535"/>
      <c r="W595" s="558"/>
      <c r="Z595" s="535"/>
      <c r="AA595" s="558"/>
      <c r="AD595" s="535"/>
      <c r="AE595" s="558"/>
      <c r="AH595" s="535"/>
      <c r="AI595" s="558"/>
      <c r="AL595" s="535"/>
      <c r="AP595" s="535"/>
    </row>
    <row r="596">
      <c r="A596" s="552"/>
      <c r="B596" s="552"/>
      <c r="N596" s="535"/>
      <c r="O596" s="558"/>
      <c r="R596" s="535"/>
      <c r="S596" s="558"/>
      <c r="V596" s="535"/>
      <c r="W596" s="558"/>
      <c r="Z596" s="535"/>
      <c r="AA596" s="558"/>
      <c r="AD596" s="535"/>
      <c r="AE596" s="558"/>
      <c r="AH596" s="535"/>
      <c r="AI596" s="558"/>
      <c r="AL596" s="535"/>
      <c r="AP596" s="535"/>
    </row>
    <row r="597">
      <c r="A597" s="552"/>
      <c r="B597" s="552"/>
      <c r="N597" s="535"/>
      <c r="O597" s="558"/>
      <c r="R597" s="535"/>
      <c r="S597" s="558"/>
      <c r="V597" s="535"/>
      <c r="W597" s="558"/>
      <c r="Z597" s="535"/>
      <c r="AA597" s="558"/>
      <c r="AD597" s="535"/>
      <c r="AE597" s="558"/>
      <c r="AH597" s="535"/>
      <c r="AI597" s="558"/>
      <c r="AL597" s="535"/>
      <c r="AP597" s="535"/>
    </row>
    <row r="598">
      <c r="A598" s="552"/>
      <c r="B598" s="552"/>
      <c r="N598" s="535"/>
      <c r="O598" s="558"/>
      <c r="R598" s="535"/>
      <c r="S598" s="558"/>
      <c r="V598" s="535"/>
      <c r="W598" s="558"/>
      <c r="Z598" s="535"/>
      <c r="AA598" s="558"/>
      <c r="AD598" s="535"/>
      <c r="AE598" s="558"/>
      <c r="AH598" s="535"/>
      <c r="AI598" s="558"/>
      <c r="AL598" s="535"/>
      <c r="AP598" s="535"/>
    </row>
    <row r="599">
      <c r="A599" s="552"/>
      <c r="B599" s="552"/>
      <c r="N599" s="535"/>
      <c r="O599" s="558"/>
      <c r="R599" s="535"/>
      <c r="S599" s="558"/>
      <c r="V599" s="535"/>
      <c r="W599" s="558"/>
      <c r="Z599" s="535"/>
      <c r="AA599" s="558"/>
      <c r="AD599" s="535"/>
      <c r="AE599" s="558"/>
      <c r="AH599" s="535"/>
      <c r="AI599" s="558"/>
      <c r="AL599" s="535"/>
      <c r="AP599" s="535"/>
    </row>
    <row r="600">
      <c r="A600" s="552"/>
      <c r="B600" s="552"/>
      <c r="N600" s="535"/>
      <c r="O600" s="558"/>
      <c r="R600" s="535"/>
      <c r="S600" s="558"/>
      <c r="V600" s="535"/>
      <c r="W600" s="558"/>
      <c r="Z600" s="535"/>
      <c r="AA600" s="558"/>
      <c r="AD600" s="535"/>
      <c r="AE600" s="558"/>
      <c r="AH600" s="535"/>
      <c r="AI600" s="558"/>
      <c r="AL600" s="535"/>
      <c r="AP600" s="535"/>
    </row>
    <row r="601">
      <c r="A601" s="552"/>
      <c r="B601" s="552"/>
      <c r="N601" s="535"/>
      <c r="O601" s="558"/>
      <c r="R601" s="535"/>
      <c r="S601" s="558"/>
      <c r="V601" s="535"/>
      <c r="W601" s="558"/>
      <c r="Z601" s="535"/>
      <c r="AA601" s="558"/>
      <c r="AD601" s="535"/>
      <c r="AE601" s="558"/>
      <c r="AH601" s="535"/>
      <c r="AI601" s="558"/>
      <c r="AL601" s="535"/>
      <c r="AP601" s="535"/>
    </row>
    <row r="602">
      <c r="A602" s="552"/>
      <c r="B602" s="552"/>
      <c r="N602" s="535"/>
      <c r="O602" s="558"/>
      <c r="R602" s="535"/>
      <c r="S602" s="558"/>
      <c r="V602" s="535"/>
      <c r="W602" s="558"/>
      <c r="Z602" s="535"/>
      <c r="AA602" s="558"/>
      <c r="AD602" s="535"/>
      <c r="AE602" s="558"/>
      <c r="AH602" s="535"/>
      <c r="AI602" s="558"/>
      <c r="AL602" s="535"/>
      <c r="AP602" s="535"/>
    </row>
    <row r="603">
      <c r="A603" s="552"/>
      <c r="B603" s="552"/>
      <c r="N603" s="535"/>
      <c r="O603" s="558"/>
      <c r="R603" s="535"/>
      <c r="S603" s="558"/>
      <c r="V603" s="535"/>
      <c r="W603" s="558"/>
      <c r="Z603" s="535"/>
      <c r="AA603" s="558"/>
      <c r="AD603" s="535"/>
      <c r="AE603" s="558"/>
      <c r="AH603" s="535"/>
      <c r="AI603" s="558"/>
      <c r="AL603" s="535"/>
      <c r="AP603" s="535"/>
    </row>
    <row r="604">
      <c r="A604" s="552"/>
      <c r="B604" s="552"/>
      <c r="N604" s="535"/>
      <c r="O604" s="558"/>
      <c r="R604" s="535"/>
      <c r="S604" s="558"/>
      <c r="V604" s="535"/>
      <c r="W604" s="558"/>
      <c r="Z604" s="535"/>
      <c r="AA604" s="558"/>
      <c r="AD604" s="535"/>
      <c r="AE604" s="558"/>
      <c r="AH604" s="535"/>
      <c r="AI604" s="558"/>
      <c r="AL604" s="535"/>
      <c r="AP604" s="535"/>
    </row>
    <row r="605">
      <c r="A605" s="552"/>
      <c r="B605" s="552"/>
      <c r="N605" s="535"/>
      <c r="O605" s="558"/>
      <c r="R605" s="535"/>
      <c r="S605" s="558"/>
      <c r="V605" s="535"/>
      <c r="W605" s="558"/>
      <c r="Z605" s="535"/>
      <c r="AA605" s="558"/>
      <c r="AD605" s="535"/>
      <c r="AE605" s="558"/>
      <c r="AH605" s="535"/>
      <c r="AI605" s="558"/>
      <c r="AL605" s="535"/>
      <c r="AP605" s="535"/>
    </row>
    <row r="606">
      <c r="A606" s="552"/>
      <c r="B606" s="552"/>
      <c r="N606" s="535"/>
      <c r="O606" s="558"/>
      <c r="R606" s="535"/>
      <c r="S606" s="558"/>
      <c r="V606" s="535"/>
      <c r="W606" s="558"/>
      <c r="Z606" s="535"/>
      <c r="AA606" s="558"/>
      <c r="AD606" s="535"/>
      <c r="AE606" s="558"/>
      <c r="AH606" s="535"/>
      <c r="AI606" s="558"/>
      <c r="AL606" s="535"/>
      <c r="AP606" s="535"/>
    </row>
    <row r="607">
      <c r="A607" s="552"/>
      <c r="B607" s="552"/>
      <c r="N607" s="535"/>
      <c r="O607" s="558"/>
      <c r="R607" s="535"/>
      <c r="S607" s="558"/>
      <c r="V607" s="535"/>
      <c r="W607" s="558"/>
      <c r="Z607" s="535"/>
      <c r="AA607" s="558"/>
      <c r="AD607" s="535"/>
      <c r="AE607" s="558"/>
      <c r="AH607" s="535"/>
      <c r="AI607" s="558"/>
      <c r="AL607" s="535"/>
      <c r="AP607" s="535"/>
    </row>
    <row r="608">
      <c r="A608" s="552"/>
      <c r="B608" s="552"/>
      <c r="N608" s="535"/>
      <c r="O608" s="558"/>
      <c r="R608" s="535"/>
      <c r="S608" s="558"/>
      <c r="V608" s="535"/>
      <c r="W608" s="558"/>
      <c r="Z608" s="535"/>
      <c r="AA608" s="558"/>
      <c r="AD608" s="535"/>
      <c r="AE608" s="558"/>
      <c r="AH608" s="535"/>
      <c r="AI608" s="558"/>
      <c r="AL608" s="535"/>
      <c r="AP608" s="535"/>
    </row>
    <row r="609">
      <c r="A609" s="552"/>
      <c r="B609" s="552"/>
      <c r="N609" s="535"/>
      <c r="O609" s="558"/>
      <c r="R609" s="535"/>
      <c r="S609" s="558"/>
      <c r="V609" s="535"/>
      <c r="W609" s="558"/>
      <c r="Z609" s="535"/>
      <c r="AA609" s="558"/>
      <c r="AD609" s="535"/>
      <c r="AE609" s="558"/>
      <c r="AH609" s="535"/>
      <c r="AI609" s="558"/>
      <c r="AL609" s="535"/>
      <c r="AP609" s="535"/>
    </row>
    <row r="610">
      <c r="A610" s="552"/>
      <c r="B610" s="552"/>
      <c r="N610" s="535"/>
      <c r="O610" s="558"/>
      <c r="R610" s="535"/>
      <c r="S610" s="558"/>
      <c r="V610" s="535"/>
      <c r="W610" s="558"/>
      <c r="Z610" s="535"/>
      <c r="AA610" s="558"/>
      <c r="AD610" s="535"/>
      <c r="AE610" s="558"/>
      <c r="AH610" s="535"/>
      <c r="AI610" s="558"/>
      <c r="AL610" s="535"/>
      <c r="AP610" s="535"/>
    </row>
    <row r="611">
      <c r="A611" s="552"/>
      <c r="B611" s="552"/>
      <c r="N611" s="535"/>
      <c r="O611" s="558"/>
      <c r="R611" s="535"/>
      <c r="S611" s="558"/>
      <c r="V611" s="535"/>
      <c r="W611" s="558"/>
      <c r="Z611" s="535"/>
      <c r="AA611" s="558"/>
      <c r="AD611" s="535"/>
      <c r="AE611" s="558"/>
      <c r="AH611" s="535"/>
      <c r="AI611" s="558"/>
      <c r="AL611" s="535"/>
      <c r="AP611" s="535"/>
    </row>
    <row r="612">
      <c r="A612" s="552"/>
      <c r="B612" s="552"/>
      <c r="N612" s="535"/>
      <c r="O612" s="558"/>
      <c r="R612" s="535"/>
      <c r="S612" s="558"/>
      <c r="V612" s="535"/>
      <c r="W612" s="558"/>
      <c r="Z612" s="535"/>
      <c r="AA612" s="558"/>
      <c r="AD612" s="535"/>
      <c r="AE612" s="558"/>
      <c r="AH612" s="535"/>
      <c r="AI612" s="558"/>
      <c r="AL612" s="535"/>
      <c r="AP612" s="535"/>
    </row>
    <row r="613">
      <c r="A613" s="552"/>
      <c r="B613" s="552"/>
      <c r="N613" s="535"/>
      <c r="O613" s="558"/>
      <c r="R613" s="535"/>
      <c r="S613" s="558"/>
      <c r="V613" s="535"/>
      <c r="W613" s="558"/>
      <c r="Z613" s="535"/>
      <c r="AA613" s="558"/>
      <c r="AD613" s="535"/>
      <c r="AE613" s="558"/>
      <c r="AH613" s="535"/>
      <c r="AI613" s="558"/>
      <c r="AL613" s="535"/>
      <c r="AP613" s="535"/>
    </row>
    <row r="614">
      <c r="A614" s="552"/>
      <c r="B614" s="552"/>
      <c r="N614" s="535"/>
      <c r="O614" s="558"/>
      <c r="R614" s="535"/>
      <c r="S614" s="558"/>
      <c r="V614" s="535"/>
      <c r="W614" s="558"/>
      <c r="Z614" s="535"/>
      <c r="AA614" s="558"/>
      <c r="AD614" s="535"/>
      <c r="AE614" s="558"/>
      <c r="AH614" s="535"/>
      <c r="AI614" s="558"/>
      <c r="AL614" s="535"/>
      <c r="AP614" s="535"/>
    </row>
    <row r="615">
      <c r="A615" s="552"/>
      <c r="B615" s="552"/>
      <c r="N615" s="535"/>
      <c r="O615" s="558"/>
      <c r="R615" s="535"/>
      <c r="S615" s="558"/>
      <c r="V615" s="535"/>
      <c r="W615" s="558"/>
      <c r="Z615" s="535"/>
      <c r="AA615" s="558"/>
      <c r="AD615" s="535"/>
      <c r="AE615" s="558"/>
      <c r="AH615" s="535"/>
      <c r="AI615" s="558"/>
      <c r="AL615" s="535"/>
      <c r="AP615" s="535"/>
    </row>
    <row r="616">
      <c r="A616" s="552"/>
      <c r="B616" s="552"/>
      <c r="N616" s="535"/>
      <c r="O616" s="558"/>
      <c r="R616" s="535"/>
      <c r="S616" s="558"/>
      <c r="V616" s="535"/>
      <c r="W616" s="558"/>
      <c r="Z616" s="535"/>
      <c r="AA616" s="558"/>
      <c r="AD616" s="535"/>
      <c r="AE616" s="558"/>
      <c r="AH616" s="535"/>
      <c r="AI616" s="558"/>
      <c r="AL616" s="535"/>
      <c r="AP616" s="535"/>
    </row>
    <row r="617">
      <c r="A617" s="552"/>
      <c r="B617" s="552"/>
      <c r="N617" s="535"/>
      <c r="O617" s="558"/>
      <c r="R617" s="535"/>
      <c r="S617" s="558"/>
      <c r="V617" s="535"/>
      <c r="W617" s="558"/>
      <c r="Z617" s="535"/>
      <c r="AA617" s="558"/>
      <c r="AD617" s="535"/>
      <c r="AE617" s="558"/>
      <c r="AH617" s="535"/>
      <c r="AI617" s="558"/>
      <c r="AL617" s="535"/>
      <c r="AP617" s="535"/>
    </row>
    <row r="618">
      <c r="A618" s="552"/>
      <c r="B618" s="552"/>
      <c r="N618" s="535"/>
      <c r="O618" s="558"/>
      <c r="R618" s="535"/>
      <c r="S618" s="558"/>
      <c r="V618" s="535"/>
      <c r="W618" s="558"/>
      <c r="Z618" s="535"/>
      <c r="AA618" s="558"/>
      <c r="AD618" s="535"/>
      <c r="AE618" s="558"/>
      <c r="AH618" s="535"/>
      <c r="AI618" s="558"/>
      <c r="AL618" s="535"/>
      <c r="AP618" s="535"/>
    </row>
    <row r="619">
      <c r="A619" s="552"/>
      <c r="B619" s="552"/>
      <c r="N619" s="535"/>
      <c r="O619" s="558"/>
      <c r="R619" s="535"/>
      <c r="S619" s="558"/>
      <c r="V619" s="535"/>
      <c r="W619" s="558"/>
      <c r="Z619" s="535"/>
      <c r="AA619" s="558"/>
      <c r="AD619" s="535"/>
      <c r="AE619" s="558"/>
      <c r="AH619" s="535"/>
      <c r="AI619" s="558"/>
      <c r="AL619" s="535"/>
      <c r="AP619" s="535"/>
    </row>
    <row r="620">
      <c r="A620" s="552"/>
      <c r="B620" s="552"/>
      <c r="N620" s="535"/>
      <c r="O620" s="558"/>
      <c r="R620" s="535"/>
      <c r="S620" s="558"/>
      <c r="V620" s="535"/>
      <c r="W620" s="558"/>
      <c r="Z620" s="535"/>
      <c r="AA620" s="558"/>
      <c r="AD620" s="535"/>
      <c r="AE620" s="558"/>
      <c r="AH620" s="535"/>
      <c r="AI620" s="558"/>
      <c r="AL620" s="535"/>
      <c r="AP620" s="535"/>
    </row>
    <row r="621">
      <c r="A621" s="552"/>
      <c r="B621" s="552"/>
      <c r="N621" s="535"/>
      <c r="O621" s="558"/>
      <c r="R621" s="535"/>
      <c r="S621" s="558"/>
      <c r="V621" s="535"/>
      <c r="W621" s="558"/>
      <c r="Z621" s="535"/>
      <c r="AA621" s="558"/>
      <c r="AD621" s="535"/>
      <c r="AE621" s="558"/>
      <c r="AH621" s="535"/>
      <c r="AI621" s="558"/>
      <c r="AL621" s="535"/>
      <c r="AP621" s="535"/>
    </row>
    <row r="622">
      <c r="A622" s="552"/>
      <c r="B622" s="552"/>
      <c r="N622" s="535"/>
      <c r="O622" s="558"/>
      <c r="R622" s="535"/>
      <c r="S622" s="558"/>
      <c r="V622" s="535"/>
      <c r="W622" s="558"/>
      <c r="Z622" s="535"/>
      <c r="AA622" s="558"/>
      <c r="AD622" s="535"/>
      <c r="AE622" s="558"/>
      <c r="AH622" s="535"/>
      <c r="AI622" s="558"/>
      <c r="AL622" s="535"/>
      <c r="AP622" s="535"/>
    </row>
    <row r="623">
      <c r="A623" s="552"/>
      <c r="B623" s="552"/>
      <c r="N623" s="535"/>
      <c r="O623" s="558"/>
      <c r="R623" s="535"/>
      <c r="S623" s="558"/>
      <c r="V623" s="535"/>
      <c r="W623" s="558"/>
      <c r="Z623" s="535"/>
      <c r="AA623" s="558"/>
      <c r="AD623" s="535"/>
      <c r="AE623" s="558"/>
      <c r="AH623" s="535"/>
      <c r="AI623" s="558"/>
      <c r="AL623" s="535"/>
      <c r="AP623" s="535"/>
    </row>
    <row r="624">
      <c r="A624" s="552"/>
      <c r="B624" s="552"/>
      <c r="N624" s="535"/>
      <c r="O624" s="558"/>
      <c r="R624" s="535"/>
      <c r="S624" s="558"/>
      <c r="V624" s="535"/>
      <c r="W624" s="558"/>
      <c r="Z624" s="535"/>
      <c r="AA624" s="558"/>
      <c r="AD624" s="535"/>
      <c r="AE624" s="558"/>
      <c r="AH624" s="535"/>
      <c r="AI624" s="558"/>
      <c r="AL624" s="535"/>
      <c r="AP624" s="535"/>
    </row>
    <row r="625">
      <c r="A625" s="552"/>
      <c r="B625" s="552"/>
      <c r="N625" s="535"/>
      <c r="O625" s="558"/>
      <c r="R625" s="535"/>
      <c r="S625" s="558"/>
      <c r="V625" s="535"/>
      <c r="W625" s="558"/>
      <c r="Z625" s="535"/>
      <c r="AA625" s="558"/>
      <c r="AD625" s="535"/>
      <c r="AE625" s="558"/>
      <c r="AH625" s="535"/>
      <c r="AI625" s="558"/>
      <c r="AL625" s="535"/>
      <c r="AP625" s="535"/>
    </row>
    <row r="626">
      <c r="A626" s="552"/>
      <c r="B626" s="552"/>
      <c r="N626" s="535"/>
      <c r="O626" s="558"/>
      <c r="R626" s="535"/>
      <c r="S626" s="558"/>
      <c r="V626" s="535"/>
      <c r="W626" s="558"/>
      <c r="Z626" s="535"/>
      <c r="AA626" s="558"/>
      <c r="AD626" s="535"/>
      <c r="AE626" s="558"/>
      <c r="AH626" s="535"/>
      <c r="AI626" s="558"/>
      <c r="AL626" s="535"/>
      <c r="AP626" s="535"/>
    </row>
    <row r="627">
      <c r="A627" s="552"/>
      <c r="B627" s="552"/>
      <c r="N627" s="535"/>
      <c r="O627" s="558"/>
      <c r="R627" s="535"/>
      <c r="S627" s="558"/>
      <c r="V627" s="535"/>
      <c r="W627" s="558"/>
      <c r="Z627" s="535"/>
      <c r="AA627" s="558"/>
      <c r="AD627" s="535"/>
      <c r="AE627" s="558"/>
      <c r="AH627" s="535"/>
      <c r="AI627" s="558"/>
      <c r="AL627" s="535"/>
      <c r="AP627" s="535"/>
    </row>
    <row r="628">
      <c r="A628" s="552"/>
      <c r="B628" s="552"/>
      <c r="N628" s="535"/>
      <c r="O628" s="558"/>
      <c r="R628" s="535"/>
      <c r="S628" s="558"/>
      <c r="V628" s="535"/>
      <c r="W628" s="558"/>
      <c r="Z628" s="535"/>
      <c r="AA628" s="558"/>
      <c r="AD628" s="535"/>
      <c r="AE628" s="558"/>
      <c r="AH628" s="535"/>
      <c r="AI628" s="558"/>
      <c r="AL628" s="535"/>
      <c r="AP628" s="535"/>
    </row>
    <row r="629">
      <c r="A629" s="552"/>
      <c r="B629" s="552"/>
      <c r="N629" s="535"/>
      <c r="O629" s="558"/>
      <c r="R629" s="535"/>
      <c r="S629" s="558"/>
      <c r="V629" s="535"/>
      <c r="W629" s="558"/>
      <c r="Z629" s="535"/>
      <c r="AA629" s="558"/>
      <c r="AD629" s="535"/>
      <c r="AE629" s="558"/>
      <c r="AH629" s="535"/>
      <c r="AI629" s="558"/>
      <c r="AL629" s="535"/>
      <c r="AP629" s="535"/>
    </row>
    <row r="630">
      <c r="A630" s="552"/>
      <c r="B630" s="552"/>
      <c r="N630" s="535"/>
      <c r="O630" s="558"/>
      <c r="R630" s="535"/>
      <c r="S630" s="558"/>
      <c r="V630" s="535"/>
      <c r="W630" s="558"/>
      <c r="Z630" s="535"/>
      <c r="AA630" s="558"/>
      <c r="AD630" s="535"/>
      <c r="AE630" s="558"/>
      <c r="AH630" s="535"/>
      <c r="AI630" s="558"/>
      <c r="AL630" s="535"/>
      <c r="AP630" s="535"/>
    </row>
    <row r="631">
      <c r="A631" s="552"/>
      <c r="B631" s="552"/>
      <c r="N631" s="535"/>
      <c r="O631" s="558"/>
      <c r="R631" s="535"/>
      <c r="S631" s="558"/>
      <c r="V631" s="535"/>
      <c r="W631" s="558"/>
      <c r="Z631" s="535"/>
      <c r="AA631" s="558"/>
      <c r="AD631" s="535"/>
      <c r="AE631" s="558"/>
      <c r="AH631" s="535"/>
      <c r="AI631" s="558"/>
      <c r="AL631" s="535"/>
      <c r="AP631" s="535"/>
    </row>
    <row r="632">
      <c r="A632" s="552"/>
      <c r="B632" s="552"/>
      <c r="N632" s="535"/>
      <c r="O632" s="558"/>
      <c r="R632" s="535"/>
      <c r="S632" s="558"/>
      <c r="V632" s="535"/>
      <c r="W632" s="558"/>
      <c r="Z632" s="535"/>
      <c r="AA632" s="558"/>
      <c r="AD632" s="535"/>
      <c r="AE632" s="558"/>
      <c r="AH632" s="535"/>
      <c r="AI632" s="558"/>
      <c r="AL632" s="535"/>
      <c r="AP632" s="535"/>
    </row>
    <row r="633">
      <c r="A633" s="552"/>
      <c r="B633" s="552"/>
      <c r="N633" s="535"/>
      <c r="O633" s="558"/>
      <c r="R633" s="535"/>
      <c r="S633" s="558"/>
      <c r="V633" s="535"/>
      <c r="W633" s="558"/>
      <c r="Z633" s="535"/>
      <c r="AA633" s="558"/>
      <c r="AD633" s="535"/>
      <c r="AE633" s="558"/>
      <c r="AH633" s="535"/>
      <c r="AI633" s="558"/>
      <c r="AL633" s="535"/>
      <c r="AP633" s="535"/>
    </row>
    <row r="634">
      <c r="A634" s="552"/>
      <c r="B634" s="552"/>
      <c r="N634" s="535"/>
      <c r="O634" s="558"/>
      <c r="R634" s="535"/>
      <c r="S634" s="558"/>
      <c r="V634" s="535"/>
      <c r="W634" s="558"/>
      <c r="Z634" s="535"/>
      <c r="AA634" s="558"/>
      <c r="AD634" s="535"/>
      <c r="AE634" s="558"/>
      <c r="AH634" s="535"/>
      <c r="AI634" s="558"/>
      <c r="AL634" s="535"/>
      <c r="AP634" s="535"/>
    </row>
    <row r="635">
      <c r="A635" s="552"/>
      <c r="B635" s="552"/>
      <c r="N635" s="535"/>
      <c r="O635" s="558"/>
      <c r="R635" s="535"/>
      <c r="S635" s="558"/>
      <c r="V635" s="535"/>
      <c r="W635" s="558"/>
      <c r="Z635" s="535"/>
      <c r="AA635" s="558"/>
      <c r="AD635" s="535"/>
      <c r="AE635" s="558"/>
      <c r="AH635" s="535"/>
      <c r="AI635" s="558"/>
      <c r="AL635" s="535"/>
      <c r="AP635" s="535"/>
    </row>
    <row r="636">
      <c r="A636" s="552"/>
      <c r="B636" s="552"/>
      <c r="N636" s="535"/>
      <c r="O636" s="558"/>
      <c r="R636" s="535"/>
      <c r="S636" s="558"/>
      <c r="V636" s="535"/>
      <c r="W636" s="558"/>
      <c r="Z636" s="535"/>
      <c r="AA636" s="558"/>
      <c r="AD636" s="535"/>
      <c r="AE636" s="558"/>
      <c r="AH636" s="535"/>
      <c r="AI636" s="558"/>
      <c r="AL636" s="535"/>
      <c r="AP636" s="535"/>
    </row>
    <row r="637">
      <c r="A637" s="552"/>
      <c r="B637" s="552"/>
      <c r="N637" s="535"/>
      <c r="O637" s="558"/>
      <c r="R637" s="535"/>
      <c r="S637" s="558"/>
      <c r="V637" s="535"/>
      <c r="W637" s="558"/>
      <c r="Z637" s="535"/>
      <c r="AA637" s="558"/>
      <c r="AD637" s="535"/>
      <c r="AE637" s="558"/>
      <c r="AH637" s="535"/>
      <c r="AI637" s="558"/>
      <c r="AL637" s="535"/>
      <c r="AP637" s="535"/>
    </row>
    <row r="638">
      <c r="A638" s="552"/>
      <c r="B638" s="552"/>
      <c r="N638" s="535"/>
      <c r="O638" s="558"/>
      <c r="R638" s="535"/>
      <c r="S638" s="558"/>
      <c r="V638" s="535"/>
      <c r="W638" s="558"/>
      <c r="Z638" s="535"/>
      <c r="AA638" s="558"/>
      <c r="AD638" s="535"/>
      <c r="AE638" s="558"/>
      <c r="AH638" s="535"/>
      <c r="AI638" s="558"/>
      <c r="AL638" s="535"/>
      <c r="AP638" s="535"/>
    </row>
    <row r="639">
      <c r="A639" s="552"/>
      <c r="B639" s="552"/>
      <c r="N639" s="535"/>
      <c r="O639" s="558"/>
      <c r="R639" s="535"/>
      <c r="S639" s="558"/>
      <c r="V639" s="535"/>
      <c r="W639" s="558"/>
      <c r="Z639" s="535"/>
      <c r="AA639" s="558"/>
      <c r="AD639" s="535"/>
      <c r="AE639" s="558"/>
      <c r="AH639" s="535"/>
      <c r="AI639" s="558"/>
      <c r="AL639" s="535"/>
      <c r="AP639" s="535"/>
    </row>
    <row r="640">
      <c r="A640" s="552"/>
      <c r="B640" s="552"/>
      <c r="N640" s="535"/>
      <c r="O640" s="558"/>
      <c r="R640" s="535"/>
      <c r="S640" s="558"/>
      <c r="V640" s="535"/>
      <c r="W640" s="558"/>
      <c r="Z640" s="535"/>
      <c r="AA640" s="558"/>
      <c r="AD640" s="535"/>
      <c r="AE640" s="558"/>
      <c r="AH640" s="535"/>
      <c r="AI640" s="558"/>
      <c r="AL640" s="535"/>
      <c r="AP640" s="535"/>
    </row>
    <row r="641">
      <c r="A641" s="552"/>
      <c r="B641" s="552"/>
      <c r="N641" s="535"/>
      <c r="O641" s="558"/>
      <c r="R641" s="535"/>
      <c r="S641" s="558"/>
      <c r="V641" s="535"/>
      <c r="W641" s="558"/>
      <c r="Z641" s="535"/>
      <c r="AA641" s="558"/>
      <c r="AD641" s="535"/>
      <c r="AE641" s="558"/>
      <c r="AH641" s="535"/>
      <c r="AI641" s="558"/>
      <c r="AL641" s="535"/>
      <c r="AP641" s="535"/>
    </row>
    <row r="642">
      <c r="A642" s="552"/>
      <c r="B642" s="552"/>
      <c r="N642" s="535"/>
      <c r="O642" s="558"/>
      <c r="R642" s="535"/>
      <c r="S642" s="558"/>
      <c r="V642" s="535"/>
      <c r="W642" s="558"/>
      <c r="Z642" s="535"/>
      <c r="AA642" s="558"/>
      <c r="AD642" s="535"/>
      <c r="AE642" s="558"/>
      <c r="AH642" s="535"/>
      <c r="AI642" s="558"/>
      <c r="AL642" s="535"/>
      <c r="AP642" s="535"/>
    </row>
    <row r="643">
      <c r="A643" s="552"/>
      <c r="B643" s="552"/>
      <c r="N643" s="535"/>
      <c r="O643" s="558"/>
      <c r="R643" s="535"/>
      <c r="S643" s="558"/>
      <c r="V643" s="535"/>
      <c r="W643" s="558"/>
      <c r="Z643" s="535"/>
      <c r="AA643" s="558"/>
      <c r="AD643" s="535"/>
      <c r="AE643" s="558"/>
      <c r="AH643" s="535"/>
      <c r="AI643" s="558"/>
      <c r="AL643" s="535"/>
      <c r="AP643" s="535"/>
    </row>
    <row r="644">
      <c r="A644" s="552"/>
      <c r="B644" s="552"/>
      <c r="N644" s="535"/>
      <c r="O644" s="558"/>
      <c r="R644" s="535"/>
      <c r="S644" s="558"/>
      <c r="V644" s="535"/>
      <c r="W644" s="558"/>
      <c r="Z644" s="535"/>
      <c r="AA644" s="558"/>
      <c r="AD644" s="535"/>
      <c r="AE644" s="558"/>
      <c r="AH644" s="535"/>
      <c r="AI644" s="558"/>
      <c r="AL644" s="535"/>
      <c r="AP644" s="535"/>
    </row>
    <row r="645">
      <c r="A645" s="552"/>
      <c r="B645" s="552"/>
      <c r="N645" s="535"/>
      <c r="O645" s="558"/>
      <c r="R645" s="535"/>
      <c r="S645" s="558"/>
      <c r="V645" s="535"/>
      <c r="W645" s="558"/>
      <c r="Z645" s="535"/>
      <c r="AA645" s="558"/>
      <c r="AD645" s="535"/>
      <c r="AE645" s="558"/>
      <c r="AH645" s="535"/>
      <c r="AI645" s="558"/>
      <c r="AL645" s="535"/>
      <c r="AP645" s="535"/>
    </row>
    <row r="646">
      <c r="A646" s="552"/>
      <c r="B646" s="552"/>
      <c r="N646" s="535"/>
      <c r="O646" s="558"/>
      <c r="R646" s="535"/>
      <c r="S646" s="558"/>
      <c r="V646" s="535"/>
      <c r="W646" s="558"/>
      <c r="Z646" s="535"/>
      <c r="AA646" s="558"/>
      <c r="AD646" s="535"/>
      <c r="AE646" s="558"/>
      <c r="AH646" s="535"/>
      <c r="AI646" s="558"/>
      <c r="AL646" s="535"/>
      <c r="AP646" s="535"/>
    </row>
    <row r="647">
      <c r="A647" s="552"/>
      <c r="B647" s="552"/>
      <c r="N647" s="535"/>
      <c r="O647" s="558"/>
      <c r="R647" s="535"/>
      <c r="S647" s="558"/>
      <c r="V647" s="535"/>
      <c r="W647" s="558"/>
      <c r="Z647" s="535"/>
      <c r="AA647" s="558"/>
      <c r="AD647" s="535"/>
      <c r="AE647" s="558"/>
      <c r="AH647" s="535"/>
      <c r="AI647" s="558"/>
      <c r="AL647" s="535"/>
      <c r="AP647" s="535"/>
    </row>
    <row r="648">
      <c r="A648" s="552"/>
      <c r="B648" s="552"/>
      <c r="N648" s="535"/>
      <c r="O648" s="558"/>
      <c r="R648" s="535"/>
      <c r="S648" s="558"/>
      <c r="V648" s="535"/>
      <c r="W648" s="558"/>
      <c r="Z648" s="535"/>
      <c r="AA648" s="558"/>
      <c r="AD648" s="535"/>
      <c r="AE648" s="558"/>
      <c r="AH648" s="535"/>
      <c r="AI648" s="558"/>
      <c r="AL648" s="535"/>
      <c r="AP648" s="535"/>
    </row>
    <row r="649">
      <c r="A649" s="552"/>
      <c r="B649" s="552"/>
      <c r="N649" s="535"/>
      <c r="O649" s="558"/>
      <c r="R649" s="535"/>
      <c r="S649" s="558"/>
      <c r="V649" s="535"/>
      <c r="W649" s="558"/>
      <c r="Z649" s="535"/>
      <c r="AA649" s="558"/>
      <c r="AD649" s="535"/>
      <c r="AE649" s="558"/>
      <c r="AH649" s="535"/>
      <c r="AI649" s="558"/>
      <c r="AL649" s="535"/>
      <c r="AP649" s="535"/>
    </row>
    <row r="650">
      <c r="A650" s="552"/>
      <c r="B650" s="552"/>
      <c r="N650" s="535"/>
      <c r="O650" s="558"/>
      <c r="R650" s="535"/>
      <c r="S650" s="558"/>
      <c r="V650" s="535"/>
      <c r="W650" s="558"/>
      <c r="Z650" s="535"/>
      <c r="AA650" s="558"/>
      <c r="AD650" s="535"/>
      <c r="AE650" s="558"/>
      <c r="AH650" s="535"/>
      <c r="AI650" s="558"/>
      <c r="AL650" s="535"/>
      <c r="AP650" s="535"/>
    </row>
    <row r="651">
      <c r="A651" s="552"/>
      <c r="B651" s="552"/>
      <c r="N651" s="535"/>
      <c r="O651" s="558"/>
      <c r="R651" s="535"/>
      <c r="S651" s="558"/>
      <c r="V651" s="535"/>
      <c r="W651" s="558"/>
      <c r="Z651" s="535"/>
      <c r="AA651" s="558"/>
      <c r="AD651" s="535"/>
      <c r="AE651" s="558"/>
      <c r="AH651" s="535"/>
      <c r="AI651" s="558"/>
      <c r="AL651" s="535"/>
      <c r="AP651" s="535"/>
    </row>
    <row r="652">
      <c r="A652" s="552"/>
      <c r="B652" s="552"/>
      <c r="N652" s="535"/>
      <c r="O652" s="558"/>
      <c r="R652" s="535"/>
      <c r="S652" s="558"/>
      <c r="V652" s="535"/>
      <c r="W652" s="558"/>
      <c r="Z652" s="535"/>
      <c r="AA652" s="558"/>
      <c r="AD652" s="535"/>
      <c r="AE652" s="558"/>
      <c r="AH652" s="535"/>
      <c r="AI652" s="558"/>
      <c r="AL652" s="535"/>
      <c r="AP652" s="535"/>
    </row>
    <row r="653">
      <c r="A653" s="552"/>
      <c r="B653" s="552"/>
      <c r="N653" s="535"/>
      <c r="O653" s="558"/>
      <c r="R653" s="535"/>
      <c r="S653" s="558"/>
      <c r="V653" s="535"/>
      <c r="W653" s="558"/>
      <c r="Z653" s="535"/>
      <c r="AA653" s="558"/>
      <c r="AD653" s="535"/>
      <c r="AE653" s="558"/>
      <c r="AH653" s="535"/>
      <c r="AI653" s="558"/>
      <c r="AL653" s="535"/>
      <c r="AP653" s="535"/>
    </row>
    <row r="654">
      <c r="A654" s="552"/>
      <c r="B654" s="552"/>
      <c r="N654" s="535"/>
      <c r="O654" s="558"/>
      <c r="R654" s="535"/>
      <c r="S654" s="558"/>
      <c r="V654" s="535"/>
      <c r="W654" s="558"/>
      <c r="Z654" s="535"/>
      <c r="AA654" s="558"/>
      <c r="AD654" s="535"/>
      <c r="AE654" s="558"/>
      <c r="AH654" s="535"/>
      <c r="AI654" s="558"/>
      <c r="AL654" s="535"/>
      <c r="AP654" s="535"/>
    </row>
    <row r="655">
      <c r="A655" s="552"/>
      <c r="B655" s="552"/>
      <c r="N655" s="535"/>
      <c r="O655" s="558"/>
      <c r="R655" s="535"/>
      <c r="S655" s="558"/>
      <c r="V655" s="535"/>
      <c r="W655" s="558"/>
      <c r="Z655" s="535"/>
      <c r="AA655" s="558"/>
      <c r="AD655" s="535"/>
      <c r="AE655" s="558"/>
      <c r="AH655" s="535"/>
      <c r="AI655" s="558"/>
      <c r="AL655" s="535"/>
      <c r="AP655" s="535"/>
    </row>
    <row r="656">
      <c r="A656" s="552"/>
      <c r="B656" s="552"/>
      <c r="N656" s="535"/>
      <c r="O656" s="558"/>
      <c r="R656" s="535"/>
      <c r="S656" s="558"/>
      <c r="V656" s="535"/>
      <c r="W656" s="558"/>
      <c r="Z656" s="535"/>
      <c r="AA656" s="558"/>
      <c r="AD656" s="535"/>
      <c r="AE656" s="558"/>
      <c r="AH656" s="535"/>
      <c r="AI656" s="558"/>
      <c r="AL656" s="535"/>
      <c r="AP656" s="535"/>
    </row>
    <row r="657">
      <c r="A657" s="552"/>
      <c r="B657" s="552"/>
      <c r="N657" s="535"/>
      <c r="O657" s="558"/>
      <c r="R657" s="535"/>
      <c r="S657" s="558"/>
      <c r="V657" s="535"/>
      <c r="W657" s="558"/>
      <c r="Z657" s="535"/>
      <c r="AA657" s="558"/>
      <c r="AD657" s="535"/>
      <c r="AE657" s="558"/>
      <c r="AH657" s="535"/>
      <c r="AI657" s="558"/>
      <c r="AL657" s="535"/>
      <c r="AP657" s="535"/>
    </row>
    <row r="658">
      <c r="A658" s="552"/>
      <c r="B658" s="552"/>
      <c r="N658" s="535"/>
      <c r="O658" s="558"/>
      <c r="R658" s="535"/>
      <c r="S658" s="558"/>
      <c r="V658" s="535"/>
      <c r="W658" s="558"/>
      <c r="Z658" s="535"/>
      <c r="AA658" s="558"/>
      <c r="AD658" s="535"/>
      <c r="AE658" s="558"/>
      <c r="AH658" s="535"/>
      <c r="AI658" s="558"/>
      <c r="AL658" s="535"/>
      <c r="AP658" s="535"/>
    </row>
    <row r="659">
      <c r="A659" s="552"/>
      <c r="B659" s="552"/>
      <c r="N659" s="535"/>
      <c r="O659" s="558"/>
      <c r="R659" s="535"/>
      <c r="S659" s="558"/>
      <c r="V659" s="535"/>
      <c r="W659" s="558"/>
      <c r="Z659" s="535"/>
      <c r="AA659" s="558"/>
      <c r="AD659" s="535"/>
      <c r="AE659" s="558"/>
      <c r="AH659" s="535"/>
      <c r="AI659" s="558"/>
      <c r="AL659" s="535"/>
      <c r="AP659" s="535"/>
    </row>
    <row r="660">
      <c r="A660" s="552"/>
      <c r="B660" s="552"/>
      <c r="N660" s="535"/>
      <c r="O660" s="558"/>
      <c r="R660" s="535"/>
      <c r="S660" s="558"/>
      <c r="V660" s="535"/>
      <c r="W660" s="558"/>
      <c r="Z660" s="535"/>
      <c r="AA660" s="558"/>
      <c r="AD660" s="535"/>
      <c r="AE660" s="558"/>
      <c r="AH660" s="535"/>
      <c r="AI660" s="558"/>
      <c r="AL660" s="535"/>
      <c r="AP660" s="535"/>
    </row>
    <row r="661">
      <c r="A661" s="552"/>
      <c r="B661" s="552"/>
      <c r="N661" s="535"/>
      <c r="O661" s="558"/>
      <c r="R661" s="535"/>
      <c r="S661" s="558"/>
      <c r="V661" s="535"/>
      <c r="W661" s="558"/>
      <c r="Z661" s="535"/>
      <c r="AA661" s="558"/>
      <c r="AD661" s="535"/>
      <c r="AE661" s="558"/>
      <c r="AH661" s="535"/>
      <c r="AI661" s="558"/>
      <c r="AL661" s="535"/>
      <c r="AP661" s="535"/>
    </row>
    <row r="662">
      <c r="A662" s="552"/>
      <c r="B662" s="552"/>
      <c r="N662" s="535"/>
      <c r="O662" s="558"/>
      <c r="R662" s="535"/>
      <c r="S662" s="558"/>
      <c r="V662" s="535"/>
      <c r="W662" s="558"/>
      <c r="Z662" s="535"/>
      <c r="AA662" s="558"/>
      <c r="AD662" s="535"/>
      <c r="AE662" s="558"/>
      <c r="AH662" s="535"/>
      <c r="AI662" s="558"/>
      <c r="AL662" s="535"/>
      <c r="AP662" s="535"/>
    </row>
    <row r="663">
      <c r="A663" s="552"/>
      <c r="B663" s="552"/>
      <c r="N663" s="535"/>
      <c r="O663" s="558"/>
      <c r="R663" s="535"/>
      <c r="S663" s="558"/>
      <c r="V663" s="535"/>
      <c r="W663" s="558"/>
      <c r="Z663" s="535"/>
      <c r="AA663" s="558"/>
      <c r="AD663" s="535"/>
      <c r="AE663" s="558"/>
      <c r="AH663" s="535"/>
      <c r="AI663" s="558"/>
      <c r="AL663" s="535"/>
      <c r="AP663" s="535"/>
    </row>
    <row r="664">
      <c r="A664" s="552"/>
      <c r="B664" s="552"/>
      <c r="N664" s="535"/>
      <c r="O664" s="558"/>
      <c r="R664" s="535"/>
      <c r="S664" s="558"/>
      <c r="V664" s="535"/>
      <c r="W664" s="558"/>
      <c r="Z664" s="535"/>
      <c r="AA664" s="558"/>
      <c r="AD664" s="535"/>
      <c r="AE664" s="558"/>
      <c r="AH664" s="535"/>
      <c r="AI664" s="558"/>
      <c r="AL664" s="535"/>
      <c r="AP664" s="535"/>
    </row>
    <row r="665">
      <c r="A665" s="552"/>
      <c r="B665" s="552"/>
      <c r="N665" s="535"/>
      <c r="O665" s="558"/>
      <c r="R665" s="535"/>
      <c r="S665" s="558"/>
      <c r="V665" s="535"/>
      <c r="W665" s="558"/>
      <c r="Z665" s="535"/>
      <c r="AA665" s="558"/>
      <c r="AD665" s="535"/>
      <c r="AE665" s="558"/>
      <c r="AH665" s="535"/>
      <c r="AI665" s="558"/>
      <c r="AL665" s="535"/>
      <c r="AP665" s="535"/>
    </row>
    <row r="666">
      <c r="A666" s="552"/>
      <c r="B666" s="552"/>
      <c r="N666" s="535"/>
      <c r="O666" s="558"/>
      <c r="R666" s="535"/>
      <c r="S666" s="558"/>
      <c r="V666" s="535"/>
      <c r="W666" s="558"/>
      <c r="Z666" s="535"/>
      <c r="AA666" s="558"/>
      <c r="AD666" s="535"/>
      <c r="AE666" s="558"/>
      <c r="AH666" s="535"/>
      <c r="AI666" s="558"/>
      <c r="AL666" s="535"/>
      <c r="AP666" s="535"/>
    </row>
    <row r="667">
      <c r="A667" s="552"/>
      <c r="B667" s="552"/>
      <c r="N667" s="535"/>
      <c r="O667" s="558"/>
      <c r="R667" s="535"/>
      <c r="S667" s="558"/>
      <c r="V667" s="535"/>
      <c r="W667" s="558"/>
      <c r="Z667" s="535"/>
      <c r="AA667" s="558"/>
      <c r="AD667" s="535"/>
      <c r="AE667" s="558"/>
      <c r="AH667" s="535"/>
      <c r="AI667" s="558"/>
      <c r="AL667" s="535"/>
      <c r="AP667" s="535"/>
    </row>
    <row r="668">
      <c r="A668" s="552"/>
      <c r="B668" s="552"/>
      <c r="N668" s="535"/>
      <c r="O668" s="558"/>
      <c r="R668" s="535"/>
      <c r="S668" s="558"/>
      <c r="V668" s="535"/>
      <c r="W668" s="558"/>
      <c r="Z668" s="535"/>
      <c r="AA668" s="558"/>
      <c r="AD668" s="535"/>
      <c r="AE668" s="558"/>
      <c r="AH668" s="535"/>
      <c r="AI668" s="558"/>
      <c r="AL668" s="535"/>
      <c r="AP668" s="535"/>
    </row>
    <row r="669">
      <c r="A669" s="552"/>
      <c r="B669" s="552"/>
      <c r="N669" s="535"/>
      <c r="O669" s="558"/>
      <c r="R669" s="535"/>
      <c r="S669" s="558"/>
      <c r="V669" s="535"/>
      <c r="W669" s="558"/>
      <c r="Z669" s="535"/>
      <c r="AA669" s="558"/>
      <c r="AD669" s="535"/>
      <c r="AE669" s="558"/>
      <c r="AH669" s="535"/>
      <c r="AI669" s="558"/>
      <c r="AL669" s="535"/>
      <c r="AP669" s="535"/>
    </row>
    <row r="670">
      <c r="A670" s="552"/>
      <c r="B670" s="552"/>
      <c r="N670" s="535"/>
      <c r="O670" s="558"/>
      <c r="R670" s="535"/>
      <c r="S670" s="558"/>
      <c r="V670" s="535"/>
      <c r="W670" s="558"/>
      <c r="Z670" s="535"/>
      <c r="AA670" s="558"/>
      <c r="AD670" s="535"/>
      <c r="AE670" s="558"/>
      <c r="AH670" s="535"/>
      <c r="AI670" s="558"/>
      <c r="AL670" s="535"/>
      <c r="AP670" s="535"/>
    </row>
    <row r="671">
      <c r="A671" s="552"/>
      <c r="B671" s="552"/>
      <c r="N671" s="535"/>
      <c r="O671" s="558"/>
      <c r="R671" s="535"/>
      <c r="S671" s="558"/>
      <c r="V671" s="535"/>
      <c r="W671" s="558"/>
      <c r="Z671" s="535"/>
      <c r="AA671" s="558"/>
      <c r="AD671" s="535"/>
      <c r="AE671" s="558"/>
      <c r="AH671" s="535"/>
      <c r="AI671" s="558"/>
      <c r="AL671" s="535"/>
      <c r="AP671" s="535"/>
    </row>
    <row r="672">
      <c r="A672" s="552"/>
      <c r="B672" s="552"/>
      <c r="N672" s="535"/>
      <c r="O672" s="558"/>
      <c r="R672" s="535"/>
      <c r="S672" s="558"/>
      <c r="V672" s="535"/>
      <c r="W672" s="558"/>
      <c r="Z672" s="535"/>
      <c r="AA672" s="558"/>
      <c r="AD672" s="535"/>
      <c r="AE672" s="558"/>
      <c r="AH672" s="535"/>
      <c r="AI672" s="558"/>
      <c r="AL672" s="535"/>
      <c r="AP672" s="535"/>
    </row>
    <row r="673">
      <c r="A673" s="552"/>
      <c r="B673" s="552"/>
      <c r="N673" s="535"/>
      <c r="O673" s="558"/>
      <c r="R673" s="535"/>
      <c r="S673" s="558"/>
      <c r="V673" s="535"/>
      <c r="W673" s="558"/>
      <c r="Z673" s="535"/>
      <c r="AA673" s="558"/>
      <c r="AD673" s="535"/>
      <c r="AE673" s="558"/>
      <c r="AH673" s="535"/>
      <c r="AI673" s="558"/>
      <c r="AL673" s="535"/>
      <c r="AP673" s="535"/>
    </row>
    <row r="674">
      <c r="A674" s="552"/>
      <c r="B674" s="552"/>
      <c r="N674" s="535"/>
      <c r="O674" s="558"/>
      <c r="R674" s="535"/>
      <c r="S674" s="558"/>
      <c r="V674" s="535"/>
      <c r="W674" s="558"/>
      <c r="Z674" s="535"/>
      <c r="AA674" s="558"/>
      <c r="AD674" s="535"/>
      <c r="AE674" s="558"/>
      <c r="AH674" s="535"/>
      <c r="AI674" s="558"/>
      <c r="AL674" s="535"/>
      <c r="AP674" s="535"/>
    </row>
    <row r="675">
      <c r="A675" s="552"/>
      <c r="B675" s="552"/>
      <c r="N675" s="535"/>
      <c r="O675" s="558"/>
      <c r="R675" s="535"/>
      <c r="S675" s="558"/>
      <c r="V675" s="535"/>
      <c r="W675" s="558"/>
      <c r="Z675" s="535"/>
      <c r="AA675" s="558"/>
      <c r="AD675" s="535"/>
      <c r="AE675" s="558"/>
      <c r="AH675" s="535"/>
      <c r="AI675" s="558"/>
      <c r="AL675" s="535"/>
      <c r="AP675" s="535"/>
    </row>
    <row r="676">
      <c r="A676" s="552"/>
      <c r="B676" s="552"/>
      <c r="N676" s="535"/>
      <c r="O676" s="558"/>
      <c r="R676" s="535"/>
      <c r="S676" s="558"/>
      <c r="V676" s="535"/>
      <c r="W676" s="558"/>
      <c r="Z676" s="535"/>
      <c r="AA676" s="558"/>
      <c r="AD676" s="535"/>
      <c r="AE676" s="558"/>
      <c r="AH676" s="535"/>
      <c r="AI676" s="558"/>
      <c r="AL676" s="535"/>
      <c r="AP676" s="535"/>
    </row>
    <row r="677">
      <c r="A677" s="552"/>
      <c r="B677" s="552"/>
      <c r="N677" s="535"/>
      <c r="O677" s="558"/>
      <c r="R677" s="535"/>
      <c r="S677" s="558"/>
      <c r="V677" s="535"/>
      <c r="W677" s="558"/>
      <c r="Z677" s="535"/>
      <c r="AA677" s="558"/>
      <c r="AD677" s="535"/>
      <c r="AE677" s="558"/>
      <c r="AH677" s="535"/>
      <c r="AI677" s="558"/>
      <c r="AL677" s="535"/>
      <c r="AP677" s="535"/>
    </row>
    <row r="678">
      <c r="A678" s="552"/>
      <c r="B678" s="552"/>
      <c r="N678" s="535"/>
      <c r="O678" s="558"/>
      <c r="R678" s="535"/>
      <c r="S678" s="558"/>
      <c r="V678" s="535"/>
      <c r="W678" s="558"/>
      <c r="Z678" s="535"/>
      <c r="AA678" s="558"/>
      <c r="AD678" s="535"/>
      <c r="AE678" s="558"/>
      <c r="AH678" s="535"/>
      <c r="AI678" s="558"/>
      <c r="AL678" s="535"/>
      <c r="AP678" s="535"/>
    </row>
    <row r="679">
      <c r="A679" s="552"/>
      <c r="B679" s="552"/>
      <c r="N679" s="535"/>
      <c r="O679" s="558"/>
      <c r="R679" s="535"/>
      <c r="S679" s="558"/>
      <c r="V679" s="535"/>
      <c r="W679" s="558"/>
      <c r="Z679" s="535"/>
      <c r="AA679" s="558"/>
      <c r="AD679" s="535"/>
      <c r="AE679" s="558"/>
      <c r="AH679" s="535"/>
      <c r="AI679" s="558"/>
      <c r="AL679" s="535"/>
      <c r="AP679" s="535"/>
    </row>
    <row r="680">
      <c r="A680" s="552"/>
      <c r="B680" s="552"/>
      <c r="N680" s="535"/>
      <c r="O680" s="558"/>
      <c r="R680" s="535"/>
      <c r="S680" s="558"/>
      <c r="V680" s="535"/>
      <c r="W680" s="558"/>
      <c r="Z680" s="535"/>
      <c r="AA680" s="558"/>
      <c r="AD680" s="535"/>
      <c r="AE680" s="558"/>
      <c r="AH680" s="535"/>
      <c r="AI680" s="558"/>
      <c r="AL680" s="535"/>
      <c r="AP680" s="535"/>
    </row>
    <row r="681">
      <c r="A681" s="552"/>
      <c r="B681" s="552"/>
      <c r="N681" s="535"/>
      <c r="O681" s="558"/>
      <c r="R681" s="535"/>
      <c r="S681" s="558"/>
      <c r="V681" s="535"/>
      <c r="W681" s="558"/>
      <c r="Z681" s="535"/>
      <c r="AA681" s="558"/>
      <c r="AD681" s="535"/>
      <c r="AE681" s="558"/>
      <c r="AH681" s="535"/>
      <c r="AI681" s="558"/>
      <c r="AL681" s="535"/>
      <c r="AP681" s="535"/>
    </row>
    <row r="682">
      <c r="A682" s="552"/>
      <c r="B682" s="552"/>
      <c r="N682" s="535"/>
      <c r="O682" s="558"/>
      <c r="R682" s="535"/>
      <c r="S682" s="558"/>
      <c r="V682" s="535"/>
      <c r="W682" s="558"/>
      <c r="Z682" s="535"/>
      <c r="AA682" s="558"/>
      <c r="AD682" s="535"/>
      <c r="AE682" s="558"/>
      <c r="AH682" s="535"/>
      <c r="AI682" s="558"/>
      <c r="AL682" s="535"/>
      <c r="AP682" s="535"/>
    </row>
    <row r="683">
      <c r="A683" s="552"/>
      <c r="B683" s="552"/>
      <c r="N683" s="535"/>
      <c r="O683" s="558"/>
      <c r="R683" s="535"/>
      <c r="S683" s="558"/>
      <c r="V683" s="535"/>
      <c r="W683" s="558"/>
      <c r="Z683" s="535"/>
      <c r="AA683" s="558"/>
      <c r="AD683" s="535"/>
      <c r="AE683" s="558"/>
      <c r="AH683" s="535"/>
      <c r="AI683" s="558"/>
      <c r="AL683" s="535"/>
      <c r="AP683" s="535"/>
    </row>
    <row r="684">
      <c r="A684" s="552"/>
      <c r="B684" s="552"/>
      <c r="N684" s="535"/>
      <c r="O684" s="558"/>
      <c r="R684" s="535"/>
      <c r="S684" s="558"/>
      <c r="V684" s="535"/>
      <c r="W684" s="558"/>
      <c r="Z684" s="535"/>
      <c r="AA684" s="558"/>
      <c r="AD684" s="535"/>
      <c r="AE684" s="558"/>
      <c r="AH684" s="535"/>
      <c r="AI684" s="558"/>
      <c r="AL684" s="535"/>
      <c r="AP684" s="535"/>
    </row>
    <row r="685">
      <c r="A685" s="552"/>
      <c r="B685" s="552"/>
      <c r="N685" s="535"/>
      <c r="O685" s="558"/>
      <c r="R685" s="535"/>
      <c r="S685" s="558"/>
      <c r="V685" s="535"/>
      <c r="W685" s="558"/>
      <c r="Z685" s="535"/>
      <c r="AA685" s="558"/>
      <c r="AD685" s="535"/>
      <c r="AE685" s="558"/>
      <c r="AH685" s="535"/>
      <c r="AI685" s="558"/>
      <c r="AL685" s="535"/>
      <c r="AP685" s="535"/>
    </row>
    <row r="686">
      <c r="A686" s="552"/>
      <c r="B686" s="552"/>
      <c r="N686" s="535"/>
      <c r="O686" s="558"/>
      <c r="R686" s="535"/>
      <c r="S686" s="558"/>
      <c r="V686" s="535"/>
      <c r="W686" s="558"/>
      <c r="Z686" s="535"/>
      <c r="AA686" s="558"/>
      <c r="AD686" s="535"/>
      <c r="AE686" s="558"/>
      <c r="AH686" s="535"/>
      <c r="AI686" s="558"/>
      <c r="AL686" s="535"/>
      <c r="AP686" s="535"/>
    </row>
    <row r="687">
      <c r="A687" s="552"/>
      <c r="B687" s="552"/>
      <c r="N687" s="535"/>
      <c r="O687" s="558"/>
      <c r="R687" s="535"/>
      <c r="S687" s="558"/>
      <c r="V687" s="535"/>
      <c r="W687" s="558"/>
      <c r="Z687" s="535"/>
      <c r="AA687" s="558"/>
      <c r="AD687" s="535"/>
      <c r="AE687" s="558"/>
      <c r="AH687" s="535"/>
      <c r="AI687" s="558"/>
      <c r="AL687" s="535"/>
      <c r="AP687" s="535"/>
    </row>
    <row r="688">
      <c r="A688" s="552"/>
      <c r="B688" s="552"/>
      <c r="N688" s="535"/>
      <c r="O688" s="558"/>
      <c r="R688" s="535"/>
      <c r="S688" s="558"/>
      <c r="V688" s="535"/>
      <c r="W688" s="558"/>
      <c r="Z688" s="535"/>
      <c r="AA688" s="558"/>
      <c r="AD688" s="535"/>
      <c r="AE688" s="558"/>
      <c r="AH688" s="535"/>
      <c r="AI688" s="558"/>
      <c r="AL688" s="535"/>
      <c r="AP688" s="535"/>
    </row>
    <row r="689">
      <c r="A689" s="552"/>
      <c r="B689" s="552"/>
      <c r="N689" s="535"/>
      <c r="O689" s="558"/>
      <c r="R689" s="535"/>
      <c r="S689" s="558"/>
      <c r="V689" s="535"/>
      <c r="W689" s="558"/>
      <c r="Z689" s="535"/>
      <c r="AA689" s="558"/>
      <c r="AD689" s="535"/>
      <c r="AE689" s="558"/>
      <c r="AH689" s="535"/>
      <c r="AI689" s="558"/>
      <c r="AL689" s="535"/>
      <c r="AP689" s="535"/>
    </row>
    <row r="690">
      <c r="A690" s="552"/>
      <c r="B690" s="552"/>
      <c r="N690" s="535"/>
      <c r="O690" s="558"/>
      <c r="R690" s="535"/>
      <c r="S690" s="558"/>
      <c r="V690" s="535"/>
      <c r="W690" s="558"/>
      <c r="Z690" s="535"/>
      <c r="AA690" s="558"/>
      <c r="AD690" s="535"/>
      <c r="AE690" s="558"/>
      <c r="AH690" s="535"/>
      <c r="AI690" s="558"/>
      <c r="AL690" s="535"/>
      <c r="AP690" s="535"/>
    </row>
    <row r="691">
      <c r="A691" s="552"/>
      <c r="B691" s="552"/>
      <c r="N691" s="535"/>
      <c r="O691" s="558"/>
      <c r="R691" s="535"/>
      <c r="S691" s="558"/>
      <c r="V691" s="535"/>
      <c r="W691" s="558"/>
      <c r="Z691" s="535"/>
      <c r="AA691" s="558"/>
      <c r="AD691" s="535"/>
      <c r="AE691" s="558"/>
      <c r="AH691" s="535"/>
      <c r="AI691" s="558"/>
      <c r="AL691" s="535"/>
      <c r="AP691" s="535"/>
    </row>
    <row r="692">
      <c r="A692" s="552"/>
      <c r="B692" s="552"/>
      <c r="N692" s="535"/>
      <c r="O692" s="558"/>
      <c r="R692" s="535"/>
      <c r="S692" s="558"/>
      <c r="V692" s="535"/>
      <c r="W692" s="558"/>
      <c r="Z692" s="535"/>
      <c r="AA692" s="558"/>
      <c r="AD692" s="535"/>
      <c r="AE692" s="558"/>
      <c r="AH692" s="535"/>
      <c r="AI692" s="558"/>
      <c r="AL692" s="535"/>
      <c r="AP692" s="535"/>
    </row>
    <row r="693">
      <c r="A693" s="552"/>
      <c r="B693" s="552"/>
      <c r="N693" s="535"/>
      <c r="O693" s="558"/>
      <c r="R693" s="535"/>
      <c r="S693" s="558"/>
      <c r="V693" s="535"/>
      <c r="W693" s="558"/>
      <c r="Z693" s="535"/>
      <c r="AA693" s="558"/>
      <c r="AD693" s="535"/>
      <c r="AE693" s="558"/>
      <c r="AH693" s="535"/>
      <c r="AI693" s="558"/>
      <c r="AL693" s="535"/>
      <c r="AP693" s="535"/>
    </row>
    <row r="694">
      <c r="A694" s="552"/>
      <c r="B694" s="552"/>
      <c r="N694" s="535"/>
      <c r="O694" s="558"/>
      <c r="R694" s="535"/>
      <c r="S694" s="558"/>
      <c r="V694" s="535"/>
      <c r="W694" s="558"/>
      <c r="Z694" s="535"/>
      <c r="AA694" s="558"/>
      <c r="AD694" s="535"/>
      <c r="AE694" s="558"/>
      <c r="AH694" s="535"/>
      <c r="AI694" s="558"/>
      <c r="AL694" s="535"/>
      <c r="AP694" s="535"/>
    </row>
    <row r="695">
      <c r="A695" s="552"/>
      <c r="B695" s="552"/>
      <c r="N695" s="535"/>
      <c r="O695" s="558"/>
      <c r="R695" s="535"/>
      <c r="S695" s="558"/>
      <c r="V695" s="535"/>
      <c r="W695" s="558"/>
      <c r="Z695" s="535"/>
      <c r="AA695" s="558"/>
      <c r="AD695" s="535"/>
      <c r="AE695" s="558"/>
      <c r="AH695" s="535"/>
      <c r="AI695" s="558"/>
      <c r="AL695" s="535"/>
      <c r="AP695" s="535"/>
    </row>
    <row r="696">
      <c r="A696" s="552"/>
      <c r="B696" s="552"/>
      <c r="N696" s="535"/>
      <c r="O696" s="558"/>
      <c r="R696" s="535"/>
      <c r="S696" s="558"/>
      <c r="V696" s="535"/>
      <c r="W696" s="558"/>
      <c r="Z696" s="535"/>
      <c r="AA696" s="558"/>
      <c r="AD696" s="535"/>
      <c r="AE696" s="558"/>
      <c r="AH696" s="535"/>
      <c r="AI696" s="558"/>
      <c r="AL696" s="535"/>
      <c r="AP696" s="535"/>
    </row>
    <row r="697">
      <c r="A697" s="552"/>
      <c r="B697" s="552"/>
      <c r="N697" s="535"/>
      <c r="O697" s="558"/>
      <c r="R697" s="535"/>
      <c r="S697" s="558"/>
      <c r="V697" s="535"/>
      <c r="W697" s="558"/>
      <c r="Z697" s="535"/>
      <c r="AA697" s="558"/>
      <c r="AD697" s="535"/>
      <c r="AE697" s="558"/>
      <c r="AH697" s="535"/>
      <c r="AI697" s="558"/>
      <c r="AL697" s="535"/>
      <c r="AP697" s="535"/>
    </row>
    <row r="698">
      <c r="A698" s="552"/>
      <c r="B698" s="552"/>
      <c r="N698" s="535"/>
      <c r="O698" s="558"/>
      <c r="R698" s="535"/>
      <c r="S698" s="558"/>
      <c r="V698" s="535"/>
      <c r="W698" s="558"/>
      <c r="Z698" s="535"/>
      <c r="AA698" s="558"/>
      <c r="AD698" s="535"/>
      <c r="AE698" s="558"/>
      <c r="AH698" s="535"/>
      <c r="AI698" s="558"/>
      <c r="AL698" s="535"/>
      <c r="AP698" s="535"/>
    </row>
    <row r="699">
      <c r="A699" s="552"/>
      <c r="B699" s="552"/>
      <c r="N699" s="535"/>
      <c r="O699" s="558"/>
      <c r="R699" s="535"/>
      <c r="S699" s="558"/>
      <c r="V699" s="535"/>
      <c r="W699" s="558"/>
      <c r="Z699" s="535"/>
      <c r="AA699" s="558"/>
      <c r="AD699" s="535"/>
      <c r="AE699" s="558"/>
      <c r="AH699" s="535"/>
      <c r="AI699" s="558"/>
      <c r="AL699" s="535"/>
      <c r="AP699" s="535"/>
    </row>
    <row r="700">
      <c r="A700" s="552"/>
      <c r="B700" s="552"/>
      <c r="N700" s="535"/>
      <c r="O700" s="558"/>
      <c r="R700" s="535"/>
      <c r="S700" s="558"/>
      <c r="V700" s="535"/>
      <c r="W700" s="558"/>
      <c r="Z700" s="535"/>
      <c r="AA700" s="558"/>
      <c r="AD700" s="535"/>
      <c r="AE700" s="558"/>
      <c r="AH700" s="535"/>
      <c r="AI700" s="558"/>
      <c r="AL700" s="535"/>
      <c r="AP700" s="535"/>
    </row>
    <row r="701">
      <c r="A701" s="552"/>
      <c r="B701" s="552"/>
      <c r="N701" s="535"/>
      <c r="O701" s="558"/>
      <c r="R701" s="535"/>
      <c r="S701" s="558"/>
      <c r="V701" s="535"/>
      <c r="W701" s="558"/>
      <c r="Z701" s="535"/>
      <c r="AA701" s="558"/>
      <c r="AD701" s="535"/>
      <c r="AE701" s="558"/>
      <c r="AH701" s="535"/>
      <c r="AI701" s="558"/>
      <c r="AL701" s="535"/>
      <c r="AP701" s="535"/>
    </row>
    <row r="702">
      <c r="A702" s="552"/>
      <c r="B702" s="552"/>
      <c r="N702" s="535"/>
      <c r="O702" s="558"/>
      <c r="R702" s="535"/>
      <c r="S702" s="558"/>
      <c r="V702" s="535"/>
      <c r="W702" s="558"/>
      <c r="Z702" s="535"/>
      <c r="AA702" s="558"/>
      <c r="AD702" s="535"/>
      <c r="AE702" s="558"/>
      <c r="AH702" s="535"/>
      <c r="AI702" s="558"/>
      <c r="AL702" s="535"/>
      <c r="AP702" s="535"/>
    </row>
    <row r="703">
      <c r="A703" s="552"/>
      <c r="B703" s="552"/>
      <c r="N703" s="535"/>
      <c r="O703" s="558"/>
      <c r="R703" s="535"/>
      <c r="S703" s="558"/>
      <c r="V703" s="535"/>
      <c r="W703" s="558"/>
      <c r="Z703" s="535"/>
      <c r="AA703" s="558"/>
      <c r="AD703" s="535"/>
      <c r="AE703" s="558"/>
      <c r="AH703" s="535"/>
      <c r="AI703" s="558"/>
      <c r="AL703" s="535"/>
      <c r="AP703" s="535"/>
    </row>
    <row r="704">
      <c r="A704" s="552"/>
      <c r="B704" s="552"/>
      <c r="N704" s="535"/>
      <c r="O704" s="558"/>
      <c r="R704" s="535"/>
      <c r="S704" s="558"/>
      <c r="V704" s="535"/>
      <c r="W704" s="558"/>
      <c r="Z704" s="535"/>
      <c r="AA704" s="558"/>
      <c r="AD704" s="535"/>
      <c r="AE704" s="558"/>
      <c r="AH704" s="535"/>
      <c r="AI704" s="558"/>
      <c r="AL704" s="535"/>
      <c r="AP704" s="535"/>
    </row>
    <row r="705">
      <c r="A705" s="552"/>
      <c r="B705" s="552"/>
      <c r="N705" s="535"/>
      <c r="O705" s="558"/>
      <c r="R705" s="535"/>
      <c r="S705" s="558"/>
      <c r="V705" s="535"/>
      <c r="W705" s="558"/>
      <c r="Z705" s="535"/>
      <c r="AA705" s="558"/>
      <c r="AD705" s="535"/>
      <c r="AE705" s="558"/>
      <c r="AH705" s="535"/>
      <c r="AI705" s="558"/>
      <c r="AL705" s="535"/>
      <c r="AP705" s="535"/>
    </row>
    <row r="706">
      <c r="A706" s="552"/>
      <c r="B706" s="552"/>
      <c r="N706" s="535"/>
      <c r="O706" s="558"/>
      <c r="R706" s="535"/>
      <c r="S706" s="558"/>
      <c r="V706" s="535"/>
      <c r="W706" s="558"/>
      <c r="Z706" s="535"/>
      <c r="AA706" s="558"/>
      <c r="AD706" s="535"/>
      <c r="AE706" s="558"/>
      <c r="AH706" s="535"/>
      <c r="AI706" s="558"/>
      <c r="AL706" s="535"/>
      <c r="AP706" s="535"/>
    </row>
    <row r="707">
      <c r="A707" s="552"/>
      <c r="B707" s="552"/>
      <c r="N707" s="535"/>
      <c r="O707" s="558"/>
      <c r="R707" s="535"/>
      <c r="S707" s="558"/>
      <c r="V707" s="535"/>
      <c r="W707" s="558"/>
      <c r="Z707" s="535"/>
      <c r="AA707" s="558"/>
      <c r="AD707" s="535"/>
      <c r="AE707" s="558"/>
      <c r="AH707" s="535"/>
      <c r="AI707" s="558"/>
      <c r="AL707" s="535"/>
      <c r="AP707" s="535"/>
    </row>
    <row r="708">
      <c r="A708" s="552"/>
      <c r="B708" s="552"/>
      <c r="N708" s="535"/>
      <c r="O708" s="558"/>
      <c r="R708" s="535"/>
      <c r="S708" s="558"/>
      <c r="V708" s="535"/>
      <c r="W708" s="558"/>
      <c r="Z708" s="535"/>
      <c r="AA708" s="558"/>
      <c r="AD708" s="535"/>
      <c r="AE708" s="558"/>
      <c r="AH708" s="535"/>
      <c r="AI708" s="558"/>
      <c r="AL708" s="535"/>
      <c r="AP708" s="535"/>
    </row>
    <row r="709">
      <c r="A709" s="552"/>
      <c r="B709" s="552"/>
      <c r="N709" s="535"/>
      <c r="O709" s="558"/>
      <c r="R709" s="535"/>
      <c r="S709" s="558"/>
      <c r="V709" s="535"/>
      <c r="W709" s="558"/>
      <c r="Z709" s="535"/>
      <c r="AA709" s="558"/>
      <c r="AD709" s="535"/>
      <c r="AE709" s="558"/>
      <c r="AH709" s="535"/>
      <c r="AI709" s="558"/>
      <c r="AL709" s="535"/>
      <c r="AP709" s="535"/>
    </row>
    <row r="710">
      <c r="A710" s="552"/>
      <c r="B710" s="552"/>
      <c r="N710" s="535"/>
      <c r="O710" s="558"/>
      <c r="R710" s="535"/>
      <c r="S710" s="558"/>
      <c r="V710" s="535"/>
      <c r="W710" s="558"/>
      <c r="Z710" s="535"/>
      <c r="AA710" s="558"/>
      <c r="AD710" s="535"/>
      <c r="AE710" s="558"/>
      <c r="AH710" s="535"/>
      <c r="AI710" s="558"/>
      <c r="AL710" s="535"/>
      <c r="AP710" s="535"/>
    </row>
    <row r="711">
      <c r="A711" s="552"/>
      <c r="B711" s="552"/>
      <c r="N711" s="535"/>
      <c r="O711" s="558"/>
      <c r="R711" s="535"/>
      <c r="S711" s="558"/>
      <c r="V711" s="535"/>
      <c r="W711" s="558"/>
      <c r="Z711" s="535"/>
      <c r="AA711" s="558"/>
      <c r="AD711" s="535"/>
      <c r="AE711" s="558"/>
      <c r="AH711" s="535"/>
      <c r="AI711" s="558"/>
      <c r="AL711" s="535"/>
      <c r="AP711" s="535"/>
    </row>
    <row r="712">
      <c r="A712" s="552"/>
      <c r="B712" s="552"/>
      <c r="N712" s="535"/>
      <c r="O712" s="558"/>
      <c r="R712" s="535"/>
      <c r="S712" s="558"/>
      <c r="V712" s="535"/>
      <c r="W712" s="558"/>
      <c r="Z712" s="535"/>
      <c r="AA712" s="558"/>
      <c r="AD712" s="535"/>
      <c r="AE712" s="558"/>
      <c r="AH712" s="535"/>
      <c r="AI712" s="558"/>
      <c r="AL712" s="535"/>
      <c r="AP712" s="535"/>
    </row>
    <row r="713">
      <c r="A713" s="552"/>
      <c r="B713" s="552"/>
      <c r="N713" s="535"/>
      <c r="O713" s="558"/>
      <c r="R713" s="535"/>
      <c r="S713" s="558"/>
      <c r="V713" s="535"/>
      <c r="W713" s="558"/>
      <c r="Z713" s="535"/>
      <c r="AA713" s="558"/>
      <c r="AD713" s="535"/>
      <c r="AE713" s="558"/>
      <c r="AH713" s="535"/>
      <c r="AI713" s="558"/>
      <c r="AL713" s="535"/>
      <c r="AP713" s="535"/>
    </row>
    <row r="714">
      <c r="A714" s="552"/>
      <c r="B714" s="552"/>
      <c r="N714" s="535"/>
      <c r="O714" s="558"/>
      <c r="R714" s="535"/>
      <c r="S714" s="558"/>
      <c r="V714" s="535"/>
      <c r="W714" s="558"/>
      <c r="Z714" s="535"/>
      <c r="AA714" s="558"/>
      <c r="AD714" s="535"/>
      <c r="AE714" s="558"/>
      <c r="AH714" s="535"/>
      <c r="AI714" s="558"/>
      <c r="AL714" s="535"/>
      <c r="AP714" s="535"/>
    </row>
    <row r="715">
      <c r="A715" s="552"/>
      <c r="B715" s="552"/>
      <c r="N715" s="535"/>
      <c r="O715" s="558"/>
      <c r="R715" s="535"/>
      <c r="S715" s="558"/>
      <c r="V715" s="535"/>
      <c r="W715" s="558"/>
      <c r="Z715" s="535"/>
      <c r="AA715" s="558"/>
      <c r="AD715" s="535"/>
      <c r="AE715" s="558"/>
      <c r="AH715" s="535"/>
      <c r="AI715" s="558"/>
      <c r="AL715" s="535"/>
      <c r="AP715" s="535"/>
    </row>
    <row r="716">
      <c r="A716" s="552"/>
      <c r="B716" s="552"/>
      <c r="N716" s="535"/>
      <c r="O716" s="558"/>
      <c r="R716" s="535"/>
      <c r="S716" s="558"/>
      <c r="V716" s="535"/>
      <c r="W716" s="558"/>
      <c r="Z716" s="535"/>
      <c r="AA716" s="558"/>
      <c r="AD716" s="535"/>
      <c r="AE716" s="558"/>
      <c r="AH716" s="535"/>
      <c r="AI716" s="558"/>
      <c r="AL716" s="535"/>
      <c r="AP716" s="535"/>
    </row>
    <row r="717">
      <c r="A717" s="552"/>
      <c r="B717" s="552"/>
      <c r="N717" s="535"/>
      <c r="O717" s="558"/>
      <c r="R717" s="535"/>
      <c r="S717" s="558"/>
      <c r="V717" s="535"/>
      <c r="W717" s="558"/>
      <c r="Z717" s="535"/>
      <c r="AA717" s="558"/>
      <c r="AD717" s="535"/>
      <c r="AE717" s="558"/>
      <c r="AH717" s="535"/>
      <c r="AI717" s="558"/>
      <c r="AL717" s="535"/>
      <c r="AP717" s="535"/>
    </row>
    <row r="718">
      <c r="A718" s="552"/>
      <c r="B718" s="552"/>
      <c r="N718" s="535"/>
      <c r="O718" s="558"/>
      <c r="R718" s="535"/>
      <c r="S718" s="558"/>
      <c r="V718" s="535"/>
      <c r="W718" s="558"/>
      <c r="Z718" s="535"/>
      <c r="AA718" s="558"/>
      <c r="AD718" s="535"/>
      <c r="AE718" s="558"/>
      <c r="AH718" s="535"/>
      <c r="AI718" s="558"/>
      <c r="AL718" s="535"/>
      <c r="AP718" s="535"/>
    </row>
    <row r="719">
      <c r="A719" s="552"/>
      <c r="B719" s="552"/>
      <c r="N719" s="535"/>
      <c r="O719" s="558"/>
      <c r="R719" s="535"/>
      <c r="S719" s="558"/>
      <c r="V719" s="535"/>
      <c r="W719" s="558"/>
      <c r="Z719" s="535"/>
      <c r="AA719" s="558"/>
      <c r="AD719" s="535"/>
      <c r="AE719" s="558"/>
      <c r="AH719" s="535"/>
      <c r="AI719" s="558"/>
      <c r="AL719" s="535"/>
      <c r="AP719" s="535"/>
    </row>
    <row r="720">
      <c r="A720" s="552"/>
      <c r="B720" s="552"/>
      <c r="N720" s="535"/>
      <c r="O720" s="558"/>
      <c r="R720" s="535"/>
      <c r="S720" s="558"/>
      <c r="V720" s="535"/>
      <c r="W720" s="558"/>
      <c r="Z720" s="535"/>
      <c r="AA720" s="558"/>
      <c r="AD720" s="535"/>
      <c r="AE720" s="558"/>
      <c r="AH720" s="535"/>
      <c r="AI720" s="558"/>
      <c r="AL720" s="535"/>
      <c r="AP720" s="535"/>
    </row>
    <row r="721">
      <c r="A721" s="552"/>
      <c r="B721" s="552"/>
      <c r="N721" s="535"/>
      <c r="O721" s="558"/>
      <c r="R721" s="535"/>
      <c r="S721" s="558"/>
      <c r="V721" s="535"/>
      <c r="W721" s="558"/>
      <c r="Z721" s="535"/>
      <c r="AA721" s="558"/>
      <c r="AD721" s="535"/>
      <c r="AE721" s="558"/>
      <c r="AH721" s="535"/>
      <c r="AI721" s="558"/>
      <c r="AL721" s="535"/>
      <c r="AP721" s="535"/>
    </row>
    <row r="722">
      <c r="A722" s="552"/>
      <c r="B722" s="552"/>
      <c r="N722" s="535"/>
      <c r="O722" s="558"/>
      <c r="R722" s="535"/>
      <c r="S722" s="558"/>
      <c r="V722" s="535"/>
      <c r="W722" s="558"/>
      <c r="Z722" s="535"/>
      <c r="AA722" s="558"/>
      <c r="AD722" s="535"/>
      <c r="AE722" s="558"/>
      <c r="AH722" s="535"/>
      <c r="AI722" s="558"/>
      <c r="AL722" s="535"/>
      <c r="AP722" s="535"/>
    </row>
    <row r="723">
      <c r="A723" s="552"/>
      <c r="B723" s="552"/>
      <c r="N723" s="535"/>
      <c r="O723" s="558"/>
      <c r="R723" s="535"/>
      <c r="S723" s="558"/>
      <c r="V723" s="535"/>
      <c r="W723" s="558"/>
      <c r="Z723" s="535"/>
      <c r="AA723" s="558"/>
      <c r="AD723" s="535"/>
      <c r="AE723" s="558"/>
      <c r="AH723" s="535"/>
      <c r="AI723" s="558"/>
      <c r="AL723" s="535"/>
      <c r="AP723" s="535"/>
    </row>
    <row r="724">
      <c r="A724" s="552"/>
      <c r="B724" s="552"/>
      <c r="N724" s="535"/>
      <c r="O724" s="558"/>
      <c r="R724" s="535"/>
      <c r="S724" s="558"/>
      <c r="V724" s="535"/>
      <c r="W724" s="558"/>
      <c r="Z724" s="535"/>
      <c r="AA724" s="558"/>
      <c r="AD724" s="535"/>
      <c r="AE724" s="558"/>
      <c r="AH724" s="535"/>
      <c r="AI724" s="558"/>
      <c r="AL724" s="535"/>
      <c r="AP724" s="535"/>
    </row>
    <row r="725">
      <c r="A725" s="552"/>
      <c r="B725" s="552"/>
      <c r="N725" s="535"/>
      <c r="O725" s="558"/>
      <c r="R725" s="535"/>
      <c r="S725" s="558"/>
      <c r="V725" s="535"/>
      <c r="W725" s="558"/>
      <c r="Z725" s="535"/>
      <c r="AA725" s="558"/>
      <c r="AD725" s="535"/>
      <c r="AE725" s="558"/>
      <c r="AH725" s="535"/>
      <c r="AI725" s="558"/>
      <c r="AL725" s="535"/>
      <c r="AP725" s="535"/>
    </row>
    <row r="726">
      <c r="A726" s="552"/>
      <c r="B726" s="552"/>
      <c r="N726" s="535"/>
      <c r="O726" s="558"/>
      <c r="R726" s="535"/>
      <c r="S726" s="558"/>
      <c r="V726" s="535"/>
      <c r="W726" s="558"/>
      <c r="Z726" s="535"/>
      <c r="AA726" s="558"/>
      <c r="AD726" s="535"/>
      <c r="AE726" s="558"/>
      <c r="AH726" s="535"/>
      <c r="AI726" s="558"/>
      <c r="AL726" s="535"/>
      <c r="AP726" s="535"/>
    </row>
    <row r="727">
      <c r="A727" s="552"/>
      <c r="B727" s="552"/>
      <c r="N727" s="535"/>
      <c r="O727" s="558"/>
      <c r="R727" s="535"/>
      <c r="S727" s="558"/>
      <c r="V727" s="535"/>
      <c r="W727" s="558"/>
      <c r="Z727" s="535"/>
      <c r="AA727" s="558"/>
      <c r="AD727" s="535"/>
      <c r="AE727" s="558"/>
      <c r="AH727" s="535"/>
      <c r="AI727" s="558"/>
      <c r="AL727" s="535"/>
      <c r="AP727" s="535"/>
    </row>
    <row r="728">
      <c r="A728" s="552"/>
      <c r="B728" s="552"/>
      <c r="N728" s="535"/>
      <c r="O728" s="558"/>
      <c r="R728" s="535"/>
      <c r="S728" s="558"/>
      <c r="V728" s="535"/>
      <c r="W728" s="558"/>
      <c r="Z728" s="535"/>
      <c r="AA728" s="558"/>
      <c r="AD728" s="535"/>
      <c r="AE728" s="558"/>
      <c r="AH728" s="535"/>
      <c r="AI728" s="558"/>
      <c r="AL728" s="535"/>
      <c r="AP728" s="535"/>
    </row>
    <row r="729">
      <c r="A729" s="552"/>
      <c r="B729" s="552"/>
      <c r="N729" s="535"/>
      <c r="O729" s="558"/>
      <c r="R729" s="535"/>
      <c r="S729" s="558"/>
      <c r="V729" s="535"/>
      <c r="W729" s="558"/>
      <c r="Z729" s="535"/>
      <c r="AA729" s="558"/>
      <c r="AD729" s="535"/>
      <c r="AE729" s="558"/>
      <c r="AH729" s="535"/>
      <c r="AI729" s="558"/>
      <c r="AL729" s="535"/>
      <c r="AP729" s="535"/>
    </row>
    <row r="730">
      <c r="A730" s="552"/>
      <c r="B730" s="552"/>
      <c r="N730" s="535"/>
      <c r="O730" s="558"/>
      <c r="R730" s="535"/>
      <c r="S730" s="558"/>
      <c r="V730" s="535"/>
      <c r="W730" s="558"/>
      <c r="Z730" s="535"/>
      <c r="AA730" s="558"/>
      <c r="AD730" s="535"/>
      <c r="AE730" s="558"/>
      <c r="AH730" s="535"/>
      <c r="AI730" s="558"/>
      <c r="AL730" s="535"/>
      <c r="AP730" s="535"/>
    </row>
    <row r="731">
      <c r="A731" s="552"/>
      <c r="B731" s="552"/>
      <c r="N731" s="535"/>
      <c r="O731" s="558"/>
      <c r="R731" s="535"/>
      <c r="S731" s="558"/>
      <c r="V731" s="535"/>
      <c r="W731" s="558"/>
      <c r="Z731" s="535"/>
      <c r="AA731" s="558"/>
      <c r="AD731" s="535"/>
      <c r="AE731" s="558"/>
      <c r="AH731" s="535"/>
      <c r="AI731" s="558"/>
      <c r="AL731" s="535"/>
      <c r="AP731" s="535"/>
    </row>
    <row r="732">
      <c r="A732" s="552"/>
      <c r="B732" s="552"/>
      <c r="N732" s="535"/>
      <c r="O732" s="558"/>
      <c r="R732" s="535"/>
      <c r="S732" s="558"/>
      <c r="V732" s="535"/>
      <c r="W732" s="558"/>
      <c r="Z732" s="535"/>
      <c r="AA732" s="558"/>
      <c r="AD732" s="535"/>
      <c r="AE732" s="558"/>
      <c r="AH732" s="535"/>
      <c r="AI732" s="558"/>
      <c r="AL732" s="535"/>
      <c r="AP732" s="535"/>
    </row>
    <row r="733">
      <c r="A733" s="552"/>
      <c r="B733" s="552"/>
      <c r="N733" s="535"/>
      <c r="O733" s="558"/>
      <c r="R733" s="535"/>
      <c r="S733" s="558"/>
      <c r="V733" s="535"/>
      <c r="W733" s="558"/>
      <c r="Z733" s="535"/>
      <c r="AA733" s="558"/>
      <c r="AD733" s="535"/>
      <c r="AE733" s="558"/>
      <c r="AH733" s="535"/>
      <c r="AI733" s="558"/>
      <c r="AL733" s="535"/>
      <c r="AP733" s="535"/>
    </row>
    <row r="734">
      <c r="A734" s="552"/>
      <c r="B734" s="552"/>
      <c r="N734" s="535"/>
      <c r="O734" s="558"/>
      <c r="R734" s="535"/>
      <c r="S734" s="558"/>
      <c r="V734" s="535"/>
      <c r="W734" s="558"/>
      <c r="Z734" s="535"/>
      <c r="AA734" s="558"/>
      <c r="AD734" s="535"/>
      <c r="AE734" s="558"/>
      <c r="AH734" s="535"/>
      <c r="AI734" s="558"/>
      <c r="AL734" s="535"/>
      <c r="AP734" s="535"/>
    </row>
    <row r="735">
      <c r="A735" s="552"/>
      <c r="B735" s="552"/>
      <c r="N735" s="535"/>
      <c r="O735" s="558"/>
      <c r="R735" s="535"/>
      <c r="S735" s="558"/>
      <c r="V735" s="535"/>
      <c r="W735" s="558"/>
      <c r="Z735" s="535"/>
      <c r="AA735" s="558"/>
      <c r="AD735" s="535"/>
      <c r="AE735" s="558"/>
      <c r="AH735" s="535"/>
      <c r="AI735" s="558"/>
      <c r="AL735" s="535"/>
      <c r="AP735" s="535"/>
    </row>
    <row r="736">
      <c r="A736" s="552"/>
      <c r="B736" s="552"/>
      <c r="N736" s="535"/>
      <c r="O736" s="558"/>
      <c r="R736" s="535"/>
      <c r="S736" s="558"/>
      <c r="V736" s="535"/>
      <c r="W736" s="558"/>
      <c r="Z736" s="535"/>
      <c r="AA736" s="558"/>
      <c r="AD736" s="535"/>
      <c r="AE736" s="558"/>
      <c r="AH736" s="535"/>
      <c r="AI736" s="558"/>
      <c r="AL736" s="535"/>
      <c r="AP736" s="535"/>
    </row>
    <row r="737">
      <c r="A737" s="552"/>
      <c r="B737" s="552"/>
      <c r="N737" s="535"/>
      <c r="O737" s="558"/>
      <c r="R737" s="535"/>
      <c r="S737" s="558"/>
      <c r="V737" s="535"/>
      <c r="W737" s="558"/>
      <c r="Z737" s="535"/>
      <c r="AA737" s="558"/>
      <c r="AD737" s="535"/>
      <c r="AE737" s="558"/>
      <c r="AH737" s="535"/>
      <c r="AI737" s="558"/>
      <c r="AL737" s="535"/>
      <c r="AP737" s="535"/>
    </row>
    <row r="738">
      <c r="A738" s="552"/>
      <c r="B738" s="552"/>
      <c r="N738" s="535"/>
      <c r="O738" s="558"/>
      <c r="R738" s="535"/>
      <c r="S738" s="558"/>
      <c r="V738" s="535"/>
      <c r="W738" s="558"/>
      <c r="Z738" s="535"/>
      <c r="AA738" s="558"/>
      <c r="AD738" s="535"/>
      <c r="AE738" s="558"/>
      <c r="AH738" s="535"/>
      <c r="AI738" s="558"/>
      <c r="AL738" s="535"/>
      <c r="AP738" s="535"/>
    </row>
    <row r="739">
      <c r="A739" s="552"/>
      <c r="B739" s="552"/>
      <c r="N739" s="535"/>
      <c r="O739" s="558"/>
      <c r="R739" s="535"/>
      <c r="S739" s="558"/>
      <c r="V739" s="535"/>
      <c r="W739" s="558"/>
      <c r="Z739" s="535"/>
      <c r="AA739" s="558"/>
      <c r="AD739" s="535"/>
      <c r="AE739" s="558"/>
      <c r="AH739" s="535"/>
      <c r="AI739" s="558"/>
      <c r="AL739" s="535"/>
      <c r="AP739" s="535"/>
    </row>
    <row r="740">
      <c r="A740" s="552"/>
      <c r="B740" s="552"/>
      <c r="N740" s="535"/>
      <c r="O740" s="558"/>
      <c r="R740" s="535"/>
      <c r="S740" s="558"/>
      <c r="V740" s="535"/>
      <c r="W740" s="558"/>
      <c r="Z740" s="535"/>
      <c r="AA740" s="558"/>
      <c r="AD740" s="535"/>
      <c r="AE740" s="558"/>
      <c r="AH740" s="535"/>
      <c r="AI740" s="558"/>
      <c r="AL740" s="535"/>
      <c r="AP740" s="535"/>
    </row>
    <row r="741">
      <c r="A741" s="552"/>
      <c r="B741" s="552"/>
      <c r="N741" s="535"/>
      <c r="O741" s="558"/>
      <c r="R741" s="535"/>
      <c r="S741" s="558"/>
      <c r="V741" s="535"/>
      <c r="W741" s="558"/>
      <c r="Z741" s="535"/>
      <c r="AA741" s="558"/>
      <c r="AD741" s="535"/>
      <c r="AE741" s="558"/>
      <c r="AH741" s="535"/>
      <c r="AI741" s="558"/>
      <c r="AL741" s="535"/>
      <c r="AP741" s="535"/>
    </row>
    <row r="742">
      <c r="A742" s="552"/>
      <c r="B742" s="552"/>
      <c r="N742" s="535"/>
      <c r="O742" s="558"/>
      <c r="R742" s="535"/>
      <c r="S742" s="558"/>
      <c r="V742" s="535"/>
      <c r="W742" s="558"/>
      <c r="Z742" s="535"/>
      <c r="AA742" s="558"/>
      <c r="AD742" s="535"/>
      <c r="AE742" s="558"/>
      <c r="AH742" s="535"/>
      <c r="AI742" s="558"/>
      <c r="AL742" s="535"/>
      <c r="AP742" s="535"/>
    </row>
    <row r="743">
      <c r="A743" s="552"/>
      <c r="B743" s="552"/>
      <c r="N743" s="535"/>
      <c r="O743" s="558"/>
      <c r="R743" s="535"/>
      <c r="S743" s="558"/>
      <c r="V743" s="535"/>
      <c r="W743" s="558"/>
      <c r="Z743" s="535"/>
      <c r="AA743" s="558"/>
      <c r="AD743" s="535"/>
      <c r="AE743" s="558"/>
      <c r="AH743" s="535"/>
      <c r="AI743" s="558"/>
      <c r="AL743" s="535"/>
      <c r="AP743" s="535"/>
    </row>
    <row r="744">
      <c r="A744" s="552"/>
      <c r="B744" s="552"/>
      <c r="N744" s="535"/>
      <c r="O744" s="558"/>
      <c r="R744" s="535"/>
      <c r="S744" s="558"/>
      <c r="V744" s="535"/>
      <c r="W744" s="558"/>
      <c r="Z744" s="535"/>
      <c r="AA744" s="558"/>
      <c r="AD744" s="535"/>
      <c r="AE744" s="558"/>
      <c r="AH744" s="535"/>
      <c r="AI744" s="558"/>
      <c r="AL744" s="535"/>
      <c r="AP744" s="535"/>
    </row>
    <row r="745">
      <c r="A745" s="552"/>
      <c r="B745" s="552"/>
      <c r="N745" s="535"/>
      <c r="O745" s="558"/>
      <c r="R745" s="535"/>
      <c r="S745" s="558"/>
      <c r="V745" s="535"/>
      <c r="W745" s="558"/>
      <c r="Z745" s="535"/>
      <c r="AA745" s="558"/>
      <c r="AD745" s="535"/>
      <c r="AE745" s="558"/>
      <c r="AH745" s="535"/>
      <c r="AI745" s="558"/>
      <c r="AL745" s="535"/>
      <c r="AP745" s="535"/>
    </row>
    <row r="746">
      <c r="A746" s="552"/>
      <c r="B746" s="552"/>
      <c r="N746" s="535"/>
      <c r="O746" s="558"/>
      <c r="R746" s="535"/>
      <c r="S746" s="558"/>
      <c r="V746" s="535"/>
      <c r="W746" s="558"/>
      <c r="Z746" s="535"/>
      <c r="AA746" s="558"/>
      <c r="AD746" s="535"/>
      <c r="AE746" s="558"/>
      <c r="AH746" s="535"/>
      <c r="AI746" s="558"/>
      <c r="AL746" s="535"/>
      <c r="AP746" s="535"/>
    </row>
    <row r="747">
      <c r="A747" s="552"/>
      <c r="B747" s="552"/>
      <c r="N747" s="535"/>
      <c r="O747" s="558"/>
      <c r="R747" s="535"/>
      <c r="S747" s="558"/>
      <c r="V747" s="535"/>
      <c r="W747" s="558"/>
      <c r="Z747" s="535"/>
      <c r="AA747" s="558"/>
      <c r="AD747" s="535"/>
      <c r="AE747" s="558"/>
      <c r="AH747" s="535"/>
      <c r="AI747" s="558"/>
      <c r="AL747" s="535"/>
      <c r="AP747" s="535"/>
    </row>
    <row r="748">
      <c r="A748" s="552"/>
      <c r="B748" s="552"/>
      <c r="N748" s="535"/>
      <c r="O748" s="558"/>
      <c r="R748" s="535"/>
      <c r="S748" s="558"/>
      <c r="V748" s="535"/>
      <c r="W748" s="558"/>
      <c r="Z748" s="535"/>
      <c r="AA748" s="558"/>
      <c r="AD748" s="535"/>
      <c r="AE748" s="558"/>
      <c r="AH748" s="535"/>
      <c r="AI748" s="558"/>
      <c r="AL748" s="535"/>
      <c r="AP748" s="535"/>
    </row>
    <row r="749">
      <c r="A749" s="552"/>
      <c r="B749" s="552"/>
      <c r="N749" s="535"/>
      <c r="O749" s="558"/>
      <c r="R749" s="535"/>
      <c r="S749" s="558"/>
      <c r="V749" s="535"/>
      <c r="W749" s="558"/>
      <c r="Z749" s="535"/>
      <c r="AA749" s="558"/>
      <c r="AD749" s="535"/>
      <c r="AE749" s="558"/>
      <c r="AH749" s="535"/>
      <c r="AI749" s="558"/>
      <c r="AL749" s="535"/>
      <c r="AP749" s="535"/>
    </row>
    <row r="750">
      <c r="A750" s="552"/>
      <c r="B750" s="552"/>
      <c r="N750" s="535"/>
      <c r="O750" s="558"/>
      <c r="R750" s="535"/>
      <c r="S750" s="558"/>
      <c r="V750" s="535"/>
      <c r="W750" s="558"/>
      <c r="Z750" s="535"/>
      <c r="AA750" s="558"/>
      <c r="AD750" s="535"/>
      <c r="AE750" s="558"/>
      <c r="AH750" s="535"/>
      <c r="AI750" s="558"/>
      <c r="AL750" s="535"/>
      <c r="AP750" s="535"/>
    </row>
    <row r="751">
      <c r="A751" s="552"/>
      <c r="B751" s="552"/>
      <c r="N751" s="535"/>
      <c r="O751" s="558"/>
      <c r="R751" s="535"/>
      <c r="S751" s="558"/>
      <c r="V751" s="535"/>
      <c r="W751" s="558"/>
      <c r="Z751" s="535"/>
      <c r="AA751" s="558"/>
      <c r="AD751" s="535"/>
      <c r="AE751" s="558"/>
      <c r="AH751" s="535"/>
      <c r="AI751" s="558"/>
      <c r="AL751" s="535"/>
      <c r="AP751" s="535"/>
    </row>
    <row r="752">
      <c r="A752" s="552"/>
      <c r="B752" s="552"/>
      <c r="N752" s="535"/>
      <c r="O752" s="558"/>
      <c r="R752" s="535"/>
      <c r="S752" s="558"/>
      <c r="V752" s="535"/>
      <c r="W752" s="558"/>
      <c r="Z752" s="535"/>
      <c r="AA752" s="558"/>
      <c r="AD752" s="535"/>
      <c r="AE752" s="558"/>
      <c r="AH752" s="535"/>
      <c r="AI752" s="558"/>
      <c r="AL752" s="535"/>
      <c r="AP752" s="535"/>
    </row>
    <row r="753">
      <c r="A753" s="552"/>
      <c r="B753" s="552"/>
      <c r="N753" s="535"/>
      <c r="O753" s="558"/>
      <c r="R753" s="535"/>
      <c r="S753" s="558"/>
      <c r="V753" s="535"/>
      <c r="W753" s="558"/>
      <c r="Z753" s="535"/>
      <c r="AA753" s="558"/>
      <c r="AD753" s="535"/>
      <c r="AE753" s="558"/>
      <c r="AH753" s="535"/>
      <c r="AI753" s="558"/>
      <c r="AL753" s="535"/>
      <c r="AP753" s="535"/>
    </row>
    <row r="754">
      <c r="A754" s="552"/>
      <c r="B754" s="552"/>
      <c r="N754" s="535"/>
      <c r="O754" s="558"/>
      <c r="R754" s="535"/>
      <c r="S754" s="558"/>
      <c r="V754" s="535"/>
      <c r="W754" s="558"/>
      <c r="Z754" s="535"/>
      <c r="AA754" s="558"/>
      <c r="AD754" s="535"/>
      <c r="AE754" s="558"/>
      <c r="AH754" s="535"/>
      <c r="AI754" s="558"/>
      <c r="AL754" s="535"/>
      <c r="AP754" s="535"/>
    </row>
    <row r="755">
      <c r="A755" s="552"/>
      <c r="B755" s="552"/>
      <c r="N755" s="535"/>
      <c r="O755" s="558"/>
      <c r="R755" s="535"/>
      <c r="S755" s="558"/>
      <c r="V755" s="535"/>
      <c r="W755" s="558"/>
      <c r="Z755" s="535"/>
      <c r="AA755" s="558"/>
      <c r="AD755" s="535"/>
      <c r="AE755" s="558"/>
      <c r="AH755" s="535"/>
      <c r="AI755" s="558"/>
      <c r="AL755" s="535"/>
      <c r="AP755" s="535"/>
    </row>
    <row r="756">
      <c r="A756" s="552"/>
      <c r="B756" s="552"/>
      <c r="N756" s="535"/>
      <c r="O756" s="558"/>
      <c r="R756" s="535"/>
      <c r="S756" s="558"/>
      <c r="V756" s="535"/>
      <c r="W756" s="558"/>
      <c r="Z756" s="535"/>
      <c r="AA756" s="558"/>
      <c r="AD756" s="535"/>
      <c r="AE756" s="558"/>
      <c r="AH756" s="535"/>
      <c r="AI756" s="558"/>
      <c r="AL756" s="535"/>
      <c r="AP756" s="535"/>
    </row>
    <row r="757">
      <c r="A757" s="552"/>
      <c r="B757" s="552"/>
      <c r="N757" s="535"/>
      <c r="O757" s="558"/>
      <c r="R757" s="535"/>
      <c r="S757" s="558"/>
      <c r="V757" s="535"/>
      <c r="W757" s="558"/>
      <c r="Z757" s="535"/>
      <c r="AA757" s="558"/>
      <c r="AD757" s="535"/>
      <c r="AE757" s="558"/>
      <c r="AH757" s="535"/>
      <c r="AI757" s="558"/>
      <c r="AL757" s="535"/>
      <c r="AP757" s="535"/>
    </row>
    <row r="758">
      <c r="A758" s="552"/>
      <c r="B758" s="552"/>
      <c r="N758" s="535"/>
      <c r="O758" s="558"/>
      <c r="R758" s="535"/>
      <c r="S758" s="558"/>
      <c r="V758" s="535"/>
      <c r="W758" s="558"/>
      <c r="Z758" s="535"/>
      <c r="AA758" s="558"/>
      <c r="AD758" s="535"/>
      <c r="AE758" s="558"/>
      <c r="AH758" s="535"/>
      <c r="AI758" s="558"/>
      <c r="AL758" s="535"/>
      <c r="AP758" s="535"/>
    </row>
    <row r="759">
      <c r="A759" s="552"/>
      <c r="B759" s="552"/>
      <c r="N759" s="535"/>
      <c r="O759" s="558"/>
      <c r="R759" s="535"/>
      <c r="S759" s="558"/>
      <c r="V759" s="535"/>
      <c r="W759" s="558"/>
      <c r="Z759" s="535"/>
      <c r="AA759" s="558"/>
      <c r="AD759" s="535"/>
      <c r="AE759" s="558"/>
      <c r="AH759" s="535"/>
      <c r="AI759" s="558"/>
      <c r="AL759" s="535"/>
      <c r="AP759" s="535"/>
    </row>
    <row r="760">
      <c r="A760" s="552"/>
      <c r="B760" s="552"/>
      <c r="N760" s="535"/>
      <c r="O760" s="558"/>
      <c r="R760" s="535"/>
      <c r="S760" s="558"/>
      <c r="V760" s="535"/>
      <c r="W760" s="558"/>
      <c r="Z760" s="535"/>
      <c r="AA760" s="558"/>
      <c r="AD760" s="535"/>
      <c r="AE760" s="558"/>
      <c r="AH760" s="535"/>
      <c r="AI760" s="558"/>
      <c r="AL760" s="535"/>
      <c r="AP760" s="535"/>
    </row>
    <row r="761">
      <c r="A761" s="552"/>
      <c r="B761" s="552"/>
      <c r="N761" s="535"/>
      <c r="O761" s="558"/>
      <c r="R761" s="535"/>
      <c r="S761" s="558"/>
      <c r="V761" s="535"/>
      <c r="W761" s="558"/>
      <c r="Z761" s="535"/>
      <c r="AA761" s="558"/>
      <c r="AD761" s="535"/>
      <c r="AE761" s="558"/>
      <c r="AH761" s="535"/>
      <c r="AI761" s="558"/>
      <c r="AL761" s="535"/>
      <c r="AP761" s="535"/>
    </row>
    <row r="762">
      <c r="A762" s="552"/>
      <c r="B762" s="552"/>
      <c r="N762" s="535"/>
      <c r="O762" s="558"/>
      <c r="R762" s="535"/>
      <c r="S762" s="558"/>
      <c r="V762" s="535"/>
      <c r="W762" s="558"/>
      <c r="Z762" s="535"/>
      <c r="AA762" s="558"/>
      <c r="AD762" s="535"/>
      <c r="AE762" s="558"/>
      <c r="AH762" s="535"/>
      <c r="AI762" s="558"/>
      <c r="AL762" s="535"/>
      <c r="AP762" s="535"/>
    </row>
    <row r="763">
      <c r="A763" s="552"/>
      <c r="B763" s="552"/>
      <c r="N763" s="535"/>
      <c r="O763" s="558"/>
      <c r="R763" s="535"/>
      <c r="S763" s="558"/>
      <c r="V763" s="535"/>
      <c r="W763" s="558"/>
      <c r="Z763" s="535"/>
      <c r="AA763" s="558"/>
      <c r="AD763" s="535"/>
      <c r="AE763" s="558"/>
      <c r="AH763" s="535"/>
      <c r="AI763" s="558"/>
      <c r="AL763" s="535"/>
      <c r="AP763" s="535"/>
    </row>
    <row r="764">
      <c r="A764" s="552"/>
      <c r="B764" s="552"/>
      <c r="N764" s="535"/>
      <c r="O764" s="558"/>
      <c r="R764" s="535"/>
      <c r="S764" s="558"/>
      <c r="V764" s="535"/>
      <c r="W764" s="558"/>
      <c r="Z764" s="535"/>
      <c r="AA764" s="558"/>
      <c r="AD764" s="535"/>
      <c r="AE764" s="558"/>
      <c r="AH764" s="535"/>
      <c r="AI764" s="558"/>
      <c r="AL764" s="535"/>
      <c r="AP764" s="535"/>
    </row>
    <row r="765">
      <c r="A765" s="552"/>
      <c r="B765" s="552"/>
      <c r="N765" s="535"/>
      <c r="O765" s="558"/>
      <c r="R765" s="535"/>
      <c r="S765" s="558"/>
      <c r="V765" s="535"/>
      <c r="W765" s="558"/>
      <c r="Z765" s="535"/>
      <c r="AA765" s="558"/>
      <c r="AD765" s="535"/>
      <c r="AE765" s="558"/>
      <c r="AH765" s="535"/>
      <c r="AI765" s="558"/>
      <c r="AL765" s="535"/>
      <c r="AP765" s="535"/>
    </row>
    <row r="766">
      <c r="A766" s="552"/>
      <c r="B766" s="552"/>
      <c r="N766" s="535"/>
      <c r="O766" s="558"/>
      <c r="R766" s="535"/>
      <c r="S766" s="558"/>
      <c r="V766" s="535"/>
      <c r="W766" s="558"/>
      <c r="Z766" s="535"/>
      <c r="AA766" s="558"/>
      <c r="AD766" s="535"/>
      <c r="AE766" s="558"/>
      <c r="AH766" s="535"/>
      <c r="AI766" s="558"/>
      <c r="AL766" s="535"/>
      <c r="AP766" s="535"/>
    </row>
    <row r="767">
      <c r="A767" s="552"/>
      <c r="B767" s="552"/>
      <c r="N767" s="535"/>
      <c r="O767" s="558"/>
      <c r="R767" s="535"/>
      <c r="S767" s="558"/>
      <c r="V767" s="535"/>
      <c r="W767" s="558"/>
      <c r="Z767" s="535"/>
      <c r="AA767" s="558"/>
      <c r="AD767" s="535"/>
      <c r="AE767" s="558"/>
      <c r="AH767" s="535"/>
      <c r="AI767" s="558"/>
      <c r="AL767" s="535"/>
      <c r="AP767" s="535"/>
    </row>
    <row r="768">
      <c r="A768" s="552"/>
      <c r="B768" s="552"/>
      <c r="N768" s="535"/>
      <c r="O768" s="558"/>
      <c r="R768" s="535"/>
      <c r="S768" s="558"/>
      <c r="V768" s="535"/>
      <c r="W768" s="558"/>
      <c r="Z768" s="535"/>
      <c r="AA768" s="558"/>
      <c r="AD768" s="535"/>
      <c r="AE768" s="558"/>
      <c r="AH768" s="535"/>
      <c r="AI768" s="558"/>
      <c r="AL768" s="535"/>
      <c r="AP768" s="535"/>
    </row>
    <row r="769">
      <c r="A769" s="552"/>
      <c r="B769" s="552"/>
      <c r="N769" s="535"/>
      <c r="O769" s="558"/>
      <c r="R769" s="535"/>
      <c r="S769" s="558"/>
      <c r="V769" s="535"/>
      <c r="W769" s="558"/>
      <c r="Z769" s="535"/>
      <c r="AA769" s="558"/>
      <c r="AD769" s="535"/>
      <c r="AE769" s="558"/>
      <c r="AH769" s="535"/>
      <c r="AI769" s="558"/>
      <c r="AL769" s="535"/>
      <c r="AP769" s="535"/>
    </row>
    <row r="770">
      <c r="A770" s="552"/>
      <c r="B770" s="552"/>
      <c r="N770" s="535"/>
      <c r="O770" s="558"/>
      <c r="R770" s="535"/>
      <c r="S770" s="558"/>
      <c r="V770" s="535"/>
      <c r="W770" s="558"/>
      <c r="Z770" s="535"/>
      <c r="AA770" s="558"/>
      <c r="AD770" s="535"/>
      <c r="AE770" s="558"/>
      <c r="AH770" s="535"/>
      <c r="AI770" s="558"/>
      <c r="AL770" s="535"/>
      <c r="AP770" s="535"/>
    </row>
    <row r="771">
      <c r="A771" s="552"/>
      <c r="B771" s="552"/>
      <c r="N771" s="535"/>
      <c r="O771" s="558"/>
      <c r="R771" s="535"/>
      <c r="S771" s="558"/>
      <c r="V771" s="535"/>
      <c r="W771" s="558"/>
      <c r="Z771" s="535"/>
      <c r="AA771" s="558"/>
      <c r="AD771" s="535"/>
      <c r="AE771" s="558"/>
      <c r="AH771" s="535"/>
      <c r="AI771" s="558"/>
      <c r="AL771" s="535"/>
      <c r="AP771" s="535"/>
    </row>
    <row r="772">
      <c r="A772" s="552"/>
      <c r="B772" s="552"/>
      <c r="N772" s="535"/>
      <c r="O772" s="558"/>
      <c r="R772" s="535"/>
      <c r="S772" s="558"/>
      <c r="V772" s="535"/>
      <c r="W772" s="558"/>
      <c r="Z772" s="535"/>
      <c r="AA772" s="558"/>
      <c r="AD772" s="535"/>
      <c r="AE772" s="558"/>
      <c r="AH772" s="535"/>
      <c r="AI772" s="558"/>
      <c r="AL772" s="535"/>
      <c r="AP772" s="535"/>
    </row>
    <row r="773">
      <c r="A773" s="552"/>
      <c r="B773" s="552"/>
      <c r="N773" s="535"/>
      <c r="O773" s="558"/>
      <c r="R773" s="535"/>
      <c r="S773" s="558"/>
      <c r="V773" s="535"/>
      <c r="W773" s="558"/>
      <c r="Z773" s="535"/>
      <c r="AA773" s="558"/>
      <c r="AD773" s="535"/>
      <c r="AE773" s="558"/>
      <c r="AH773" s="535"/>
      <c r="AI773" s="558"/>
      <c r="AL773" s="535"/>
      <c r="AP773" s="535"/>
    </row>
    <row r="774">
      <c r="A774" s="552"/>
      <c r="B774" s="552"/>
      <c r="N774" s="535"/>
      <c r="O774" s="558"/>
      <c r="R774" s="535"/>
      <c r="S774" s="558"/>
      <c r="V774" s="535"/>
      <c r="W774" s="558"/>
      <c r="Z774" s="535"/>
      <c r="AA774" s="558"/>
      <c r="AD774" s="535"/>
      <c r="AE774" s="558"/>
      <c r="AH774" s="535"/>
      <c r="AI774" s="558"/>
      <c r="AL774" s="535"/>
      <c r="AP774" s="535"/>
    </row>
    <row r="775">
      <c r="A775" s="552"/>
      <c r="B775" s="552"/>
      <c r="N775" s="535"/>
      <c r="O775" s="558"/>
      <c r="R775" s="535"/>
      <c r="S775" s="558"/>
      <c r="V775" s="535"/>
      <c r="W775" s="558"/>
      <c r="Z775" s="535"/>
      <c r="AA775" s="558"/>
      <c r="AD775" s="535"/>
      <c r="AE775" s="558"/>
      <c r="AH775" s="535"/>
      <c r="AI775" s="558"/>
      <c r="AL775" s="535"/>
      <c r="AP775" s="535"/>
    </row>
    <row r="776">
      <c r="A776" s="552"/>
      <c r="B776" s="552"/>
      <c r="N776" s="535"/>
      <c r="O776" s="558"/>
      <c r="R776" s="535"/>
      <c r="S776" s="558"/>
      <c r="V776" s="535"/>
      <c r="W776" s="558"/>
      <c r="Z776" s="535"/>
      <c r="AA776" s="558"/>
      <c r="AD776" s="535"/>
      <c r="AE776" s="558"/>
      <c r="AH776" s="535"/>
      <c r="AI776" s="558"/>
      <c r="AL776" s="535"/>
      <c r="AP776" s="535"/>
    </row>
    <row r="777">
      <c r="A777" s="552"/>
      <c r="B777" s="552"/>
      <c r="N777" s="535"/>
      <c r="O777" s="558"/>
      <c r="R777" s="535"/>
      <c r="S777" s="558"/>
      <c r="V777" s="535"/>
      <c r="W777" s="558"/>
      <c r="Z777" s="535"/>
      <c r="AA777" s="558"/>
      <c r="AD777" s="535"/>
      <c r="AE777" s="558"/>
      <c r="AH777" s="535"/>
      <c r="AI777" s="558"/>
      <c r="AL777" s="535"/>
      <c r="AP777" s="535"/>
    </row>
    <row r="778">
      <c r="A778" s="552"/>
      <c r="B778" s="552"/>
      <c r="N778" s="535"/>
      <c r="O778" s="558"/>
      <c r="R778" s="535"/>
      <c r="S778" s="558"/>
      <c r="V778" s="535"/>
      <c r="W778" s="558"/>
      <c r="Z778" s="535"/>
      <c r="AA778" s="558"/>
      <c r="AD778" s="535"/>
      <c r="AE778" s="558"/>
      <c r="AH778" s="535"/>
      <c r="AI778" s="558"/>
      <c r="AL778" s="535"/>
      <c r="AP778" s="535"/>
    </row>
    <row r="779">
      <c r="A779" s="552"/>
      <c r="B779" s="552"/>
      <c r="N779" s="535"/>
      <c r="O779" s="558"/>
      <c r="R779" s="535"/>
      <c r="S779" s="558"/>
      <c r="V779" s="535"/>
      <c r="W779" s="558"/>
      <c r="Z779" s="535"/>
      <c r="AA779" s="558"/>
      <c r="AD779" s="535"/>
      <c r="AE779" s="558"/>
      <c r="AH779" s="535"/>
      <c r="AI779" s="558"/>
      <c r="AL779" s="535"/>
      <c r="AP779" s="535"/>
    </row>
    <row r="780">
      <c r="A780" s="552"/>
      <c r="B780" s="552"/>
      <c r="N780" s="535"/>
      <c r="O780" s="558"/>
      <c r="R780" s="535"/>
      <c r="S780" s="558"/>
      <c r="V780" s="535"/>
      <c r="W780" s="558"/>
      <c r="Z780" s="535"/>
      <c r="AA780" s="558"/>
      <c r="AD780" s="535"/>
      <c r="AE780" s="558"/>
      <c r="AH780" s="535"/>
      <c r="AI780" s="558"/>
      <c r="AL780" s="535"/>
      <c r="AP780" s="535"/>
    </row>
    <row r="781">
      <c r="A781" s="552"/>
      <c r="B781" s="552"/>
      <c r="N781" s="535"/>
      <c r="O781" s="558"/>
      <c r="R781" s="535"/>
      <c r="S781" s="558"/>
      <c r="V781" s="535"/>
      <c r="W781" s="558"/>
      <c r="Z781" s="535"/>
      <c r="AA781" s="558"/>
      <c r="AD781" s="535"/>
      <c r="AE781" s="558"/>
      <c r="AH781" s="535"/>
      <c r="AI781" s="558"/>
      <c r="AL781" s="535"/>
      <c r="AP781" s="535"/>
    </row>
    <row r="782">
      <c r="A782" s="552"/>
      <c r="B782" s="552"/>
      <c r="N782" s="535"/>
      <c r="O782" s="558"/>
      <c r="R782" s="535"/>
      <c r="S782" s="558"/>
      <c r="V782" s="535"/>
      <c r="W782" s="558"/>
      <c r="Z782" s="535"/>
      <c r="AA782" s="558"/>
      <c r="AD782" s="535"/>
      <c r="AE782" s="558"/>
      <c r="AH782" s="535"/>
      <c r="AI782" s="558"/>
      <c r="AL782" s="535"/>
      <c r="AP782" s="535"/>
    </row>
    <row r="783">
      <c r="A783" s="552"/>
      <c r="B783" s="552"/>
      <c r="N783" s="535"/>
      <c r="O783" s="558"/>
      <c r="R783" s="535"/>
      <c r="S783" s="558"/>
      <c r="V783" s="535"/>
      <c r="W783" s="558"/>
      <c r="Z783" s="535"/>
      <c r="AA783" s="558"/>
      <c r="AD783" s="535"/>
      <c r="AE783" s="558"/>
      <c r="AH783" s="535"/>
      <c r="AI783" s="558"/>
      <c r="AL783" s="535"/>
      <c r="AP783" s="535"/>
    </row>
    <row r="784">
      <c r="A784" s="552"/>
      <c r="B784" s="552"/>
      <c r="N784" s="535"/>
      <c r="O784" s="558"/>
      <c r="R784" s="535"/>
      <c r="S784" s="558"/>
      <c r="V784" s="535"/>
      <c r="W784" s="558"/>
      <c r="Z784" s="535"/>
      <c r="AA784" s="558"/>
      <c r="AD784" s="535"/>
      <c r="AE784" s="558"/>
      <c r="AH784" s="535"/>
      <c r="AI784" s="558"/>
      <c r="AL784" s="535"/>
      <c r="AP784" s="535"/>
    </row>
    <row r="785">
      <c r="A785" s="552"/>
      <c r="B785" s="552"/>
      <c r="N785" s="535"/>
      <c r="O785" s="558"/>
      <c r="R785" s="535"/>
      <c r="S785" s="558"/>
      <c r="V785" s="535"/>
      <c r="W785" s="558"/>
      <c r="Z785" s="535"/>
      <c r="AA785" s="558"/>
      <c r="AD785" s="535"/>
      <c r="AE785" s="558"/>
      <c r="AH785" s="535"/>
      <c r="AI785" s="558"/>
      <c r="AL785" s="535"/>
      <c r="AP785" s="535"/>
    </row>
    <row r="786">
      <c r="A786" s="552"/>
      <c r="B786" s="552"/>
      <c r="N786" s="535"/>
      <c r="O786" s="558"/>
      <c r="R786" s="535"/>
      <c r="S786" s="558"/>
      <c r="V786" s="535"/>
      <c r="W786" s="558"/>
      <c r="Z786" s="535"/>
      <c r="AA786" s="558"/>
      <c r="AD786" s="535"/>
      <c r="AE786" s="558"/>
      <c r="AH786" s="535"/>
      <c r="AI786" s="558"/>
      <c r="AL786" s="535"/>
      <c r="AP786" s="535"/>
    </row>
    <row r="787">
      <c r="A787" s="552"/>
      <c r="B787" s="552"/>
      <c r="N787" s="535"/>
      <c r="O787" s="558"/>
      <c r="R787" s="535"/>
      <c r="S787" s="558"/>
      <c r="V787" s="535"/>
      <c r="W787" s="558"/>
      <c r="Z787" s="535"/>
      <c r="AA787" s="558"/>
      <c r="AD787" s="535"/>
      <c r="AE787" s="558"/>
      <c r="AH787" s="535"/>
      <c r="AI787" s="558"/>
      <c r="AL787" s="535"/>
      <c r="AP787" s="535"/>
    </row>
    <row r="788">
      <c r="A788" s="552"/>
      <c r="B788" s="552"/>
      <c r="N788" s="535"/>
      <c r="O788" s="558"/>
      <c r="R788" s="535"/>
      <c r="S788" s="558"/>
      <c r="V788" s="535"/>
      <c r="W788" s="558"/>
      <c r="Z788" s="535"/>
      <c r="AA788" s="558"/>
      <c r="AD788" s="535"/>
      <c r="AE788" s="558"/>
      <c r="AH788" s="535"/>
      <c r="AI788" s="558"/>
      <c r="AL788" s="535"/>
      <c r="AP788" s="535"/>
    </row>
    <row r="789">
      <c r="A789" s="552"/>
      <c r="B789" s="552"/>
      <c r="N789" s="535"/>
      <c r="O789" s="558"/>
      <c r="R789" s="535"/>
      <c r="S789" s="558"/>
      <c r="V789" s="535"/>
      <c r="W789" s="558"/>
      <c r="Z789" s="535"/>
      <c r="AA789" s="558"/>
      <c r="AD789" s="535"/>
      <c r="AE789" s="558"/>
      <c r="AH789" s="535"/>
      <c r="AI789" s="558"/>
      <c r="AL789" s="535"/>
      <c r="AP789" s="535"/>
    </row>
    <row r="790">
      <c r="A790" s="552"/>
      <c r="B790" s="552"/>
      <c r="N790" s="535"/>
      <c r="O790" s="558"/>
      <c r="R790" s="535"/>
      <c r="S790" s="558"/>
      <c r="V790" s="535"/>
      <c r="W790" s="558"/>
      <c r="Z790" s="535"/>
      <c r="AA790" s="558"/>
      <c r="AD790" s="535"/>
      <c r="AE790" s="558"/>
      <c r="AH790" s="535"/>
      <c r="AI790" s="558"/>
      <c r="AL790" s="535"/>
      <c r="AP790" s="535"/>
    </row>
    <row r="791">
      <c r="A791" s="552"/>
      <c r="B791" s="552"/>
      <c r="N791" s="535"/>
      <c r="O791" s="558"/>
      <c r="R791" s="535"/>
      <c r="S791" s="558"/>
      <c r="V791" s="535"/>
      <c r="W791" s="558"/>
      <c r="Z791" s="535"/>
      <c r="AA791" s="558"/>
      <c r="AD791" s="535"/>
      <c r="AE791" s="558"/>
      <c r="AH791" s="535"/>
      <c r="AI791" s="558"/>
      <c r="AL791" s="535"/>
      <c r="AP791" s="535"/>
    </row>
    <row r="792">
      <c r="A792" s="552"/>
      <c r="B792" s="552"/>
      <c r="N792" s="535"/>
      <c r="O792" s="558"/>
      <c r="R792" s="535"/>
      <c r="S792" s="558"/>
      <c r="V792" s="535"/>
      <c r="W792" s="558"/>
      <c r="Z792" s="535"/>
      <c r="AA792" s="558"/>
      <c r="AD792" s="535"/>
      <c r="AE792" s="558"/>
      <c r="AH792" s="535"/>
      <c r="AI792" s="558"/>
      <c r="AL792" s="535"/>
      <c r="AP792" s="535"/>
    </row>
    <row r="793">
      <c r="A793" s="552"/>
      <c r="B793" s="552"/>
      <c r="N793" s="535"/>
      <c r="O793" s="558"/>
      <c r="R793" s="535"/>
      <c r="S793" s="558"/>
      <c r="V793" s="535"/>
      <c r="W793" s="558"/>
      <c r="Z793" s="535"/>
      <c r="AA793" s="558"/>
      <c r="AD793" s="535"/>
      <c r="AE793" s="558"/>
      <c r="AH793" s="535"/>
      <c r="AI793" s="558"/>
      <c r="AL793" s="535"/>
      <c r="AP793" s="535"/>
    </row>
    <row r="794">
      <c r="A794" s="552"/>
      <c r="B794" s="552"/>
      <c r="N794" s="535"/>
      <c r="O794" s="558"/>
      <c r="R794" s="535"/>
      <c r="S794" s="558"/>
      <c r="V794" s="535"/>
      <c r="W794" s="558"/>
      <c r="Z794" s="535"/>
      <c r="AA794" s="558"/>
      <c r="AD794" s="535"/>
      <c r="AE794" s="558"/>
      <c r="AH794" s="535"/>
      <c r="AI794" s="558"/>
      <c r="AL794" s="535"/>
      <c r="AP794" s="535"/>
    </row>
    <row r="795">
      <c r="A795" s="552"/>
      <c r="B795" s="552"/>
      <c r="N795" s="535"/>
      <c r="O795" s="558"/>
      <c r="R795" s="535"/>
      <c r="S795" s="558"/>
      <c r="V795" s="535"/>
      <c r="W795" s="558"/>
      <c r="Z795" s="535"/>
      <c r="AA795" s="558"/>
      <c r="AD795" s="535"/>
      <c r="AE795" s="558"/>
      <c r="AH795" s="535"/>
      <c r="AI795" s="558"/>
      <c r="AL795" s="535"/>
      <c r="AP795" s="535"/>
    </row>
    <row r="796">
      <c r="A796" s="552"/>
      <c r="B796" s="552"/>
      <c r="N796" s="535"/>
      <c r="O796" s="558"/>
      <c r="R796" s="535"/>
      <c r="S796" s="558"/>
      <c r="V796" s="535"/>
      <c r="W796" s="558"/>
      <c r="Z796" s="535"/>
      <c r="AA796" s="558"/>
      <c r="AD796" s="535"/>
      <c r="AE796" s="558"/>
      <c r="AH796" s="535"/>
      <c r="AI796" s="558"/>
      <c r="AL796" s="535"/>
      <c r="AP796" s="535"/>
    </row>
    <row r="797">
      <c r="A797" s="552"/>
      <c r="B797" s="552"/>
      <c r="N797" s="535"/>
      <c r="O797" s="558"/>
      <c r="R797" s="535"/>
      <c r="S797" s="558"/>
      <c r="V797" s="535"/>
      <c r="W797" s="558"/>
      <c r="Z797" s="535"/>
      <c r="AA797" s="558"/>
      <c r="AD797" s="535"/>
      <c r="AE797" s="558"/>
      <c r="AH797" s="535"/>
      <c r="AI797" s="558"/>
      <c r="AL797" s="535"/>
      <c r="AP797" s="535"/>
    </row>
    <row r="798">
      <c r="A798" s="552"/>
      <c r="B798" s="552"/>
      <c r="N798" s="535"/>
      <c r="O798" s="558"/>
      <c r="R798" s="535"/>
      <c r="S798" s="558"/>
      <c r="V798" s="535"/>
      <c r="W798" s="558"/>
      <c r="Z798" s="535"/>
      <c r="AA798" s="558"/>
      <c r="AD798" s="535"/>
      <c r="AE798" s="558"/>
      <c r="AH798" s="535"/>
      <c r="AI798" s="558"/>
      <c r="AL798" s="535"/>
      <c r="AP798" s="535"/>
    </row>
    <row r="799">
      <c r="A799" s="552"/>
      <c r="B799" s="552"/>
      <c r="N799" s="535"/>
      <c r="O799" s="558"/>
      <c r="R799" s="535"/>
      <c r="S799" s="558"/>
      <c r="V799" s="535"/>
      <c r="W799" s="558"/>
      <c r="Z799" s="535"/>
      <c r="AA799" s="558"/>
      <c r="AD799" s="535"/>
      <c r="AE799" s="558"/>
      <c r="AH799" s="535"/>
      <c r="AI799" s="558"/>
      <c r="AL799" s="535"/>
      <c r="AP799" s="535"/>
    </row>
    <row r="800">
      <c r="A800" s="552"/>
      <c r="B800" s="552"/>
      <c r="N800" s="535"/>
      <c r="O800" s="558"/>
      <c r="R800" s="535"/>
      <c r="S800" s="558"/>
      <c r="V800" s="535"/>
      <c r="W800" s="558"/>
      <c r="Z800" s="535"/>
      <c r="AA800" s="558"/>
      <c r="AD800" s="535"/>
      <c r="AE800" s="558"/>
      <c r="AH800" s="535"/>
      <c r="AI800" s="558"/>
      <c r="AL800" s="535"/>
      <c r="AP800" s="535"/>
    </row>
    <row r="801">
      <c r="A801" s="552"/>
      <c r="B801" s="552"/>
      <c r="N801" s="535"/>
      <c r="O801" s="558"/>
      <c r="R801" s="535"/>
      <c r="S801" s="558"/>
      <c r="V801" s="535"/>
      <c r="W801" s="558"/>
      <c r="Z801" s="535"/>
      <c r="AA801" s="558"/>
      <c r="AD801" s="535"/>
      <c r="AE801" s="558"/>
      <c r="AH801" s="535"/>
      <c r="AI801" s="558"/>
      <c r="AL801" s="535"/>
      <c r="AP801" s="535"/>
    </row>
    <row r="802">
      <c r="A802" s="552"/>
      <c r="B802" s="552"/>
      <c r="N802" s="535"/>
      <c r="O802" s="558"/>
      <c r="R802" s="535"/>
      <c r="S802" s="558"/>
      <c r="V802" s="535"/>
      <c r="W802" s="558"/>
      <c r="Z802" s="535"/>
      <c r="AA802" s="558"/>
      <c r="AD802" s="535"/>
      <c r="AE802" s="558"/>
      <c r="AH802" s="535"/>
      <c r="AI802" s="558"/>
      <c r="AL802" s="535"/>
      <c r="AP802" s="535"/>
    </row>
    <row r="803">
      <c r="A803" s="552"/>
      <c r="B803" s="552"/>
      <c r="N803" s="535"/>
      <c r="O803" s="558"/>
      <c r="R803" s="535"/>
      <c r="S803" s="558"/>
      <c r="V803" s="535"/>
      <c r="W803" s="558"/>
      <c r="Z803" s="535"/>
      <c r="AA803" s="558"/>
      <c r="AD803" s="535"/>
      <c r="AE803" s="558"/>
      <c r="AH803" s="535"/>
      <c r="AI803" s="558"/>
      <c r="AL803" s="535"/>
      <c r="AP803" s="535"/>
    </row>
    <row r="804">
      <c r="A804" s="552"/>
      <c r="B804" s="552"/>
      <c r="N804" s="535"/>
      <c r="O804" s="558"/>
      <c r="R804" s="535"/>
      <c r="S804" s="558"/>
      <c r="V804" s="535"/>
      <c r="W804" s="558"/>
      <c r="Z804" s="535"/>
      <c r="AA804" s="558"/>
      <c r="AD804" s="535"/>
      <c r="AE804" s="558"/>
      <c r="AH804" s="535"/>
      <c r="AI804" s="558"/>
      <c r="AL804" s="535"/>
      <c r="AP804" s="535"/>
    </row>
    <row r="805">
      <c r="A805" s="552"/>
      <c r="B805" s="552"/>
      <c r="N805" s="535"/>
      <c r="O805" s="558"/>
      <c r="R805" s="535"/>
      <c r="S805" s="558"/>
      <c r="V805" s="535"/>
      <c r="W805" s="558"/>
      <c r="Z805" s="535"/>
      <c r="AA805" s="558"/>
      <c r="AD805" s="535"/>
      <c r="AE805" s="558"/>
      <c r="AH805" s="535"/>
      <c r="AI805" s="558"/>
      <c r="AL805" s="535"/>
      <c r="AP805" s="535"/>
    </row>
    <row r="806">
      <c r="A806" s="552"/>
      <c r="B806" s="552"/>
      <c r="N806" s="535"/>
      <c r="O806" s="558"/>
      <c r="R806" s="535"/>
      <c r="S806" s="558"/>
      <c r="V806" s="535"/>
      <c r="W806" s="558"/>
      <c r="Z806" s="535"/>
      <c r="AA806" s="558"/>
      <c r="AD806" s="535"/>
      <c r="AE806" s="558"/>
      <c r="AH806" s="535"/>
      <c r="AI806" s="558"/>
      <c r="AL806" s="535"/>
      <c r="AP806" s="535"/>
    </row>
    <row r="807">
      <c r="A807" s="552"/>
      <c r="B807" s="552"/>
      <c r="N807" s="535"/>
      <c r="O807" s="558"/>
      <c r="R807" s="535"/>
      <c r="S807" s="558"/>
      <c r="V807" s="535"/>
      <c r="W807" s="558"/>
      <c r="Z807" s="535"/>
      <c r="AA807" s="558"/>
      <c r="AD807" s="535"/>
      <c r="AE807" s="558"/>
      <c r="AH807" s="535"/>
      <c r="AI807" s="558"/>
      <c r="AL807" s="535"/>
      <c r="AP807" s="535"/>
    </row>
    <row r="808">
      <c r="A808" s="552"/>
      <c r="B808" s="552"/>
      <c r="N808" s="535"/>
      <c r="O808" s="558"/>
      <c r="R808" s="535"/>
      <c r="S808" s="558"/>
      <c r="V808" s="535"/>
      <c r="W808" s="558"/>
      <c r="Z808" s="535"/>
      <c r="AA808" s="558"/>
      <c r="AD808" s="535"/>
      <c r="AE808" s="558"/>
      <c r="AH808" s="535"/>
      <c r="AI808" s="558"/>
      <c r="AL808" s="535"/>
      <c r="AP808" s="535"/>
    </row>
    <row r="809">
      <c r="A809" s="552"/>
      <c r="B809" s="552"/>
      <c r="N809" s="535"/>
      <c r="O809" s="558"/>
      <c r="R809" s="535"/>
      <c r="S809" s="558"/>
      <c r="V809" s="535"/>
      <c r="W809" s="558"/>
      <c r="Z809" s="535"/>
      <c r="AA809" s="558"/>
      <c r="AD809" s="535"/>
      <c r="AE809" s="558"/>
      <c r="AH809" s="535"/>
      <c r="AI809" s="558"/>
      <c r="AL809" s="535"/>
      <c r="AP809" s="535"/>
    </row>
    <row r="810">
      <c r="A810" s="552"/>
      <c r="B810" s="552"/>
      <c r="N810" s="535"/>
      <c r="O810" s="558"/>
      <c r="R810" s="535"/>
      <c r="S810" s="558"/>
      <c r="V810" s="535"/>
      <c r="W810" s="558"/>
      <c r="Z810" s="535"/>
      <c r="AA810" s="558"/>
      <c r="AD810" s="535"/>
      <c r="AE810" s="558"/>
      <c r="AH810" s="535"/>
      <c r="AI810" s="558"/>
      <c r="AL810" s="535"/>
      <c r="AP810" s="535"/>
    </row>
    <row r="811">
      <c r="A811" s="552"/>
      <c r="B811" s="552"/>
      <c r="N811" s="535"/>
      <c r="O811" s="558"/>
      <c r="R811" s="535"/>
      <c r="S811" s="558"/>
      <c r="V811" s="535"/>
      <c r="W811" s="558"/>
      <c r="Z811" s="535"/>
      <c r="AA811" s="558"/>
      <c r="AD811" s="535"/>
      <c r="AE811" s="558"/>
      <c r="AH811" s="535"/>
      <c r="AI811" s="558"/>
      <c r="AL811" s="535"/>
      <c r="AP811" s="535"/>
    </row>
    <row r="812">
      <c r="A812" s="552"/>
      <c r="B812" s="552"/>
      <c r="N812" s="535"/>
      <c r="O812" s="558"/>
      <c r="R812" s="535"/>
      <c r="S812" s="558"/>
      <c r="V812" s="535"/>
      <c r="W812" s="558"/>
      <c r="Z812" s="535"/>
      <c r="AA812" s="558"/>
      <c r="AD812" s="535"/>
      <c r="AE812" s="558"/>
      <c r="AH812" s="535"/>
      <c r="AI812" s="558"/>
      <c r="AL812" s="535"/>
      <c r="AP812" s="535"/>
    </row>
    <row r="813">
      <c r="A813" s="552"/>
      <c r="B813" s="552"/>
      <c r="N813" s="535"/>
      <c r="O813" s="558"/>
      <c r="R813" s="535"/>
      <c r="S813" s="558"/>
      <c r="V813" s="535"/>
      <c r="W813" s="558"/>
      <c r="Z813" s="535"/>
      <c r="AA813" s="558"/>
      <c r="AD813" s="535"/>
      <c r="AE813" s="558"/>
      <c r="AH813" s="535"/>
      <c r="AI813" s="558"/>
      <c r="AL813" s="535"/>
      <c r="AP813" s="535"/>
    </row>
    <row r="814">
      <c r="A814" s="552"/>
      <c r="B814" s="552"/>
      <c r="N814" s="535"/>
      <c r="O814" s="558"/>
      <c r="R814" s="535"/>
      <c r="S814" s="558"/>
      <c r="V814" s="535"/>
      <c r="W814" s="558"/>
      <c r="Z814" s="535"/>
      <c r="AA814" s="558"/>
      <c r="AD814" s="535"/>
      <c r="AE814" s="558"/>
      <c r="AH814" s="535"/>
      <c r="AI814" s="558"/>
      <c r="AL814" s="535"/>
      <c r="AP814" s="535"/>
    </row>
    <row r="815">
      <c r="A815" s="552"/>
      <c r="B815" s="552"/>
      <c r="N815" s="535"/>
      <c r="O815" s="558"/>
      <c r="R815" s="535"/>
      <c r="S815" s="558"/>
      <c r="V815" s="535"/>
      <c r="W815" s="558"/>
      <c r="Z815" s="535"/>
      <c r="AA815" s="558"/>
      <c r="AD815" s="535"/>
      <c r="AE815" s="558"/>
      <c r="AH815" s="535"/>
      <c r="AI815" s="558"/>
      <c r="AL815" s="535"/>
      <c r="AP815" s="535"/>
    </row>
    <row r="816">
      <c r="A816" s="552"/>
      <c r="B816" s="552"/>
      <c r="N816" s="535"/>
      <c r="O816" s="558"/>
      <c r="R816" s="535"/>
      <c r="S816" s="558"/>
      <c r="V816" s="535"/>
      <c r="W816" s="558"/>
      <c r="Z816" s="535"/>
      <c r="AA816" s="558"/>
      <c r="AD816" s="535"/>
      <c r="AE816" s="558"/>
      <c r="AH816" s="535"/>
      <c r="AI816" s="558"/>
      <c r="AL816" s="535"/>
      <c r="AP816" s="535"/>
    </row>
    <row r="817">
      <c r="A817" s="552"/>
      <c r="B817" s="552"/>
      <c r="N817" s="535"/>
      <c r="O817" s="558"/>
      <c r="R817" s="535"/>
      <c r="S817" s="558"/>
      <c r="V817" s="535"/>
      <c r="W817" s="558"/>
      <c r="Z817" s="535"/>
      <c r="AA817" s="558"/>
      <c r="AD817" s="535"/>
      <c r="AE817" s="558"/>
      <c r="AH817" s="535"/>
      <c r="AI817" s="558"/>
      <c r="AL817" s="535"/>
      <c r="AP817" s="535"/>
    </row>
    <row r="818">
      <c r="A818" s="552"/>
      <c r="B818" s="552"/>
      <c r="N818" s="535"/>
      <c r="O818" s="558"/>
      <c r="R818" s="535"/>
      <c r="S818" s="558"/>
      <c r="V818" s="535"/>
      <c r="W818" s="558"/>
      <c r="Z818" s="535"/>
      <c r="AA818" s="558"/>
      <c r="AD818" s="535"/>
      <c r="AE818" s="558"/>
      <c r="AH818" s="535"/>
      <c r="AI818" s="558"/>
      <c r="AL818" s="535"/>
      <c r="AP818" s="535"/>
    </row>
    <row r="819">
      <c r="A819" s="552"/>
      <c r="B819" s="552"/>
      <c r="N819" s="535"/>
      <c r="O819" s="558"/>
      <c r="R819" s="535"/>
      <c r="S819" s="558"/>
      <c r="V819" s="535"/>
      <c r="W819" s="558"/>
      <c r="Z819" s="535"/>
      <c r="AA819" s="558"/>
      <c r="AD819" s="535"/>
      <c r="AE819" s="558"/>
      <c r="AH819" s="535"/>
      <c r="AI819" s="558"/>
      <c r="AL819" s="535"/>
      <c r="AP819" s="535"/>
    </row>
    <row r="820">
      <c r="A820" s="552"/>
      <c r="B820" s="552"/>
      <c r="N820" s="535"/>
      <c r="O820" s="558"/>
      <c r="R820" s="535"/>
      <c r="S820" s="558"/>
      <c r="V820" s="535"/>
      <c r="W820" s="558"/>
      <c r="Z820" s="535"/>
      <c r="AA820" s="558"/>
      <c r="AD820" s="535"/>
      <c r="AE820" s="558"/>
      <c r="AH820" s="535"/>
      <c r="AI820" s="558"/>
      <c r="AL820" s="535"/>
      <c r="AP820" s="535"/>
    </row>
    <row r="821">
      <c r="A821" s="552"/>
      <c r="B821" s="552"/>
      <c r="N821" s="535"/>
      <c r="O821" s="558"/>
      <c r="R821" s="535"/>
      <c r="S821" s="558"/>
      <c r="V821" s="535"/>
      <c r="W821" s="558"/>
      <c r="Z821" s="535"/>
      <c r="AA821" s="558"/>
      <c r="AD821" s="535"/>
      <c r="AE821" s="558"/>
      <c r="AH821" s="535"/>
      <c r="AI821" s="558"/>
      <c r="AL821" s="535"/>
      <c r="AP821" s="535"/>
    </row>
    <row r="822">
      <c r="A822" s="552"/>
      <c r="B822" s="552"/>
      <c r="N822" s="535"/>
      <c r="O822" s="558"/>
      <c r="R822" s="535"/>
      <c r="S822" s="558"/>
      <c r="V822" s="535"/>
      <c r="W822" s="558"/>
      <c r="Z822" s="535"/>
      <c r="AA822" s="558"/>
      <c r="AD822" s="535"/>
      <c r="AE822" s="558"/>
      <c r="AH822" s="535"/>
      <c r="AI822" s="558"/>
      <c r="AL822" s="535"/>
      <c r="AP822" s="535"/>
    </row>
    <row r="823">
      <c r="A823" s="552"/>
      <c r="B823" s="552"/>
      <c r="N823" s="535"/>
      <c r="O823" s="558"/>
      <c r="R823" s="535"/>
      <c r="S823" s="558"/>
      <c r="V823" s="535"/>
      <c r="W823" s="558"/>
      <c r="Z823" s="535"/>
      <c r="AA823" s="558"/>
      <c r="AD823" s="535"/>
      <c r="AE823" s="558"/>
      <c r="AH823" s="535"/>
      <c r="AI823" s="558"/>
      <c r="AL823" s="535"/>
      <c r="AP823" s="535"/>
    </row>
    <row r="824">
      <c r="A824" s="552"/>
      <c r="B824" s="552"/>
      <c r="N824" s="535"/>
      <c r="O824" s="558"/>
      <c r="R824" s="535"/>
      <c r="S824" s="558"/>
      <c r="V824" s="535"/>
      <c r="W824" s="558"/>
      <c r="Z824" s="535"/>
      <c r="AA824" s="558"/>
      <c r="AD824" s="535"/>
      <c r="AE824" s="558"/>
      <c r="AH824" s="535"/>
      <c r="AI824" s="558"/>
      <c r="AL824" s="535"/>
      <c r="AP824" s="535"/>
    </row>
    <row r="825">
      <c r="A825" s="552"/>
      <c r="B825" s="552"/>
      <c r="N825" s="535"/>
      <c r="O825" s="558"/>
      <c r="R825" s="535"/>
      <c r="S825" s="558"/>
      <c r="V825" s="535"/>
      <c r="W825" s="558"/>
      <c r="Z825" s="535"/>
      <c r="AA825" s="558"/>
      <c r="AD825" s="535"/>
      <c r="AE825" s="558"/>
      <c r="AH825" s="535"/>
      <c r="AI825" s="558"/>
      <c r="AL825" s="535"/>
      <c r="AP825" s="535"/>
    </row>
    <row r="826">
      <c r="A826" s="552"/>
      <c r="B826" s="552"/>
      <c r="N826" s="535"/>
      <c r="O826" s="558"/>
      <c r="R826" s="535"/>
      <c r="S826" s="558"/>
      <c r="V826" s="535"/>
      <c r="W826" s="558"/>
      <c r="Z826" s="535"/>
      <c r="AA826" s="558"/>
      <c r="AD826" s="535"/>
      <c r="AE826" s="558"/>
      <c r="AH826" s="535"/>
      <c r="AI826" s="558"/>
      <c r="AL826" s="535"/>
      <c r="AP826" s="535"/>
    </row>
    <row r="827">
      <c r="A827" s="552"/>
      <c r="B827" s="552"/>
      <c r="N827" s="535"/>
      <c r="O827" s="558"/>
      <c r="R827" s="535"/>
      <c r="S827" s="558"/>
      <c r="V827" s="535"/>
      <c r="W827" s="558"/>
      <c r="Z827" s="535"/>
      <c r="AA827" s="558"/>
      <c r="AD827" s="535"/>
      <c r="AE827" s="558"/>
      <c r="AH827" s="535"/>
      <c r="AI827" s="558"/>
      <c r="AL827" s="535"/>
      <c r="AP827" s="535"/>
    </row>
    <row r="828">
      <c r="A828" s="552"/>
      <c r="B828" s="552"/>
      <c r="N828" s="535"/>
      <c r="O828" s="558"/>
      <c r="R828" s="535"/>
      <c r="S828" s="558"/>
      <c r="V828" s="535"/>
      <c r="W828" s="558"/>
      <c r="Z828" s="535"/>
      <c r="AA828" s="558"/>
      <c r="AD828" s="535"/>
      <c r="AE828" s="558"/>
      <c r="AH828" s="535"/>
      <c r="AI828" s="558"/>
      <c r="AL828" s="535"/>
      <c r="AP828" s="535"/>
    </row>
    <row r="829">
      <c r="A829" s="552"/>
      <c r="B829" s="552"/>
      <c r="N829" s="535"/>
      <c r="O829" s="558"/>
      <c r="R829" s="535"/>
      <c r="S829" s="558"/>
      <c r="V829" s="535"/>
      <c r="W829" s="558"/>
      <c r="Z829" s="535"/>
      <c r="AA829" s="558"/>
      <c r="AD829" s="535"/>
      <c r="AE829" s="558"/>
      <c r="AH829" s="535"/>
      <c r="AI829" s="558"/>
      <c r="AL829" s="535"/>
      <c r="AP829" s="535"/>
    </row>
    <row r="830">
      <c r="A830" s="552"/>
      <c r="B830" s="552"/>
      <c r="N830" s="535"/>
      <c r="O830" s="558"/>
      <c r="R830" s="535"/>
      <c r="S830" s="558"/>
      <c r="V830" s="535"/>
      <c r="W830" s="558"/>
      <c r="Z830" s="535"/>
      <c r="AA830" s="558"/>
      <c r="AD830" s="535"/>
      <c r="AE830" s="558"/>
      <c r="AH830" s="535"/>
      <c r="AI830" s="558"/>
      <c r="AL830" s="535"/>
      <c r="AP830" s="535"/>
    </row>
    <row r="831">
      <c r="A831" s="552"/>
      <c r="B831" s="552"/>
      <c r="N831" s="535"/>
      <c r="O831" s="558"/>
      <c r="R831" s="535"/>
      <c r="S831" s="558"/>
      <c r="V831" s="535"/>
      <c r="W831" s="558"/>
      <c r="Z831" s="535"/>
      <c r="AA831" s="558"/>
      <c r="AD831" s="535"/>
      <c r="AE831" s="558"/>
      <c r="AH831" s="535"/>
      <c r="AI831" s="558"/>
      <c r="AL831" s="535"/>
      <c r="AP831" s="535"/>
    </row>
    <row r="832">
      <c r="A832" s="552"/>
      <c r="B832" s="552"/>
      <c r="N832" s="535"/>
      <c r="O832" s="558"/>
      <c r="R832" s="535"/>
      <c r="S832" s="558"/>
      <c r="V832" s="535"/>
      <c r="W832" s="558"/>
      <c r="Z832" s="535"/>
      <c r="AA832" s="558"/>
      <c r="AD832" s="535"/>
      <c r="AE832" s="558"/>
      <c r="AH832" s="535"/>
      <c r="AI832" s="558"/>
      <c r="AL832" s="535"/>
      <c r="AP832" s="535"/>
    </row>
    <row r="833">
      <c r="A833" s="552"/>
      <c r="B833" s="552"/>
      <c r="N833" s="535"/>
      <c r="O833" s="558"/>
      <c r="R833" s="535"/>
      <c r="S833" s="558"/>
      <c r="V833" s="535"/>
      <c r="W833" s="558"/>
      <c r="Z833" s="535"/>
      <c r="AA833" s="558"/>
      <c r="AD833" s="535"/>
      <c r="AE833" s="558"/>
      <c r="AH833" s="535"/>
      <c r="AI833" s="558"/>
      <c r="AL833" s="535"/>
      <c r="AP833" s="535"/>
    </row>
    <row r="834">
      <c r="A834" s="552"/>
      <c r="B834" s="552"/>
      <c r="N834" s="535"/>
      <c r="O834" s="558"/>
      <c r="R834" s="535"/>
      <c r="S834" s="558"/>
      <c r="V834" s="535"/>
      <c r="W834" s="558"/>
      <c r="Z834" s="535"/>
      <c r="AA834" s="558"/>
      <c r="AD834" s="535"/>
      <c r="AE834" s="558"/>
      <c r="AH834" s="535"/>
      <c r="AI834" s="558"/>
      <c r="AL834" s="535"/>
      <c r="AP834" s="535"/>
    </row>
    <row r="835">
      <c r="A835" s="552"/>
      <c r="B835" s="552"/>
      <c r="N835" s="535"/>
      <c r="O835" s="558"/>
      <c r="R835" s="535"/>
      <c r="S835" s="558"/>
      <c r="V835" s="535"/>
      <c r="W835" s="558"/>
      <c r="Z835" s="535"/>
      <c r="AA835" s="558"/>
      <c r="AD835" s="535"/>
      <c r="AE835" s="558"/>
      <c r="AH835" s="535"/>
      <c r="AI835" s="558"/>
      <c r="AL835" s="535"/>
      <c r="AP835" s="535"/>
    </row>
    <row r="836">
      <c r="A836" s="552"/>
      <c r="B836" s="552"/>
      <c r="N836" s="535"/>
      <c r="O836" s="558"/>
      <c r="R836" s="535"/>
      <c r="S836" s="558"/>
      <c r="V836" s="535"/>
      <c r="W836" s="558"/>
      <c r="Z836" s="535"/>
      <c r="AA836" s="558"/>
      <c r="AD836" s="535"/>
      <c r="AE836" s="558"/>
      <c r="AH836" s="535"/>
      <c r="AI836" s="558"/>
      <c r="AL836" s="535"/>
      <c r="AP836" s="535"/>
    </row>
    <row r="837">
      <c r="A837" s="552"/>
      <c r="B837" s="552"/>
      <c r="N837" s="535"/>
      <c r="O837" s="558"/>
      <c r="R837" s="535"/>
      <c r="S837" s="558"/>
      <c r="V837" s="535"/>
      <c r="W837" s="558"/>
      <c r="Z837" s="535"/>
      <c r="AA837" s="558"/>
      <c r="AD837" s="535"/>
      <c r="AE837" s="558"/>
      <c r="AH837" s="535"/>
      <c r="AI837" s="558"/>
      <c r="AL837" s="535"/>
      <c r="AP837" s="535"/>
    </row>
    <row r="838">
      <c r="A838" s="552"/>
      <c r="B838" s="552"/>
      <c r="N838" s="535"/>
      <c r="O838" s="558"/>
      <c r="R838" s="535"/>
      <c r="S838" s="558"/>
      <c r="V838" s="535"/>
      <c r="W838" s="558"/>
      <c r="Z838" s="535"/>
      <c r="AA838" s="558"/>
      <c r="AD838" s="535"/>
      <c r="AE838" s="558"/>
      <c r="AH838" s="535"/>
      <c r="AI838" s="558"/>
      <c r="AL838" s="535"/>
      <c r="AP838" s="535"/>
    </row>
    <row r="839">
      <c r="A839" s="552"/>
      <c r="B839" s="552"/>
      <c r="N839" s="535"/>
      <c r="O839" s="558"/>
      <c r="R839" s="535"/>
      <c r="S839" s="558"/>
      <c r="V839" s="535"/>
      <c r="W839" s="558"/>
      <c r="Z839" s="535"/>
      <c r="AA839" s="558"/>
      <c r="AD839" s="535"/>
      <c r="AE839" s="558"/>
      <c r="AH839" s="535"/>
      <c r="AI839" s="558"/>
      <c r="AL839" s="535"/>
      <c r="AP839" s="535"/>
    </row>
    <row r="840">
      <c r="A840" s="552"/>
      <c r="B840" s="552"/>
      <c r="N840" s="535"/>
      <c r="O840" s="558"/>
      <c r="R840" s="535"/>
      <c r="S840" s="558"/>
      <c r="V840" s="535"/>
      <c r="W840" s="558"/>
      <c r="Z840" s="535"/>
      <c r="AA840" s="558"/>
      <c r="AD840" s="535"/>
      <c r="AE840" s="558"/>
      <c r="AH840" s="535"/>
      <c r="AI840" s="558"/>
      <c r="AL840" s="535"/>
      <c r="AP840" s="535"/>
    </row>
    <row r="841">
      <c r="A841" s="552"/>
      <c r="B841" s="552"/>
      <c r="N841" s="535"/>
      <c r="O841" s="558"/>
      <c r="R841" s="535"/>
      <c r="S841" s="558"/>
      <c r="V841" s="535"/>
      <c r="W841" s="558"/>
      <c r="Z841" s="535"/>
      <c r="AA841" s="558"/>
      <c r="AD841" s="535"/>
      <c r="AE841" s="558"/>
      <c r="AH841" s="535"/>
      <c r="AI841" s="558"/>
      <c r="AL841" s="535"/>
      <c r="AP841" s="535"/>
    </row>
    <row r="842">
      <c r="A842" s="552"/>
      <c r="B842" s="552"/>
      <c r="N842" s="535"/>
      <c r="O842" s="558"/>
      <c r="R842" s="535"/>
      <c r="S842" s="558"/>
      <c r="V842" s="535"/>
      <c r="W842" s="558"/>
      <c r="Z842" s="535"/>
      <c r="AA842" s="558"/>
      <c r="AD842" s="535"/>
      <c r="AE842" s="558"/>
      <c r="AH842" s="535"/>
      <c r="AI842" s="558"/>
      <c r="AL842" s="535"/>
      <c r="AP842" s="535"/>
    </row>
    <row r="843">
      <c r="A843" s="552"/>
      <c r="B843" s="552"/>
      <c r="N843" s="535"/>
      <c r="O843" s="558"/>
      <c r="R843" s="535"/>
      <c r="S843" s="558"/>
      <c r="V843" s="535"/>
      <c r="W843" s="558"/>
      <c r="Z843" s="535"/>
      <c r="AA843" s="558"/>
      <c r="AD843" s="535"/>
      <c r="AE843" s="558"/>
      <c r="AH843" s="535"/>
      <c r="AI843" s="558"/>
      <c r="AL843" s="535"/>
      <c r="AP843" s="535"/>
    </row>
    <row r="844">
      <c r="A844" s="552"/>
      <c r="B844" s="552"/>
      <c r="N844" s="535"/>
      <c r="O844" s="558"/>
      <c r="R844" s="535"/>
      <c r="S844" s="558"/>
      <c r="V844" s="535"/>
      <c r="W844" s="558"/>
      <c r="Z844" s="535"/>
      <c r="AA844" s="558"/>
      <c r="AD844" s="535"/>
      <c r="AE844" s="558"/>
      <c r="AH844" s="535"/>
      <c r="AI844" s="558"/>
      <c r="AL844" s="535"/>
      <c r="AP844" s="535"/>
    </row>
    <row r="845">
      <c r="A845" s="552"/>
      <c r="B845" s="552"/>
      <c r="N845" s="535"/>
      <c r="O845" s="558"/>
      <c r="R845" s="535"/>
      <c r="S845" s="558"/>
      <c r="V845" s="535"/>
      <c r="W845" s="558"/>
      <c r="Z845" s="535"/>
      <c r="AA845" s="558"/>
      <c r="AD845" s="535"/>
      <c r="AE845" s="558"/>
      <c r="AH845" s="535"/>
      <c r="AI845" s="558"/>
      <c r="AL845" s="535"/>
      <c r="AP845" s="535"/>
    </row>
    <row r="846">
      <c r="A846" s="552"/>
      <c r="B846" s="552"/>
      <c r="N846" s="535"/>
      <c r="O846" s="558"/>
      <c r="R846" s="535"/>
      <c r="S846" s="558"/>
      <c r="V846" s="535"/>
      <c r="W846" s="558"/>
      <c r="Z846" s="535"/>
      <c r="AA846" s="558"/>
      <c r="AD846" s="535"/>
      <c r="AE846" s="558"/>
      <c r="AH846" s="535"/>
      <c r="AI846" s="558"/>
      <c r="AL846" s="535"/>
      <c r="AP846" s="535"/>
    </row>
    <row r="847">
      <c r="A847" s="552"/>
      <c r="B847" s="552"/>
      <c r="N847" s="535"/>
      <c r="O847" s="558"/>
      <c r="R847" s="535"/>
      <c r="S847" s="558"/>
      <c r="V847" s="535"/>
      <c r="W847" s="558"/>
      <c r="Z847" s="535"/>
      <c r="AA847" s="558"/>
      <c r="AD847" s="535"/>
      <c r="AE847" s="558"/>
      <c r="AH847" s="535"/>
      <c r="AI847" s="558"/>
      <c r="AL847" s="535"/>
      <c r="AP847" s="535"/>
    </row>
    <row r="848">
      <c r="A848" s="552"/>
      <c r="B848" s="552"/>
      <c r="N848" s="535"/>
      <c r="O848" s="558"/>
      <c r="R848" s="535"/>
      <c r="S848" s="558"/>
      <c r="V848" s="535"/>
      <c r="W848" s="558"/>
      <c r="Z848" s="535"/>
      <c r="AA848" s="558"/>
      <c r="AD848" s="535"/>
      <c r="AE848" s="558"/>
      <c r="AH848" s="535"/>
      <c r="AI848" s="558"/>
      <c r="AL848" s="535"/>
      <c r="AP848" s="535"/>
    </row>
    <row r="849">
      <c r="A849" s="552"/>
      <c r="B849" s="552"/>
      <c r="N849" s="535"/>
      <c r="O849" s="558"/>
      <c r="R849" s="535"/>
      <c r="S849" s="558"/>
      <c r="V849" s="535"/>
      <c r="W849" s="558"/>
      <c r="Z849" s="535"/>
      <c r="AA849" s="558"/>
      <c r="AD849" s="535"/>
      <c r="AE849" s="558"/>
      <c r="AH849" s="535"/>
      <c r="AI849" s="558"/>
      <c r="AL849" s="535"/>
      <c r="AP849" s="535"/>
    </row>
    <row r="850">
      <c r="A850" s="552"/>
      <c r="B850" s="552"/>
      <c r="N850" s="535"/>
      <c r="O850" s="558"/>
      <c r="R850" s="535"/>
      <c r="S850" s="558"/>
      <c r="V850" s="535"/>
      <c r="W850" s="558"/>
      <c r="Z850" s="535"/>
      <c r="AA850" s="558"/>
      <c r="AD850" s="535"/>
      <c r="AE850" s="558"/>
      <c r="AH850" s="535"/>
      <c r="AI850" s="558"/>
      <c r="AL850" s="535"/>
      <c r="AP850" s="535"/>
    </row>
    <row r="851">
      <c r="A851" s="552"/>
      <c r="B851" s="552"/>
      <c r="N851" s="535"/>
      <c r="O851" s="558"/>
      <c r="R851" s="535"/>
      <c r="S851" s="558"/>
      <c r="V851" s="535"/>
      <c r="W851" s="558"/>
      <c r="Z851" s="535"/>
      <c r="AA851" s="558"/>
      <c r="AD851" s="535"/>
      <c r="AE851" s="558"/>
      <c r="AH851" s="535"/>
      <c r="AI851" s="558"/>
      <c r="AL851" s="535"/>
      <c r="AP851" s="535"/>
    </row>
    <row r="852">
      <c r="A852" s="552"/>
      <c r="B852" s="552"/>
      <c r="N852" s="535"/>
      <c r="O852" s="558"/>
      <c r="R852" s="535"/>
      <c r="S852" s="558"/>
      <c r="V852" s="535"/>
      <c r="W852" s="558"/>
      <c r="Z852" s="535"/>
      <c r="AA852" s="558"/>
      <c r="AD852" s="535"/>
      <c r="AE852" s="558"/>
      <c r="AH852" s="535"/>
      <c r="AI852" s="558"/>
      <c r="AL852" s="535"/>
      <c r="AP852" s="535"/>
    </row>
    <row r="853">
      <c r="A853" s="552"/>
      <c r="B853" s="552"/>
      <c r="N853" s="535"/>
      <c r="O853" s="558"/>
      <c r="R853" s="535"/>
      <c r="S853" s="558"/>
      <c r="V853" s="535"/>
      <c r="W853" s="558"/>
      <c r="Z853" s="535"/>
      <c r="AA853" s="558"/>
      <c r="AD853" s="535"/>
      <c r="AE853" s="558"/>
      <c r="AH853" s="535"/>
      <c r="AI853" s="558"/>
      <c r="AL853" s="535"/>
      <c r="AP853" s="535"/>
    </row>
    <row r="854">
      <c r="A854" s="552"/>
      <c r="B854" s="552"/>
      <c r="N854" s="535"/>
      <c r="O854" s="558"/>
      <c r="R854" s="535"/>
      <c r="S854" s="558"/>
      <c r="V854" s="535"/>
      <c r="W854" s="558"/>
      <c r="Z854" s="535"/>
      <c r="AA854" s="558"/>
      <c r="AD854" s="535"/>
      <c r="AE854" s="558"/>
      <c r="AH854" s="535"/>
      <c r="AI854" s="558"/>
      <c r="AL854" s="535"/>
      <c r="AP854" s="535"/>
    </row>
    <row r="855">
      <c r="A855" s="552"/>
      <c r="B855" s="552"/>
      <c r="N855" s="535"/>
      <c r="O855" s="558"/>
      <c r="R855" s="535"/>
      <c r="S855" s="558"/>
      <c r="V855" s="535"/>
      <c r="W855" s="558"/>
      <c r="Z855" s="535"/>
      <c r="AA855" s="558"/>
      <c r="AD855" s="535"/>
      <c r="AE855" s="558"/>
      <c r="AH855" s="535"/>
      <c r="AI855" s="558"/>
      <c r="AL855" s="535"/>
      <c r="AP855" s="535"/>
    </row>
    <row r="856">
      <c r="A856" s="552"/>
      <c r="B856" s="552"/>
      <c r="N856" s="535"/>
      <c r="O856" s="558"/>
      <c r="R856" s="535"/>
      <c r="S856" s="558"/>
      <c r="V856" s="535"/>
      <c r="W856" s="558"/>
      <c r="Z856" s="535"/>
      <c r="AA856" s="558"/>
      <c r="AD856" s="535"/>
      <c r="AE856" s="558"/>
      <c r="AH856" s="535"/>
      <c r="AI856" s="558"/>
      <c r="AL856" s="535"/>
      <c r="AP856" s="535"/>
    </row>
    <row r="857">
      <c r="A857" s="552"/>
      <c r="B857" s="552"/>
      <c r="N857" s="535"/>
      <c r="O857" s="558"/>
      <c r="R857" s="535"/>
      <c r="S857" s="558"/>
      <c r="V857" s="535"/>
      <c r="W857" s="558"/>
      <c r="Z857" s="535"/>
      <c r="AA857" s="558"/>
      <c r="AD857" s="535"/>
      <c r="AE857" s="558"/>
      <c r="AH857" s="535"/>
      <c r="AI857" s="558"/>
      <c r="AL857" s="535"/>
      <c r="AP857" s="535"/>
    </row>
    <row r="858">
      <c r="A858" s="552"/>
      <c r="B858" s="552"/>
      <c r="N858" s="535"/>
      <c r="O858" s="558"/>
      <c r="R858" s="535"/>
      <c r="S858" s="558"/>
      <c r="V858" s="535"/>
      <c r="W858" s="558"/>
      <c r="Z858" s="535"/>
      <c r="AA858" s="558"/>
      <c r="AD858" s="535"/>
      <c r="AE858" s="558"/>
      <c r="AH858" s="535"/>
      <c r="AI858" s="558"/>
      <c r="AL858" s="535"/>
      <c r="AP858" s="535"/>
    </row>
    <row r="859">
      <c r="A859" s="552"/>
      <c r="B859" s="552"/>
      <c r="N859" s="535"/>
      <c r="O859" s="558"/>
      <c r="R859" s="535"/>
      <c r="S859" s="558"/>
      <c r="V859" s="535"/>
      <c r="W859" s="558"/>
      <c r="Z859" s="535"/>
      <c r="AA859" s="558"/>
      <c r="AD859" s="535"/>
      <c r="AE859" s="558"/>
      <c r="AH859" s="535"/>
      <c r="AI859" s="558"/>
      <c r="AL859" s="535"/>
      <c r="AP859" s="535"/>
    </row>
    <row r="860">
      <c r="A860" s="552"/>
      <c r="B860" s="552"/>
      <c r="N860" s="535"/>
      <c r="O860" s="558"/>
      <c r="R860" s="535"/>
      <c r="S860" s="558"/>
      <c r="V860" s="535"/>
      <c r="W860" s="558"/>
      <c r="Z860" s="535"/>
      <c r="AA860" s="558"/>
      <c r="AD860" s="535"/>
      <c r="AE860" s="558"/>
      <c r="AH860" s="535"/>
      <c r="AI860" s="558"/>
      <c r="AL860" s="535"/>
      <c r="AP860" s="535"/>
    </row>
    <row r="861">
      <c r="A861" s="552"/>
      <c r="B861" s="552"/>
      <c r="N861" s="535"/>
      <c r="O861" s="558"/>
      <c r="R861" s="535"/>
      <c r="S861" s="558"/>
      <c r="V861" s="535"/>
      <c r="W861" s="558"/>
      <c r="Z861" s="535"/>
      <c r="AA861" s="558"/>
      <c r="AD861" s="535"/>
      <c r="AE861" s="558"/>
      <c r="AH861" s="535"/>
      <c r="AI861" s="558"/>
      <c r="AL861" s="535"/>
      <c r="AP861" s="535"/>
    </row>
    <row r="862">
      <c r="A862" s="552"/>
      <c r="B862" s="552"/>
      <c r="N862" s="535"/>
      <c r="O862" s="558"/>
      <c r="R862" s="535"/>
      <c r="S862" s="558"/>
      <c r="V862" s="535"/>
      <c r="W862" s="558"/>
      <c r="Z862" s="535"/>
      <c r="AA862" s="558"/>
      <c r="AD862" s="535"/>
      <c r="AE862" s="558"/>
      <c r="AH862" s="535"/>
      <c r="AI862" s="558"/>
      <c r="AL862" s="535"/>
      <c r="AP862" s="535"/>
    </row>
    <row r="863">
      <c r="A863" s="552"/>
      <c r="B863" s="552"/>
      <c r="N863" s="535"/>
      <c r="O863" s="558"/>
      <c r="R863" s="535"/>
      <c r="S863" s="558"/>
      <c r="V863" s="535"/>
      <c r="W863" s="558"/>
      <c r="Z863" s="535"/>
      <c r="AA863" s="558"/>
      <c r="AD863" s="535"/>
      <c r="AE863" s="558"/>
      <c r="AH863" s="535"/>
      <c r="AI863" s="558"/>
      <c r="AL863" s="535"/>
      <c r="AP863" s="535"/>
    </row>
    <row r="864">
      <c r="A864" s="552"/>
      <c r="B864" s="552"/>
      <c r="N864" s="535"/>
      <c r="O864" s="558"/>
      <c r="R864" s="535"/>
      <c r="S864" s="558"/>
      <c r="V864" s="535"/>
      <c r="W864" s="558"/>
      <c r="Z864" s="535"/>
      <c r="AA864" s="558"/>
      <c r="AD864" s="535"/>
      <c r="AE864" s="558"/>
      <c r="AH864" s="535"/>
      <c r="AI864" s="558"/>
      <c r="AL864" s="535"/>
      <c r="AP864" s="535"/>
    </row>
    <row r="865">
      <c r="A865" s="552"/>
      <c r="B865" s="552"/>
      <c r="N865" s="535"/>
      <c r="O865" s="558"/>
      <c r="R865" s="535"/>
      <c r="S865" s="558"/>
      <c r="V865" s="535"/>
      <c r="W865" s="558"/>
      <c r="Z865" s="535"/>
      <c r="AA865" s="558"/>
      <c r="AD865" s="535"/>
      <c r="AE865" s="558"/>
      <c r="AH865" s="535"/>
      <c r="AI865" s="558"/>
      <c r="AL865" s="535"/>
      <c r="AP865" s="535"/>
    </row>
    <row r="866">
      <c r="A866" s="552"/>
      <c r="B866" s="552"/>
      <c r="N866" s="535"/>
      <c r="O866" s="558"/>
      <c r="R866" s="535"/>
      <c r="S866" s="558"/>
      <c r="V866" s="535"/>
      <c r="W866" s="558"/>
      <c r="Z866" s="535"/>
      <c r="AA866" s="558"/>
      <c r="AD866" s="535"/>
      <c r="AE866" s="558"/>
      <c r="AH866" s="535"/>
      <c r="AI866" s="558"/>
      <c r="AL866" s="535"/>
      <c r="AP866" s="535"/>
    </row>
    <row r="867">
      <c r="A867" s="552"/>
      <c r="B867" s="552"/>
      <c r="N867" s="535"/>
      <c r="O867" s="558"/>
      <c r="R867" s="535"/>
      <c r="S867" s="558"/>
      <c r="V867" s="535"/>
      <c r="W867" s="558"/>
      <c r="Z867" s="535"/>
      <c r="AA867" s="558"/>
      <c r="AD867" s="535"/>
      <c r="AE867" s="558"/>
      <c r="AH867" s="535"/>
      <c r="AI867" s="558"/>
      <c r="AL867" s="535"/>
      <c r="AP867" s="535"/>
    </row>
    <row r="868">
      <c r="A868" s="552"/>
      <c r="B868" s="552"/>
      <c r="N868" s="535"/>
      <c r="O868" s="558"/>
      <c r="R868" s="535"/>
      <c r="S868" s="558"/>
      <c r="V868" s="535"/>
      <c r="W868" s="558"/>
      <c r="Z868" s="535"/>
      <c r="AA868" s="558"/>
      <c r="AD868" s="535"/>
      <c r="AE868" s="558"/>
      <c r="AH868" s="535"/>
      <c r="AI868" s="558"/>
      <c r="AL868" s="535"/>
      <c r="AP868" s="535"/>
    </row>
    <row r="869">
      <c r="A869" s="552"/>
      <c r="B869" s="552"/>
      <c r="N869" s="535"/>
      <c r="O869" s="558"/>
      <c r="R869" s="535"/>
      <c r="S869" s="558"/>
      <c r="V869" s="535"/>
      <c r="W869" s="558"/>
      <c r="Z869" s="535"/>
      <c r="AA869" s="558"/>
      <c r="AD869" s="535"/>
      <c r="AE869" s="558"/>
      <c r="AH869" s="535"/>
      <c r="AI869" s="558"/>
      <c r="AL869" s="535"/>
      <c r="AP869" s="535"/>
    </row>
    <row r="870">
      <c r="A870" s="552"/>
      <c r="B870" s="552"/>
      <c r="N870" s="535"/>
      <c r="O870" s="558"/>
      <c r="R870" s="535"/>
      <c r="S870" s="558"/>
      <c r="V870" s="535"/>
      <c r="W870" s="558"/>
      <c r="Z870" s="535"/>
      <c r="AA870" s="558"/>
      <c r="AD870" s="535"/>
      <c r="AE870" s="558"/>
      <c r="AH870" s="535"/>
      <c r="AI870" s="558"/>
      <c r="AL870" s="535"/>
      <c r="AP870" s="535"/>
    </row>
    <row r="871">
      <c r="A871" s="552"/>
      <c r="B871" s="552"/>
      <c r="N871" s="535"/>
      <c r="O871" s="558"/>
      <c r="R871" s="535"/>
      <c r="S871" s="558"/>
      <c r="V871" s="535"/>
      <c r="W871" s="558"/>
      <c r="Z871" s="535"/>
      <c r="AA871" s="558"/>
      <c r="AD871" s="535"/>
      <c r="AE871" s="558"/>
      <c r="AH871" s="535"/>
      <c r="AI871" s="558"/>
      <c r="AL871" s="535"/>
      <c r="AP871" s="535"/>
    </row>
    <row r="872">
      <c r="A872" s="552"/>
      <c r="B872" s="552"/>
      <c r="N872" s="535"/>
      <c r="O872" s="558"/>
      <c r="R872" s="535"/>
      <c r="S872" s="558"/>
      <c r="V872" s="535"/>
      <c r="W872" s="558"/>
      <c r="Z872" s="535"/>
      <c r="AA872" s="558"/>
      <c r="AD872" s="535"/>
      <c r="AE872" s="558"/>
      <c r="AH872" s="535"/>
      <c r="AI872" s="558"/>
      <c r="AL872" s="535"/>
      <c r="AP872" s="535"/>
    </row>
    <row r="873">
      <c r="A873" s="552"/>
      <c r="B873" s="552"/>
      <c r="N873" s="535"/>
      <c r="O873" s="558"/>
      <c r="R873" s="535"/>
      <c r="S873" s="558"/>
      <c r="V873" s="535"/>
      <c r="W873" s="558"/>
      <c r="Z873" s="535"/>
      <c r="AA873" s="558"/>
      <c r="AD873" s="535"/>
      <c r="AE873" s="558"/>
      <c r="AH873" s="535"/>
      <c r="AI873" s="558"/>
      <c r="AL873" s="535"/>
      <c r="AP873" s="535"/>
    </row>
    <row r="874">
      <c r="A874" s="552"/>
      <c r="B874" s="552"/>
      <c r="N874" s="535"/>
      <c r="O874" s="558"/>
      <c r="R874" s="535"/>
      <c r="S874" s="558"/>
      <c r="V874" s="535"/>
      <c r="W874" s="558"/>
      <c r="Z874" s="535"/>
      <c r="AA874" s="558"/>
      <c r="AD874" s="535"/>
      <c r="AE874" s="558"/>
      <c r="AH874" s="535"/>
      <c r="AI874" s="558"/>
      <c r="AL874" s="535"/>
      <c r="AP874" s="535"/>
    </row>
    <row r="875">
      <c r="A875" s="552"/>
      <c r="B875" s="552"/>
      <c r="N875" s="535"/>
      <c r="O875" s="558"/>
      <c r="R875" s="535"/>
      <c r="S875" s="558"/>
      <c r="V875" s="535"/>
      <c r="W875" s="558"/>
      <c r="Z875" s="535"/>
      <c r="AA875" s="558"/>
      <c r="AD875" s="535"/>
      <c r="AE875" s="558"/>
      <c r="AH875" s="535"/>
      <c r="AI875" s="558"/>
      <c r="AL875" s="535"/>
      <c r="AP875" s="535"/>
    </row>
    <row r="876">
      <c r="A876" s="552"/>
      <c r="B876" s="552"/>
      <c r="N876" s="535"/>
      <c r="O876" s="558"/>
      <c r="R876" s="535"/>
      <c r="S876" s="558"/>
      <c r="V876" s="535"/>
      <c r="W876" s="558"/>
      <c r="Z876" s="535"/>
      <c r="AA876" s="558"/>
      <c r="AD876" s="535"/>
      <c r="AE876" s="558"/>
      <c r="AH876" s="535"/>
      <c r="AI876" s="558"/>
      <c r="AL876" s="535"/>
      <c r="AP876" s="535"/>
    </row>
    <row r="877">
      <c r="A877" s="552"/>
      <c r="B877" s="552"/>
      <c r="N877" s="535"/>
      <c r="O877" s="558"/>
      <c r="R877" s="535"/>
      <c r="S877" s="558"/>
      <c r="V877" s="535"/>
      <c r="W877" s="558"/>
      <c r="Z877" s="535"/>
      <c r="AA877" s="558"/>
      <c r="AD877" s="535"/>
      <c r="AE877" s="558"/>
      <c r="AH877" s="535"/>
      <c r="AI877" s="558"/>
      <c r="AL877" s="535"/>
      <c r="AP877" s="535"/>
    </row>
    <row r="878">
      <c r="A878" s="552"/>
      <c r="B878" s="552"/>
      <c r="N878" s="535"/>
      <c r="O878" s="558"/>
      <c r="R878" s="535"/>
      <c r="S878" s="558"/>
      <c r="V878" s="535"/>
      <c r="W878" s="558"/>
      <c r="Z878" s="535"/>
      <c r="AA878" s="558"/>
      <c r="AD878" s="535"/>
      <c r="AE878" s="558"/>
      <c r="AH878" s="535"/>
      <c r="AI878" s="558"/>
      <c r="AL878" s="535"/>
      <c r="AP878" s="535"/>
    </row>
    <row r="879">
      <c r="A879" s="552"/>
      <c r="B879" s="552"/>
      <c r="N879" s="535"/>
      <c r="O879" s="558"/>
      <c r="R879" s="535"/>
      <c r="S879" s="558"/>
      <c r="V879" s="535"/>
      <c r="W879" s="558"/>
      <c r="Z879" s="535"/>
      <c r="AA879" s="558"/>
      <c r="AD879" s="535"/>
      <c r="AE879" s="558"/>
      <c r="AH879" s="535"/>
      <c r="AI879" s="558"/>
      <c r="AL879" s="535"/>
      <c r="AP879" s="535"/>
    </row>
    <row r="880">
      <c r="A880" s="552"/>
      <c r="B880" s="552"/>
      <c r="N880" s="535"/>
      <c r="O880" s="558"/>
      <c r="R880" s="535"/>
      <c r="S880" s="558"/>
      <c r="V880" s="535"/>
      <c r="W880" s="558"/>
      <c r="Z880" s="535"/>
      <c r="AA880" s="558"/>
      <c r="AD880" s="535"/>
      <c r="AE880" s="558"/>
      <c r="AH880" s="535"/>
      <c r="AI880" s="558"/>
      <c r="AL880" s="535"/>
      <c r="AP880" s="535"/>
    </row>
    <row r="881">
      <c r="A881" s="552"/>
      <c r="B881" s="552"/>
      <c r="N881" s="535"/>
      <c r="O881" s="558"/>
      <c r="R881" s="535"/>
      <c r="S881" s="558"/>
      <c r="V881" s="535"/>
      <c r="W881" s="558"/>
      <c r="Z881" s="535"/>
      <c r="AA881" s="558"/>
      <c r="AD881" s="535"/>
      <c r="AE881" s="558"/>
      <c r="AH881" s="535"/>
      <c r="AI881" s="558"/>
      <c r="AL881" s="535"/>
      <c r="AP881" s="535"/>
    </row>
    <row r="882">
      <c r="A882" s="552"/>
      <c r="B882" s="552"/>
      <c r="N882" s="535"/>
      <c r="O882" s="558"/>
      <c r="R882" s="535"/>
      <c r="S882" s="558"/>
      <c r="V882" s="535"/>
      <c r="W882" s="558"/>
      <c r="Z882" s="535"/>
      <c r="AA882" s="558"/>
      <c r="AD882" s="535"/>
      <c r="AE882" s="558"/>
      <c r="AH882" s="535"/>
      <c r="AI882" s="558"/>
      <c r="AL882" s="535"/>
      <c r="AP882" s="535"/>
    </row>
    <row r="883">
      <c r="A883" s="552"/>
      <c r="B883" s="552"/>
      <c r="N883" s="535"/>
      <c r="O883" s="558"/>
      <c r="R883" s="535"/>
      <c r="S883" s="558"/>
      <c r="V883" s="535"/>
      <c r="W883" s="558"/>
      <c r="Z883" s="535"/>
      <c r="AA883" s="558"/>
      <c r="AD883" s="535"/>
      <c r="AE883" s="558"/>
      <c r="AH883" s="535"/>
      <c r="AI883" s="558"/>
      <c r="AL883" s="535"/>
      <c r="AP883" s="535"/>
    </row>
    <row r="884">
      <c r="A884" s="552"/>
      <c r="B884" s="552"/>
      <c r="N884" s="535"/>
      <c r="O884" s="558"/>
      <c r="R884" s="535"/>
      <c r="S884" s="558"/>
      <c r="V884" s="535"/>
      <c r="W884" s="558"/>
      <c r="Z884" s="535"/>
      <c r="AA884" s="558"/>
      <c r="AD884" s="535"/>
      <c r="AE884" s="558"/>
      <c r="AH884" s="535"/>
      <c r="AI884" s="558"/>
      <c r="AL884" s="535"/>
      <c r="AP884" s="535"/>
    </row>
    <row r="885">
      <c r="A885" s="552"/>
      <c r="B885" s="552"/>
      <c r="N885" s="535"/>
      <c r="O885" s="558"/>
      <c r="R885" s="535"/>
      <c r="S885" s="558"/>
      <c r="V885" s="535"/>
      <c r="W885" s="558"/>
      <c r="Z885" s="535"/>
      <c r="AA885" s="558"/>
      <c r="AD885" s="535"/>
      <c r="AE885" s="558"/>
      <c r="AH885" s="535"/>
      <c r="AI885" s="558"/>
      <c r="AL885" s="535"/>
      <c r="AP885" s="535"/>
    </row>
    <row r="886">
      <c r="A886" s="552"/>
      <c r="B886" s="552"/>
      <c r="N886" s="535"/>
      <c r="O886" s="558"/>
      <c r="R886" s="535"/>
      <c r="S886" s="558"/>
      <c r="V886" s="535"/>
      <c r="W886" s="558"/>
      <c r="Z886" s="535"/>
      <c r="AA886" s="558"/>
      <c r="AD886" s="535"/>
      <c r="AE886" s="558"/>
      <c r="AH886" s="535"/>
      <c r="AI886" s="558"/>
      <c r="AL886" s="535"/>
      <c r="AP886" s="535"/>
    </row>
    <row r="887">
      <c r="A887" s="552"/>
      <c r="B887" s="552"/>
      <c r="N887" s="535"/>
      <c r="O887" s="558"/>
      <c r="R887" s="535"/>
      <c r="S887" s="558"/>
      <c r="V887" s="535"/>
      <c r="W887" s="558"/>
      <c r="Z887" s="535"/>
      <c r="AA887" s="558"/>
      <c r="AD887" s="535"/>
      <c r="AE887" s="558"/>
      <c r="AH887" s="535"/>
      <c r="AI887" s="558"/>
      <c r="AL887" s="535"/>
      <c r="AP887" s="535"/>
    </row>
    <row r="888">
      <c r="A888" s="552"/>
      <c r="B888" s="552"/>
      <c r="N888" s="535"/>
      <c r="O888" s="558"/>
      <c r="R888" s="535"/>
      <c r="S888" s="558"/>
      <c r="V888" s="535"/>
      <c r="W888" s="558"/>
      <c r="Z888" s="535"/>
      <c r="AA888" s="558"/>
      <c r="AD888" s="535"/>
      <c r="AE888" s="558"/>
      <c r="AH888" s="535"/>
      <c r="AI888" s="558"/>
      <c r="AL888" s="535"/>
      <c r="AP888" s="535"/>
    </row>
    <row r="889">
      <c r="A889" s="552"/>
      <c r="B889" s="552"/>
      <c r="N889" s="535"/>
      <c r="O889" s="558"/>
      <c r="R889" s="535"/>
      <c r="S889" s="558"/>
      <c r="V889" s="535"/>
      <c r="W889" s="558"/>
      <c r="Z889" s="535"/>
      <c r="AA889" s="558"/>
      <c r="AD889" s="535"/>
      <c r="AE889" s="558"/>
      <c r="AH889" s="535"/>
      <c r="AI889" s="558"/>
      <c r="AL889" s="535"/>
      <c r="AP889" s="535"/>
    </row>
    <row r="890">
      <c r="A890" s="552"/>
      <c r="B890" s="552"/>
      <c r="N890" s="535"/>
      <c r="O890" s="558"/>
      <c r="R890" s="535"/>
      <c r="S890" s="558"/>
      <c r="V890" s="535"/>
      <c r="W890" s="558"/>
      <c r="Z890" s="535"/>
      <c r="AA890" s="558"/>
      <c r="AD890" s="535"/>
      <c r="AE890" s="558"/>
      <c r="AH890" s="535"/>
      <c r="AI890" s="558"/>
      <c r="AL890" s="535"/>
      <c r="AP890" s="535"/>
    </row>
    <row r="891">
      <c r="A891" s="552"/>
      <c r="B891" s="552"/>
      <c r="N891" s="535"/>
      <c r="O891" s="558"/>
      <c r="R891" s="535"/>
      <c r="S891" s="558"/>
      <c r="V891" s="535"/>
      <c r="W891" s="558"/>
      <c r="Z891" s="535"/>
      <c r="AA891" s="558"/>
      <c r="AD891" s="535"/>
      <c r="AE891" s="558"/>
      <c r="AH891" s="535"/>
      <c r="AI891" s="558"/>
      <c r="AL891" s="535"/>
      <c r="AP891" s="535"/>
    </row>
    <row r="892">
      <c r="A892" s="552"/>
      <c r="B892" s="552"/>
      <c r="N892" s="535"/>
      <c r="O892" s="558"/>
      <c r="R892" s="535"/>
      <c r="S892" s="558"/>
      <c r="V892" s="535"/>
      <c r="W892" s="558"/>
      <c r="Z892" s="535"/>
      <c r="AA892" s="558"/>
      <c r="AD892" s="535"/>
      <c r="AE892" s="558"/>
      <c r="AH892" s="535"/>
      <c r="AI892" s="558"/>
      <c r="AL892" s="535"/>
      <c r="AP892" s="535"/>
    </row>
    <row r="893">
      <c r="A893" s="552"/>
      <c r="B893" s="552"/>
      <c r="N893" s="535"/>
      <c r="O893" s="558"/>
      <c r="R893" s="535"/>
      <c r="S893" s="558"/>
      <c r="V893" s="535"/>
      <c r="W893" s="558"/>
      <c r="Z893" s="535"/>
      <c r="AA893" s="558"/>
      <c r="AD893" s="535"/>
      <c r="AE893" s="558"/>
      <c r="AH893" s="535"/>
      <c r="AI893" s="558"/>
      <c r="AL893" s="535"/>
      <c r="AP893" s="535"/>
    </row>
    <row r="894">
      <c r="A894" s="552"/>
      <c r="B894" s="552"/>
      <c r="N894" s="535"/>
      <c r="O894" s="558"/>
      <c r="R894" s="535"/>
      <c r="S894" s="558"/>
      <c r="V894" s="535"/>
      <c r="W894" s="558"/>
      <c r="Z894" s="535"/>
      <c r="AA894" s="558"/>
      <c r="AD894" s="535"/>
      <c r="AE894" s="558"/>
      <c r="AH894" s="535"/>
      <c r="AI894" s="558"/>
      <c r="AL894" s="535"/>
      <c r="AP894" s="535"/>
    </row>
    <row r="895">
      <c r="A895" s="552"/>
      <c r="B895" s="552"/>
      <c r="N895" s="535"/>
      <c r="O895" s="558"/>
      <c r="R895" s="535"/>
      <c r="S895" s="558"/>
      <c r="V895" s="535"/>
      <c r="W895" s="558"/>
      <c r="Z895" s="535"/>
      <c r="AA895" s="558"/>
      <c r="AD895" s="535"/>
      <c r="AE895" s="558"/>
      <c r="AH895" s="535"/>
      <c r="AI895" s="558"/>
      <c r="AL895" s="535"/>
      <c r="AP895" s="535"/>
    </row>
    <row r="896">
      <c r="A896" s="552"/>
      <c r="B896" s="552"/>
      <c r="N896" s="535"/>
      <c r="O896" s="558"/>
      <c r="R896" s="535"/>
      <c r="S896" s="558"/>
      <c r="V896" s="535"/>
      <c r="W896" s="558"/>
      <c r="Z896" s="535"/>
      <c r="AA896" s="558"/>
      <c r="AD896" s="535"/>
      <c r="AE896" s="558"/>
      <c r="AH896" s="535"/>
      <c r="AI896" s="558"/>
      <c r="AL896" s="535"/>
      <c r="AP896" s="535"/>
    </row>
    <row r="897">
      <c r="A897" s="552"/>
      <c r="B897" s="552"/>
      <c r="N897" s="535"/>
      <c r="O897" s="558"/>
      <c r="R897" s="535"/>
      <c r="S897" s="558"/>
      <c r="V897" s="535"/>
      <c r="W897" s="558"/>
      <c r="Z897" s="535"/>
      <c r="AA897" s="558"/>
      <c r="AD897" s="535"/>
      <c r="AE897" s="558"/>
      <c r="AH897" s="535"/>
      <c r="AI897" s="558"/>
      <c r="AL897" s="535"/>
      <c r="AP897" s="535"/>
    </row>
    <row r="898">
      <c r="A898" s="552"/>
      <c r="B898" s="552"/>
      <c r="N898" s="535"/>
      <c r="O898" s="558"/>
      <c r="R898" s="535"/>
      <c r="S898" s="558"/>
      <c r="V898" s="535"/>
      <c r="W898" s="558"/>
      <c r="Z898" s="535"/>
      <c r="AA898" s="558"/>
      <c r="AD898" s="535"/>
      <c r="AE898" s="558"/>
      <c r="AH898" s="535"/>
      <c r="AI898" s="558"/>
      <c r="AL898" s="535"/>
      <c r="AP898" s="535"/>
    </row>
    <row r="899">
      <c r="A899" s="552"/>
      <c r="B899" s="552"/>
      <c r="N899" s="535"/>
      <c r="O899" s="558"/>
      <c r="R899" s="535"/>
      <c r="S899" s="558"/>
      <c r="V899" s="535"/>
      <c r="W899" s="558"/>
      <c r="Z899" s="535"/>
      <c r="AA899" s="558"/>
      <c r="AD899" s="535"/>
      <c r="AE899" s="558"/>
      <c r="AH899" s="535"/>
      <c r="AI899" s="558"/>
      <c r="AL899" s="535"/>
      <c r="AP899" s="535"/>
    </row>
    <row r="900">
      <c r="A900" s="552"/>
      <c r="B900" s="552"/>
      <c r="N900" s="535"/>
      <c r="O900" s="558"/>
      <c r="R900" s="535"/>
      <c r="S900" s="558"/>
      <c r="V900" s="535"/>
      <c r="W900" s="558"/>
      <c r="Z900" s="535"/>
      <c r="AA900" s="558"/>
      <c r="AD900" s="535"/>
      <c r="AE900" s="558"/>
      <c r="AH900" s="535"/>
      <c r="AI900" s="558"/>
      <c r="AL900" s="535"/>
      <c r="AP900" s="535"/>
    </row>
    <row r="901">
      <c r="A901" s="552"/>
      <c r="B901" s="552"/>
      <c r="N901" s="535"/>
      <c r="O901" s="558"/>
      <c r="R901" s="535"/>
      <c r="S901" s="558"/>
      <c r="V901" s="535"/>
      <c r="W901" s="558"/>
      <c r="Z901" s="535"/>
      <c r="AA901" s="558"/>
      <c r="AD901" s="535"/>
      <c r="AE901" s="558"/>
      <c r="AH901" s="535"/>
      <c r="AI901" s="558"/>
      <c r="AL901" s="535"/>
      <c r="AP901" s="535"/>
    </row>
    <row r="902">
      <c r="A902" s="552"/>
      <c r="B902" s="552"/>
      <c r="N902" s="535"/>
      <c r="O902" s="558"/>
      <c r="R902" s="535"/>
      <c r="S902" s="558"/>
      <c r="V902" s="535"/>
      <c r="W902" s="558"/>
      <c r="Z902" s="535"/>
      <c r="AA902" s="558"/>
      <c r="AD902" s="535"/>
      <c r="AE902" s="558"/>
      <c r="AH902" s="535"/>
      <c r="AI902" s="558"/>
      <c r="AL902" s="535"/>
      <c r="AP902" s="535"/>
    </row>
    <row r="903">
      <c r="A903" s="552"/>
      <c r="B903" s="552"/>
      <c r="N903" s="535"/>
      <c r="O903" s="558"/>
      <c r="R903" s="535"/>
      <c r="S903" s="558"/>
      <c r="V903" s="535"/>
      <c r="W903" s="558"/>
      <c r="Z903" s="535"/>
      <c r="AA903" s="558"/>
      <c r="AD903" s="535"/>
      <c r="AE903" s="558"/>
      <c r="AH903" s="535"/>
      <c r="AI903" s="558"/>
      <c r="AL903" s="535"/>
      <c r="AP903" s="535"/>
    </row>
    <row r="904">
      <c r="A904" s="552"/>
      <c r="B904" s="552"/>
      <c r="N904" s="535"/>
      <c r="O904" s="558"/>
      <c r="R904" s="535"/>
      <c r="S904" s="558"/>
      <c r="V904" s="535"/>
      <c r="W904" s="558"/>
      <c r="Z904" s="535"/>
      <c r="AA904" s="558"/>
      <c r="AD904" s="535"/>
      <c r="AE904" s="558"/>
      <c r="AH904" s="535"/>
      <c r="AI904" s="558"/>
      <c r="AL904" s="535"/>
      <c r="AP904" s="535"/>
    </row>
    <row r="905">
      <c r="A905" s="552"/>
      <c r="B905" s="552"/>
      <c r="N905" s="535"/>
      <c r="O905" s="558"/>
      <c r="R905" s="535"/>
      <c r="S905" s="558"/>
      <c r="V905" s="535"/>
      <c r="W905" s="558"/>
      <c r="Z905" s="535"/>
      <c r="AA905" s="558"/>
      <c r="AD905" s="535"/>
      <c r="AE905" s="558"/>
      <c r="AH905" s="535"/>
      <c r="AI905" s="558"/>
      <c r="AL905" s="535"/>
      <c r="AP905" s="535"/>
    </row>
    <row r="906">
      <c r="A906" s="552"/>
      <c r="B906" s="552"/>
      <c r="N906" s="535"/>
      <c r="O906" s="558"/>
      <c r="R906" s="535"/>
      <c r="S906" s="558"/>
      <c r="V906" s="535"/>
      <c r="W906" s="558"/>
      <c r="Z906" s="535"/>
      <c r="AA906" s="558"/>
      <c r="AD906" s="535"/>
      <c r="AE906" s="558"/>
      <c r="AH906" s="535"/>
      <c r="AI906" s="558"/>
      <c r="AL906" s="535"/>
      <c r="AP906" s="535"/>
    </row>
    <row r="907">
      <c r="A907" s="552"/>
      <c r="B907" s="552"/>
      <c r="N907" s="535"/>
      <c r="O907" s="558"/>
      <c r="R907" s="535"/>
      <c r="S907" s="558"/>
      <c r="V907" s="535"/>
      <c r="W907" s="558"/>
      <c r="Z907" s="535"/>
      <c r="AA907" s="558"/>
      <c r="AD907" s="535"/>
      <c r="AE907" s="558"/>
      <c r="AH907" s="535"/>
      <c r="AI907" s="558"/>
      <c r="AL907" s="535"/>
      <c r="AP907" s="535"/>
    </row>
    <row r="908">
      <c r="A908" s="552"/>
      <c r="B908" s="552"/>
      <c r="N908" s="535"/>
      <c r="O908" s="558"/>
      <c r="R908" s="535"/>
      <c r="S908" s="558"/>
      <c r="V908" s="535"/>
      <c r="W908" s="558"/>
      <c r="Z908" s="535"/>
      <c r="AA908" s="558"/>
      <c r="AD908" s="535"/>
      <c r="AE908" s="558"/>
      <c r="AH908" s="535"/>
      <c r="AI908" s="558"/>
      <c r="AL908" s="535"/>
      <c r="AP908" s="535"/>
    </row>
    <row r="909">
      <c r="A909" s="552"/>
      <c r="B909" s="552"/>
      <c r="N909" s="535"/>
      <c r="O909" s="558"/>
      <c r="R909" s="535"/>
      <c r="S909" s="558"/>
      <c r="V909" s="535"/>
      <c r="W909" s="558"/>
      <c r="Z909" s="535"/>
      <c r="AA909" s="558"/>
      <c r="AD909" s="535"/>
      <c r="AE909" s="558"/>
      <c r="AH909" s="535"/>
      <c r="AI909" s="558"/>
      <c r="AL909" s="535"/>
      <c r="AP909" s="535"/>
    </row>
    <row r="910">
      <c r="A910" s="552"/>
      <c r="B910" s="552"/>
      <c r="N910" s="535"/>
      <c r="O910" s="558"/>
      <c r="R910" s="535"/>
      <c r="S910" s="558"/>
      <c r="V910" s="535"/>
      <c r="W910" s="558"/>
      <c r="Z910" s="535"/>
      <c r="AA910" s="558"/>
      <c r="AD910" s="535"/>
      <c r="AE910" s="558"/>
      <c r="AH910" s="535"/>
      <c r="AI910" s="558"/>
      <c r="AL910" s="535"/>
      <c r="AP910" s="535"/>
    </row>
    <row r="911">
      <c r="A911" s="552"/>
      <c r="B911" s="552"/>
      <c r="N911" s="535"/>
      <c r="O911" s="558"/>
      <c r="R911" s="535"/>
      <c r="S911" s="558"/>
      <c r="V911" s="535"/>
      <c r="W911" s="558"/>
      <c r="Z911" s="535"/>
      <c r="AA911" s="558"/>
      <c r="AD911" s="535"/>
      <c r="AE911" s="558"/>
      <c r="AH911" s="535"/>
      <c r="AI911" s="558"/>
      <c r="AL911" s="535"/>
      <c r="AP911" s="535"/>
    </row>
    <row r="912">
      <c r="A912" s="552"/>
      <c r="B912" s="552"/>
      <c r="N912" s="535"/>
      <c r="O912" s="558"/>
      <c r="R912" s="535"/>
      <c r="S912" s="558"/>
      <c r="V912" s="535"/>
      <c r="W912" s="558"/>
      <c r="Z912" s="535"/>
      <c r="AA912" s="558"/>
      <c r="AD912" s="535"/>
      <c r="AE912" s="558"/>
      <c r="AH912" s="535"/>
      <c r="AI912" s="558"/>
      <c r="AL912" s="535"/>
      <c r="AP912" s="535"/>
    </row>
    <row r="913">
      <c r="A913" s="552"/>
      <c r="B913" s="552"/>
      <c r="N913" s="535"/>
      <c r="O913" s="558"/>
      <c r="R913" s="535"/>
      <c r="S913" s="558"/>
      <c r="V913" s="535"/>
      <c r="W913" s="558"/>
      <c r="Z913" s="535"/>
      <c r="AA913" s="558"/>
      <c r="AD913" s="535"/>
      <c r="AE913" s="558"/>
      <c r="AH913" s="535"/>
      <c r="AI913" s="558"/>
      <c r="AL913" s="535"/>
      <c r="AP913" s="535"/>
    </row>
    <row r="914">
      <c r="A914" s="552"/>
      <c r="B914" s="552"/>
      <c r="N914" s="535"/>
      <c r="O914" s="558"/>
      <c r="R914" s="535"/>
      <c r="S914" s="558"/>
      <c r="V914" s="535"/>
      <c r="W914" s="558"/>
      <c r="Z914" s="535"/>
      <c r="AA914" s="558"/>
      <c r="AD914" s="535"/>
      <c r="AE914" s="558"/>
      <c r="AH914" s="535"/>
      <c r="AI914" s="558"/>
      <c r="AL914" s="535"/>
      <c r="AP914" s="535"/>
    </row>
    <row r="915">
      <c r="A915" s="552"/>
      <c r="B915" s="552"/>
      <c r="N915" s="535"/>
      <c r="O915" s="558"/>
      <c r="R915" s="535"/>
      <c r="S915" s="558"/>
      <c r="V915" s="535"/>
      <c r="W915" s="558"/>
      <c r="Z915" s="535"/>
      <c r="AA915" s="558"/>
      <c r="AD915" s="535"/>
      <c r="AE915" s="558"/>
      <c r="AH915" s="535"/>
      <c r="AI915" s="558"/>
      <c r="AL915" s="535"/>
      <c r="AP915" s="535"/>
    </row>
    <row r="916">
      <c r="A916" s="552"/>
      <c r="B916" s="552"/>
      <c r="N916" s="535"/>
      <c r="O916" s="558"/>
      <c r="R916" s="535"/>
      <c r="S916" s="558"/>
      <c r="V916" s="535"/>
      <c r="W916" s="558"/>
      <c r="Z916" s="535"/>
      <c r="AA916" s="558"/>
      <c r="AD916" s="535"/>
      <c r="AE916" s="558"/>
      <c r="AH916" s="535"/>
      <c r="AI916" s="558"/>
      <c r="AL916" s="535"/>
      <c r="AP916" s="535"/>
    </row>
    <row r="917">
      <c r="A917" s="552"/>
      <c r="B917" s="552"/>
      <c r="N917" s="535"/>
      <c r="O917" s="558"/>
      <c r="R917" s="535"/>
      <c r="S917" s="558"/>
      <c r="V917" s="535"/>
      <c r="W917" s="558"/>
      <c r="Z917" s="535"/>
      <c r="AA917" s="558"/>
      <c r="AD917" s="535"/>
      <c r="AE917" s="558"/>
      <c r="AH917" s="535"/>
      <c r="AI917" s="558"/>
      <c r="AL917" s="535"/>
      <c r="AP917" s="535"/>
    </row>
    <row r="918">
      <c r="A918" s="552"/>
      <c r="B918" s="552"/>
      <c r="N918" s="535"/>
      <c r="O918" s="558"/>
      <c r="R918" s="535"/>
      <c r="S918" s="558"/>
      <c r="V918" s="535"/>
      <c r="W918" s="558"/>
      <c r="Z918" s="535"/>
      <c r="AA918" s="558"/>
      <c r="AD918" s="535"/>
      <c r="AE918" s="558"/>
      <c r="AH918" s="535"/>
      <c r="AI918" s="558"/>
      <c r="AL918" s="535"/>
      <c r="AP918" s="535"/>
    </row>
    <row r="919">
      <c r="A919" s="552"/>
      <c r="B919" s="552"/>
      <c r="N919" s="535"/>
      <c r="O919" s="558"/>
      <c r="R919" s="535"/>
      <c r="S919" s="558"/>
      <c r="V919" s="535"/>
      <c r="W919" s="558"/>
      <c r="Z919" s="535"/>
      <c r="AA919" s="558"/>
      <c r="AD919" s="535"/>
      <c r="AE919" s="558"/>
      <c r="AH919" s="535"/>
      <c r="AI919" s="558"/>
      <c r="AL919" s="535"/>
      <c r="AP919" s="535"/>
    </row>
    <row r="920">
      <c r="A920" s="552"/>
      <c r="B920" s="552"/>
      <c r="N920" s="535"/>
      <c r="O920" s="558"/>
      <c r="R920" s="535"/>
      <c r="S920" s="558"/>
      <c r="V920" s="535"/>
      <c r="W920" s="558"/>
      <c r="Z920" s="535"/>
      <c r="AA920" s="558"/>
      <c r="AD920" s="535"/>
      <c r="AE920" s="558"/>
      <c r="AH920" s="535"/>
      <c r="AI920" s="558"/>
      <c r="AL920" s="535"/>
      <c r="AP920" s="535"/>
    </row>
    <row r="921">
      <c r="A921" s="552"/>
      <c r="B921" s="552"/>
      <c r="N921" s="535"/>
      <c r="O921" s="558"/>
      <c r="R921" s="535"/>
      <c r="S921" s="558"/>
      <c r="V921" s="535"/>
      <c r="W921" s="558"/>
      <c r="Z921" s="535"/>
      <c r="AA921" s="558"/>
      <c r="AD921" s="535"/>
      <c r="AE921" s="558"/>
      <c r="AH921" s="535"/>
      <c r="AI921" s="558"/>
      <c r="AL921" s="535"/>
      <c r="AP921" s="535"/>
    </row>
    <row r="922">
      <c r="A922" s="552"/>
      <c r="B922" s="552"/>
      <c r="N922" s="535"/>
      <c r="O922" s="558"/>
      <c r="R922" s="535"/>
      <c r="S922" s="558"/>
      <c r="V922" s="535"/>
      <c r="W922" s="558"/>
      <c r="Z922" s="535"/>
      <c r="AA922" s="558"/>
      <c r="AD922" s="535"/>
      <c r="AE922" s="558"/>
      <c r="AH922" s="535"/>
      <c r="AI922" s="558"/>
      <c r="AL922" s="535"/>
      <c r="AP922" s="535"/>
    </row>
    <row r="923">
      <c r="A923" s="552"/>
      <c r="B923" s="552"/>
      <c r="N923" s="535"/>
      <c r="O923" s="558"/>
      <c r="R923" s="535"/>
      <c r="S923" s="558"/>
      <c r="V923" s="535"/>
      <c r="W923" s="558"/>
      <c r="Z923" s="535"/>
      <c r="AA923" s="558"/>
      <c r="AD923" s="535"/>
      <c r="AE923" s="558"/>
      <c r="AH923" s="535"/>
      <c r="AI923" s="558"/>
      <c r="AL923" s="535"/>
      <c r="AP923" s="535"/>
    </row>
    <row r="924">
      <c r="A924" s="552"/>
      <c r="B924" s="552"/>
      <c r="N924" s="535"/>
      <c r="O924" s="558"/>
      <c r="R924" s="535"/>
      <c r="S924" s="558"/>
      <c r="V924" s="535"/>
      <c r="W924" s="558"/>
      <c r="Z924" s="535"/>
      <c r="AA924" s="558"/>
      <c r="AD924" s="535"/>
      <c r="AE924" s="558"/>
      <c r="AH924" s="535"/>
      <c r="AI924" s="558"/>
      <c r="AL924" s="535"/>
      <c r="AP924" s="535"/>
    </row>
    <row r="925">
      <c r="A925" s="552"/>
      <c r="B925" s="552"/>
      <c r="N925" s="535"/>
      <c r="O925" s="558"/>
      <c r="R925" s="535"/>
      <c r="S925" s="558"/>
      <c r="V925" s="535"/>
      <c r="W925" s="558"/>
      <c r="Z925" s="535"/>
      <c r="AA925" s="558"/>
      <c r="AD925" s="535"/>
      <c r="AE925" s="558"/>
      <c r="AH925" s="535"/>
      <c r="AI925" s="558"/>
      <c r="AL925" s="535"/>
      <c r="AP925" s="535"/>
    </row>
    <row r="926">
      <c r="A926" s="552"/>
      <c r="B926" s="552"/>
      <c r="N926" s="535"/>
      <c r="O926" s="558"/>
      <c r="R926" s="535"/>
      <c r="S926" s="558"/>
      <c r="V926" s="535"/>
      <c r="W926" s="558"/>
      <c r="Z926" s="535"/>
      <c r="AA926" s="558"/>
      <c r="AD926" s="535"/>
      <c r="AE926" s="558"/>
      <c r="AH926" s="535"/>
      <c r="AI926" s="558"/>
      <c r="AL926" s="535"/>
      <c r="AP926" s="535"/>
    </row>
    <row r="927">
      <c r="A927" s="552"/>
      <c r="B927" s="552"/>
      <c r="N927" s="535"/>
      <c r="O927" s="558"/>
      <c r="R927" s="535"/>
      <c r="S927" s="558"/>
      <c r="V927" s="535"/>
      <c r="W927" s="558"/>
      <c r="Z927" s="535"/>
      <c r="AA927" s="558"/>
      <c r="AD927" s="535"/>
      <c r="AE927" s="558"/>
      <c r="AH927" s="535"/>
      <c r="AI927" s="558"/>
      <c r="AL927" s="535"/>
      <c r="AP927" s="535"/>
    </row>
    <row r="928">
      <c r="A928" s="552"/>
      <c r="B928" s="552"/>
      <c r="N928" s="535"/>
      <c r="O928" s="558"/>
      <c r="R928" s="535"/>
      <c r="S928" s="558"/>
      <c r="V928" s="535"/>
      <c r="W928" s="558"/>
      <c r="Z928" s="535"/>
      <c r="AA928" s="558"/>
      <c r="AD928" s="535"/>
      <c r="AE928" s="558"/>
      <c r="AH928" s="535"/>
      <c r="AI928" s="558"/>
      <c r="AL928" s="535"/>
      <c r="AP928" s="535"/>
    </row>
    <row r="929">
      <c r="A929" s="552"/>
      <c r="B929" s="552"/>
      <c r="N929" s="535"/>
      <c r="O929" s="558"/>
      <c r="R929" s="535"/>
      <c r="S929" s="558"/>
      <c r="V929" s="535"/>
      <c r="W929" s="558"/>
      <c r="Z929" s="535"/>
      <c r="AA929" s="558"/>
      <c r="AD929" s="535"/>
      <c r="AE929" s="558"/>
      <c r="AH929" s="535"/>
      <c r="AI929" s="558"/>
      <c r="AL929" s="535"/>
      <c r="AP929" s="535"/>
    </row>
    <row r="930">
      <c r="A930" s="552"/>
      <c r="B930" s="552"/>
      <c r="N930" s="535"/>
      <c r="O930" s="558"/>
      <c r="R930" s="535"/>
      <c r="S930" s="558"/>
      <c r="V930" s="535"/>
      <c r="W930" s="558"/>
      <c r="Z930" s="535"/>
      <c r="AA930" s="558"/>
      <c r="AD930" s="535"/>
      <c r="AE930" s="558"/>
      <c r="AH930" s="535"/>
      <c r="AI930" s="558"/>
      <c r="AL930" s="535"/>
      <c r="AP930" s="535"/>
    </row>
    <row r="931">
      <c r="A931" s="552"/>
      <c r="B931" s="552"/>
      <c r="N931" s="535"/>
      <c r="O931" s="558"/>
      <c r="R931" s="535"/>
      <c r="S931" s="558"/>
      <c r="V931" s="535"/>
      <c r="W931" s="558"/>
      <c r="Z931" s="535"/>
      <c r="AA931" s="558"/>
      <c r="AD931" s="535"/>
      <c r="AE931" s="558"/>
      <c r="AH931" s="535"/>
      <c r="AI931" s="558"/>
      <c r="AL931" s="535"/>
      <c r="AP931" s="535"/>
    </row>
    <row r="932">
      <c r="A932" s="552"/>
      <c r="B932" s="552"/>
      <c r="N932" s="535"/>
      <c r="O932" s="558"/>
      <c r="R932" s="535"/>
      <c r="S932" s="558"/>
      <c r="V932" s="535"/>
      <c r="W932" s="558"/>
      <c r="Z932" s="535"/>
      <c r="AA932" s="558"/>
      <c r="AD932" s="535"/>
      <c r="AE932" s="558"/>
      <c r="AH932" s="535"/>
      <c r="AI932" s="558"/>
      <c r="AL932" s="535"/>
      <c r="AP932" s="535"/>
    </row>
    <row r="933">
      <c r="A933" s="552"/>
      <c r="B933" s="552"/>
      <c r="N933" s="535"/>
      <c r="O933" s="558"/>
      <c r="R933" s="535"/>
      <c r="S933" s="558"/>
      <c r="V933" s="535"/>
      <c r="W933" s="558"/>
      <c r="Z933" s="535"/>
      <c r="AA933" s="558"/>
      <c r="AD933" s="535"/>
      <c r="AE933" s="558"/>
      <c r="AH933" s="535"/>
      <c r="AI933" s="558"/>
      <c r="AL933" s="535"/>
      <c r="AP933" s="535"/>
    </row>
    <row r="934">
      <c r="A934" s="552"/>
      <c r="B934" s="552"/>
      <c r="N934" s="535"/>
      <c r="O934" s="558"/>
      <c r="R934" s="535"/>
      <c r="S934" s="558"/>
      <c r="V934" s="535"/>
      <c r="W934" s="558"/>
      <c r="Z934" s="535"/>
      <c r="AA934" s="558"/>
      <c r="AD934" s="535"/>
      <c r="AE934" s="558"/>
      <c r="AH934" s="535"/>
      <c r="AI934" s="558"/>
      <c r="AL934" s="535"/>
      <c r="AP934" s="535"/>
    </row>
    <row r="935">
      <c r="A935" s="552"/>
      <c r="B935" s="552"/>
      <c r="N935" s="535"/>
      <c r="O935" s="558"/>
      <c r="R935" s="535"/>
      <c r="S935" s="558"/>
      <c r="V935" s="535"/>
      <c r="W935" s="558"/>
      <c r="Z935" s="535"/>
      <c r="AA935" s="558"/>
      <c r="AD935" s="535"/>
      <c r="AE935" s="558"/>
      <c r="AH935" s="535"/>
      <c r="AI935" s="558"/>
      <c r="AL935" s="535"/>
      <c r="AP935" s="535"/>
    </row>
    <row r="936">
      <c r="A936" s="552"/>
      <c r="B936" s="552"/>
      <c r="N936" s="535"/>
      <c r="O936" s="558"/>
      <c r="R936" s="535"/>
      <c r="S936" s="558"/>
      <c r="V936" s="535"/>
      <c r="W936" s="558"/>
      <c r="Z936" s="535"/>
      <c r="AA936" s="558"/>
      <c r="AD936" s="535"/>
      <c r="AE936" s="558"/>
      <c r="AH936" s="535"/>
      <c r="AI936" s="558"/>
      <c r="AL936" s="535"/>
      <c r="AP936" s="535"/>
    </row>
    <row r="937">
      <c r="A937" s="552"/>
      <c r="B937" s="552"/>
      <c r="N937" s="535"/>
      <c r="O937" s="558"/>
      <c r="R937" s="535"/>
      <c r="S937" s="558"/>
      <c r="V937" s="535"/>
      <c r="W937" s="558"/>
      <c r="Z937" s="535"/>
      <c r="AA937" s="558"/>
      <c r="AD937" s="535"/>
      <c r="AE937" s="558"/>
      <c r="AH937" s="535"/>
      <c r="AI937" s="558"/>
      <c r="AL937" s="535"/>
      <c r="AP937" s="535"/>
    </row>
    <row r="938">
      <c r="A938" s="552"/>
      <c r="B938" s="552"/>
      <c r="N938" s="535"/>
      <c r="O938" s="558"/>
      <c r="R938" s="535"/>
      <c r="S938" s="558"/>
      <c r="V938" s="535"/>
      <c r="W938" s="558"/>
      <c r="Z938" s="535"/>
      <c r="AA938" s="558"/>
      <c r="AD938" s="535"/>
      <c r="AE938" s="558"/>
      <c r="AH938" s="535"/>
      <c r="AI938" s="558"/>
      <c r="AL938" s="535"/>
      <c r="AP938" s="535"/>
    </row>
    <row r="939">
      <c r="A939" s="552"/>
      <c r="B939" s="552"/>
      <c r="N939" s="535"/>
      <c r="O939" s="558"/>
      <c r="R939" s="535"/>
      <c r="S939" s="558"/>
      <c r="V939" s="535"/>
      <c r="W939" s="558"/>
      <c r="Z939" s="535"/>
      <c r="AA939" s="558"/>
      <c r="AD939" s="535"/>
      <c r="AE939" s="558"/>
      <c r="AH939" s="535"/>
      <c r="AI939" s="558"/>
      <c r="AL939" s="535"/>
      <c r="AP939" s="535"/>
    </row>
    <row r="940">
      <c r="A940" s="552"/>
      <c r="B940" s="552"/>
      <c r="N940" s="535"/>
      <c r="O940" s="558"/>
      <c r="R940" s="535"/>
      <c r="S940" s="558"/>
      <c r="V940" s="535"/>
      <c r="W940" s="558"/>
      <c r="Z940" s="535"/>
      <c r="AA940" s="558"/>
      <c r="AD940" s="535"/>
      <c r="AE940" s="558"/>
      <c r="AH940" s="535"/>
      <c r="AI940" s="558"/>
      <c r="AL940" s="535"/>
      <c r="AP940" s="535"/>
    </row>
    <row r="941">
      <c r="A941" s="552"/>
      <c r="B941" s="552"/>
      <c r="N941" s="535"/>
      <c r="O941" s="558"/>
      <c r="R941" s="535"/>
      <c r="S941" s="558"/>
      <c r="V941" s="535"/>
      <c r="W941" s="558"/>
      <c r="Z941" s="535"/>
      <c r="AA941" s="558"/>
      <c r="AD941" s="535"/>
      <c r="AE941" s="558"/>
      <c r="AH941" s="535"/>
      <c r="AI941" s="558"/>
      <c r="AL941" s="535"/>
      <c r="AP941" s="535"/>
    </row>
    <row r="942">
      <c r="A942" s="552"/>
      <c r="B942" s="552"/>
      <c r="N942" s="535"/>
      <c r="O942" s="558"/>
      <c r="R942" s="535"/>
      <c r="S942" s="558"/>
      <c r="V942" s="535"/>
      <c r="W942" s="558"/>
      <c r="Z942" s="535"/>
      <c r="AA942" s="558"/>
      <c r="AD942" s="535"/>
      <c r="AE942" s="558"/>
      <c r="AH942" s="535"/>
      <c r="AI942" s="558"/>
      <c r="AL942" s="535"/>
      <c r="AP942" s="535"/>
    </row>
    <row r="943">
      <c r="A943" s="552"/>
      <c r="B943" s="552"/>
      <c r="N943" s="535"/>
      <c r="O943" s="558"/>
      <c r="R943" s="535"/>
      <c r="S943" s="558"/>
      <c r="V943" s="535"/>
      <c r="W943" s="558"/>
      <c r="Z943" s="535"/>
      <c r="AA943" s="558"/>
      <c r="AD943" s="535"/>
      <c r="AE943" s="558"/>
      <c r="AH943" s="535"/>
      <c r="AI943" s="558"/>
      <c r="AL943" s="535"/>
      <c r="AP943" s="535"/>
    </row>
    <row r="944">
      <c r="A944" s="552"/>
      <c r="B944" s="552"/>
      <c r="N944" s="535"/>
      <c r="O944" s="558"/>
      <c r="R944" s="535"/>
      <c r="S944" s="558"/>
      <c r="V944" s="535"/>
      <c r="W944" s="558"/>
      <c r="Z944" s="535"/>
      <c r="AA944" s="558"/>
      <c r="AD944" s="535"/>
      <c r="AE944" s="558"/>
      <c r="AH944" s="535"/>
      <c r="AI944" s="558"/>
      <c r="AL944" s="535"/>
      <c r="AP944" s="535"/>
    </row>
    <row r="945">
      <c r="A945" s="552"/>
      <c r="B945" s="552"/>
      <c r="N945" s="535"/>
      <c r="O945" s="558"/>
      <c r="R945" s="535"/>
      <c r="S945" s="558"/>
      <c r="V945" s="535"/>
      <c r="W945" s="558"/>
      <c r="Z945" s="535"/>
      <c r="AA945" s="558"/>
      <c r="AD945" s="535"/>
      <c r="AE945" s="558"/>
      <c r="AH945" s="535"/>
      <c r="AI945" s="558"/>
      <c r="AL945" s="535"/>
      <c r="AP945" s="535"/>
    </row>
    <row r="946">
      <c r="A946" s="552"/>
      <c r="B946" s="552"/>
      <c r="N946" s="535"/>
      <c r="O946" s="558"/>
      <c r="R946" s="535"/>
      <c r="S946" s="558"/>
      <c r="V946" s="535"/>
      <c r="W946" s="558"/>
      <c r="Z946" s="535"/>
      <c r="AA946" s="558"/>
      <c r="AD946" s="535"/>
      <c r="AE946" s="558"/>
      <c r="AH946" s="535"/>
      <c r="AI946" s="558"/>
      <c r="AL946" s="535"/>
      <c r="AP946" s="535"/>
    </row>
    <row r="947">
      <c r="A947" s="552"/>
      <c r="B947" s="552"/>
      <c r="N947" s="535"/>
      <c r="O947" s="558"/>
      <c r="R947" s="535"/>
      <c r="S947" s="558"/>
      <c r="V947" s="535"/>
      <c r="W947" s="558"/>
      <c r="Z947" s="535"/>
      <c r="AA947" s="558"/>
      <c r="AD947" s="535"/>
      <c r="AE947" s="558"/>
      <c r="AH947" s="535"/>
      <c r="AI947" s="558"/>
      <c r="AL947" s="535"/>
      <c r="AP947" s="535"/>
    </row>
    <row r="948">
      <c r="A948" s="552"/>
      <c r="B948" s="552"/>
      <c r="N948" s="535"/>
      <c r="O948" s="558"/>
      <c r="R948" s="535"/>
      <c r="S948" s="558"/>
      <c r="V948" s="535"/>
      <c r="W948" s="558"/>
      <c r="Z948" s="535"/>
      <c r="AA948" s="558"/>
      <c r="AD948" s="535"/>
      <c r="AE948" s="558"/>
      <c r="AH948" s="535"/>
      <c r="AI948" s="558"/>
      <c r="AL948" s="535"/>
      <c r="AP948" s="535"/>
    </row>
    <row r="949">
      <c r="A949" s="552"/>
      <c r="B949" s="552"/>
      <c r="N949" s="535"/>
      <c r="O949" s="558"/>
      <c r="R949" s="535"/>
      <c r="S949" s="558"/>
      <c r="V949" s="535"/>
      <c r="W949" s="558"/>
      <c r="Z949" s="535"/>
      <c r="AA949" s="558"/>
      <c r="AD949" s="535"/>
      <c r="AE949" s="558"/>
      <c r="AH949" s="535"/>
      <c r="AI949" s="558"/>
      <c r="AL949" s="535"/>
      <c r="AP949" s="535"/>
    </row>
    <row r="950">
      <c r="A950" s="552"/>
      <c r="B950" s="552"/>
      <c r="N950" s="535"/>
      <c r="O950" s="558"/>
      <c r="R950" s="535"/>
      <c r="S950" s="558"/>
      <c r="V950" s="535"/>
      <c r="W950" s="558"/>
      <c r="Z950" s="535"/>
      <c r="AA950" s="558"/>
      <c r="AD950" s="535"/>
      <c r="AE950" s="558"/>
      <c r="AH950" s="535"/>
      <c r="AI950" s="558"/>
      <c r="AL950" s="535"/>
      <c r="AP950" s="535"/>
    </row>
    <row r="951">
      <c r="A951" s="552"/>
      <c r="B951" s="552"/>
      <c r="N951" s="535"/>
      <c r="O951" s="558"/>
      <c r="R951" s="535"/>
      <c r="S951" s="558"/>
      <c r="V951" s="535"/>
      <c r="W951" s="558"/>
      <c r="Z951" s="535"/>
      <c r="AA951" s="558"/>
      <c r="AD951" s="535"/>
      <c r="AE951" s="558"/>
      <c r="AH951" s="535"/>
      <c r="AI951" s="558"/>
      <c r="AL951" s="535"/>
      <c r="AP951" s="535"/>
    </row>
    <row r="952">
      <c r="A952" s="552"/>
      <c r="B952" s="552"/>
      <c r="N952" s="535"/>
      <c r="O952" s="558"/>
      <c r="R952" s="535"/>
      <c r="S952" s="558"/>
      <c r="V952" s="535"/>
      <c r="W952" s="558"/>
      <c r="Z952" s="535"/>
      <c r="AA952" s="558"/>
      <c r="AD952" s="535"/>
      <c r="AE952" s="558"/>
      <c r="AH952" s="535"/>
      <c r="AI952" s="558"/>
      <c r="AL952" s="535"/>
      <c r="AP952" s="535"/>
    </row>
    <row r="953">
      <c r="A953" s="552"/>
      <c r="B953" s="552"/>
      <c r="N953" s="535"/>
      <c r="O953" s="558"/>
      <c r="R953" s="535"/>
      <c r="S953" s="558"/>
      <c r="V953" s="535"/>
      <c r="W953" s="558"/>
      <c r="Z953" s="535"/>
      <c r="AA953" s="558"/>
      <c r="AD953" s="535"/>
      <c r="AE953" s="558"/>
      <c r="AH953" s="535"/>
      <c r="AI953" s="558"/>
      <c r="AL953" s="535"/>
      <c r="AP953" s="535"/>
    </row>
    <row r="954">
      <c r="A954" s="552"/>
      <c r="B954" s="552"/>
      <c r="N954" s="535"/>
      <c r="O954" s="558"/>
      <c r="R954" s="535"/>
      <c r="S954" s="558"/>
      <c r="V954" s="535"/>
      <c r="W954" s="558"/>
      <c r="Z954" s="535"/>
      <c r="AA954" s="558"/>
      <c r="AD954" s="535"/>
      <c r="AE954" s="558"/>
      <c r="AH954" s="535"/>
      <c r="AI954" s="558"/>
      <c r="AL954" s="535"/>
      <c r="AP954" s="535"/>
    </row>
    <row r="955">
      <c r="A955" s="552"/>
      <c r="B955" s="552"/>
      <c r="N955" s="535"/>
      <c r="O955" s="558"/>
      <c r="R955" s="535"/>
      <c r="S955" s="558"/>
      <c r="V955" s="535"/>
      <c r="W955" s="558"/>
      <c r="Z955" s="535"/>
      <c r="AA955" s="558"/>
      <c r="AD955" s="535"/>
      <c r="AE955" s="558"/>
      <c r="AH955" s="535"/>
      <c r="AI955" s="558"/>
      <c r="AL955" s="535"/>
      <c r="AP955" s="535"/>
    </row>
    <row r="956">
      <c r="A956" s="552"/>
      <c r="B956" s="552"/>
      <c r="N956" s="535"/>
      <c r="O956" s="558"/>
      <c r="R956" s="535"/>
      <c r="S956" s="558"/>
      <c r="V956" s="535"/>
      <c r="W956" s="558"/>
      <c r="Z956" s="535"/>
      <c r="AA956" s="558"/>
      <c r="AD956" s="535"/>
      <c r="AE956" s="558"/>
      <c r="AH956" s="535"/>
      <c r="AI956" s="558"/>
      <c r="AL956" s="535"/>
      <c r="AP956" s="535"/>
    </row>
    <row r="957">
      <c r="A957" s="552"/>
      <c r="B957" s="552"/>
      <c r="N957" s="535"/>
      <c r="O957" s="558"/>
      <c r="R957" s="535"/>
      <c r="S957" s="558"/>
      <c r="V957" s="535"/>
      <c r="W957" s="558"/>
      <c r="Z957" s="535"/>
      <c r="AA957" s="558"/>
      <c r="AD957" s="535"/>
      <c r="AE957" s="558"/>
      <c r="AH957" s="535"/>
      <c r="AI957" s="558"/>
      <c r="AL957" s="535"/>
      <c r="AP957" s="535"/>
    </row>
    <row r="958">
      <c r="A958" s="552"/>
      <c r="B958" s="552"/>
      <c r="N958" s="535"/>
      <c r="O958" s="558"/>
      <c r="R958" s="535"/>
      <c r="S958" s="558"/>
      <c r="V958" s="535"/>
      <c r="W958" s="558"/>
      <c r="Z958" s="535"/>
      <c r="AA958" s="558"/>
      <c r="AD958" s="535"/>
      <c r="AE958" s="558"/>
      <c r="AH958" s="535"/>
      <c r="AI958" s="558"/>
      <c r="AL958" s="535"/>
      <c r="AP958" s="535"/>
    </row>
    <row r="959">
      <c r="A959" s="552"/>
      <c r="B959" s="552"/>
      <c r="N959" s="535"/>
      <c r="O959" s="558"/>
      <c r="R959" s="535"/>
      <c r="S959" s="558"/>
      <c r="V959" s="535"/>
      <c r="W959" s="558"/>
      <c r="Z959" s="535"/>
      <c r="AA959" s="558"/>
      <c r="AD959" s="535"/>
      <c r="AE959" s="558"/>
      <c r="AH959" s="535"/>
      <c r="AI959" s="558"/>
      <c r="AL959" s="535"/>
      <c r="AP959" s="535"/>
    </row>
    <row r="960">
      <c r="A960" s="552"/>
      <c r="B960" s="552"/>
      <c r="N960" s="535"/>
      <c r="O960" s="558"/>
      <c r="R960" s="535"/>
      <c r="S960" s="558"/>
      <c r="V960" s="535"/>
      <c r="W960" s="558"/>
      <c r="Z960" s="535"/>
      <c r="AA960" s="558"/>
      <c r="AD960" s="535"/>
      <c r="AE960" s="558"/>
      <c r="AH960" s="535"/>
      <c r="AI960" s="558"/>
      <c r="AL960" s="535"/>
      <c r="AP960" s="535"/>
    </row>
    <row r="961">
      <c r="A961" s="552"/>
      <c r="B961" s="552"/>
      <c r="N961" s="535"/>
      <c r="O961" s="558"/>
      <c r="R961" s="535"/>
      <c r="S961" s="558"/>
      <c r="V961" s="535"/>
      <c r="W961" s="558"/>
      <c r="Z961" s="535"/>
      <c r="AA961" s="558"/>
      <c r="AD961" s="535"/>
      <c r="AE961" s="558"/>
      <c r="AH961" s="535"/>
      <c r="AI961" s="558"/>
      <c r="AL961" s="535"/>
      <c r="AP961" s="535"/>
    </row>
    <row r="962">
      <c r="A962" s="552"/>
      <c r="B962" s="552"/>
      <c r="N962" s="535"/>
      <c r="O962" s="558"/>
      <c r="R962" s="535"/>
      <c r="S962" s="558"/>
      <c r="V962" s="535"/>
      <c r="W962" s="558"/>
      <c r="Z962" s="535"/>
      <c r="AA962" s="558"/>
      <c r="AD962" s="535"/>
      <c r="AE962" s="558"/>
      <c r="AH962" s="535"/>
      <c r="AI962" s="558"/>
      <c r="AL962" s="535"/>
      <c r="AP962" s="535"/>
    </row>
    <row r="963">
      <c r="A963" s="552"/>
      <c r="B963" s="552"/>
      <c r="N963" s="535"/>
      <c r="O963" s="558"/>
      <c r="R963" s="535"/>
      <c r="S963" s="558"/>
      <c r="V963" s="535"/>
      <c r="W963" s="558"/>
      <c r="Z963" s="535"/>
      <c r="AA963" s="558"/>
      <c r="AD963" s="535"/>
      <c r="AE963" s="558"/>
      <c r="AH963" s="535"/>
      <c r="AI963" s="558"/>
      <c r="AL963" s="535"/>
      <c r="AP963" s="535"/>
    </row>
    <row r="964">
      <c r="A964" s="552"/>
      <c r="B964" s="552"/>
      <c r="N964" s="535"/>
      <c r="O964" s="558"/>
      <c r="R964" s="535"/>
      <c r="S964" s="558"/>
      <c r="V964" s="535"/>
      <c r="W964" s="558"/>
      <c r="Z964" s="535"/>
      <c r="AA964" s="558"/>
      <c r="AD964" s="535"/>
      <c r="AE964" s="558"/>
      <c r="AH964" s="535"/>
      <c r="AI964" s="558"/>
      <c r="AL964" s="535"/>
      <c r="AP964" s="535"/>
    </row>
    <row r="965">
      <c r="A965" s="552"/>
      <c r="B965" s="552"/>
      <c r="N965" s="535"/>
      <c r="O965" s="558"/>
      <c r="R965" s="535"/>
      <c r="S965" s="558"/>
      <c r="V965" s="535"/>
      <c r="W965" s="558"/>
      <c r="Z965" s="535"/>
      <c r="AA965" s="558"/>
      <c r="AD965" s="535"/>
      <c r="AE965" s="558"/>
      <c r="AH965" s="535"/>
      <c r="AI965" s="558"/>
      <c r="AL965" s="535"/>
      <c r="AP965" s="535"/>
    </row>
    <row r="966">
      <c r="A966" s="552"/>
      <c r="B966" s="552"/>
      <c r="N966" s="535"/>
      <c r="O966" s="558"/>
      <c r="R966" s="535"/>
      <c r="S966" s="558"/>
      <c r="V966" s="535"/>
      <c r="W966" s="558"/>
      <c r="Z966" s="535"/>
      <c r="AA966" s="558"/>
      <c r="AD966" s="535"/>
      <c r="AE966" s="558"/>
      <c r="AH966" s="535"/>
      <c r="AI966" s="558"/>
      <c r="AL966" s="535"/>
      <c r="AP966" s="535"/>
    </row>
    <row r="967">
      <c r="A967" s="552"/>
      <c r="B967" s="552"/>
      <c r="N967" s="535"/>
      <c r="O967" s="558"/>
      <c r="R967" s="535"/>
      <c r="S967" s="558"/>
      <c r="V967" s="535"/>
      <c r="W967" s="558"/>
      <c r="Z967" s="535"/>
      <c r="AA967" s="558"/>
      <c r="AD967" s="535"/>
      <c r="AE967" s="558"/>
      <c r="AH967" s="535"/>
      <c r="AI967" s="558"/>
      <c r="AL967" s="535"/>
      <c r="AP967" s="535"/>
    </row>
    <row r="968">
      <c r="A968" s="552"/>
      <c r="B968" s="552"/>
      <c r="N968" s="535"/>
      <c r="O968" s="558"/>
      <c r="R968" s="535"/>
      <c r="S968" s="558"/>
      <c r="V968" s="535"/>
      <c r="W968" s="558"/>
      <c r="Z968" s="535"/>
      <c r="AA968" s="558"/>
      <c r="AD968" s="535"/>
      <c r="AE968" s="558"/>
      <c r="AH968" s="535"/>
      <c r="AI968" s="558"/>
      <c r="AL968" s="535"/>
      <c r="AP968" s="535"/>
    </row>
    <row r="969">
      <c r="A969" s="552"/>
      <c r="B969" s="552"/>
      <c r="N969" s="535"/>
      <c r="O969" s="558"/>
      <c r="R969" s="535"/>
      <c r="S969" s="558"/>
      <c r="V969" s="535"/>
      <c r="W969" s="558"/>
      <c r="Z969" s="535"/>
      <c r="AA969" s="558"/>
      <c r="AD969" s="535"/>
      <c r="AE969" s="558"/>
      <c r="AH969" s="535"/>
      <c r="AI969" s="558"/>
      <c r="AL969" s="535"/>
      <c r="AP969" s="535"/>
    </row>
    <row r="970">
      <c r="A970" s="552"/>
      <c r="B970" s="552"/>
      <c r="N970" s="535"/>
      <c r="O970" s="558"/>
      <c r="R970" s="535"/>
      <c r="S970" s="558"/>
      <c r="V970" s="535"/>
      <c r="W970" s="558"/>
      <c r="Z970" s="535"/>
      <c r="AA970" s="558"/>
      <c r="AD970" s="535"/>
      <c r="AE970" s="558"/>
      <c r="AH970" s="535"/>
      <c r="AI970" s="558"/>
      <c r="AL970" s="535"/>
      <c r="AP970" s="535"/>
    </row>
    <row r="971">
      <c r="A971" s="552"/>
      <c r="B971" s="552"/>
      <c r="N971" s="535"/>
      <c r="O971" s="558"/>
      <c r="R971" s="535"/>
      <c r="S971" s="558"/>
      <c r="V971" s="535"/>
      <c r="W971" s="558"/>
      <c r="Z971" s="535"/>
      <c r="AA971" s="558"/>
      <c r="AD971" s="535"/>
      <c r="AE971" s="558"/>
      <c r="AH971" s="535"/>
      <c r="AI971" s="558"/>
      <c r="AL971" s="535"/>
      <c r="AP971" s="535"/>
    </row>
    <row r="972">
      <c r="A972" s="552"/>
      <c r="B972" s="552"/>
      <c r="N972" s="535"/>
      <c r="O972" s="558"/>
      <c r="R972" s="535"/>
      <c r="S972" s="558"/>
      <c r="V972" s="535"/>
      <c r="W972" s="558"/>
      <c r="Z972" s="535"/>
      <c r="AA972" s="558"/>
      <c r="AD972" s="535"/>
      <c r="AE972" s="558"/>
      <c r="AH972" s="535"/>
      <c r="AI972" s="558"/>
      <c r="AL972" s="535"/>
      <c r="AP972" s="535"/>
    </row>
    <row r="973">
      <c r="A973" s="552"/>
      <c r="B973" s="552"/>
      <c r="N973" s="535"/>
      <c r="O973" s="558"/>
      <c r="R973" s="535"/>
      <c r="S973" s="558"/>
      <c r="V973" s="535"/>
      <c r="W973" s="558"/>
      <c r="Z973" s="535"/>
      <c r="AA973" s="558"/>
      <c r="AD973" s="535"/>
      <c r="AE973" s="558"/>
      <c r="AH973" s="535"/>
      <c r="AI973" s="558"/>
      <c r="AL973" s="535"/>
      <c r="AP973" s="535"/>
    </row>
    <row r="974">
      <c r="A974" s="552"/>
      <c r="B974" s="552"/>
      <c r="N974" s="535"/>
      <c r="O974" s="558"/>
      <c r="R974" s="535"/>
      <c r="S974" s="558"/>
      <c r="V974" s="535"/>
      <c r="W974" s="558"/>
      <c r="Z974" s="535"/>
      <c r="AA974" s="558"/>
      <c r="AD974" s="535"/>
      <c r="AE974" s="558"/>
      <c r="AH974" s="535"/>
      <c r="AI974" s="558"/>
      <c r="AL974" s="535"/>
      <c r="AP974" s="535"/>
    </row>
    <row r="975">
      <c r="A975" s="552"/>
      <c r="B975" s="552"/>
      <c r="N975" s="535"/>
      <c r="O975" s="558"/>
      <c r="R975" s="535"/>
      <c r="S975" s="558"/>
      <c r="V975" s="535"/>
      <c r="W975" s="558"/>
      <c r="Z975" s="535"/>
      <c r="AA975" s="558"/>
      <c r="AD975" s="535"/>
      <c r="AE975" s="558"/>
      <c r="AH975" s="535"/>
      <c r="AI975" s="558"/>
      <c r="AL975" s="535"/>
      <c r="AP975" s="535"/>
    </row>
    <row r="976">
      <c r="A976" s="552"/>
      <c r="B976" s="552"/>
      <c r="N976" s="535"/>
      <c r="O976" s="558"/>
      <c r="R976" s="535"/>
      <c r="S976" s="558"/>
      <c r="V976" s="535"/>
      <c r="W976" s="558"/>
      <c r="Z976" s="535"/>
      <c r="AA976" s="558"/>
      <c r="AD976" s="535"/>
      <c r="AE976" s="558"/>
      <c r="AH976" s="535"/>
      <c r="AI976" s="558"/>
      <c r="AL976" s="535"/>
      <c r="AP976" s="535"/>
    </row>
    <row r="977">
      <c r="A977" s="552"/>
      <c r="B977" s="552"/>
      <c r="N977" s="535"/>
      <c r="O977" s="558"/>
      <c r="R977" s="535"/>
      <c r="S977" s="558"/>
      <c r="V977" s="535"/>
      <c r="W977" s="558"/>
      <c r="Z977" s="535"/>
      <c r="AA977" s="558"/>
      <c r="AD977" s="535"/>
      <c r="AE977" s="558"/>
      <c r="AH977" s="535"/>
      <c r="AI977" s="558"/>
      <c r="AL977" s="535"/>
      <c r="AP977" s="535"/>
    </row>
    <row r="978">
      <c r="A978" s="552"/>
      <c r="B978" s="552"/>
      <c r="N978" s="535"/>
      <c r="O978" s="558"/>
      <c r="R978" s="535"/>
      <c r="S978" s="558"/>
      <c r="V978" s="535"/>
      <c r="W978" s="558"/>
      <c r="Z978" s="535"/>
      <c r="AA978" s="558"/>
      <c r="AD978" s="535"/>
      <c r="AE978" s="558"/>
      <c r="AH978" s="535"/>
      <c r="AI978" s="558"/>
      <c r="AL978" s="535"/>
      <c r="AP978" s="535"/>
    </row>
    <row r="979">
      <c r="A979" s="552"/>
      <c r="B979" s="552"/>
      <c r="N979" s="535"/>
      <c r="O979" s="558"/>
      <c r="R979" s="535"/>
      <c r="S979" s="558"/>
      <c r="V979" s="535"/>
      <c r="W979" s="558"/>
      <c r="Z979" s="535"/>
      <c r="AA979" s="558"/>
      <c r="AD979" s="535"/>
      <c r="AE979" s="558"/>
      <c r="AH979" s="535"/>
      <c r="AI979" s="558"/>
      <c r="AL979" s="535"/>
      <c r="AP979" s="535"/>
    </row>
    <row r="980">
      <c r="A980" s="552"/>
      <c r="B980" s="552"/>
      <c r="N980" s="535"/>
      <c r="O980" s="558"/>
      <c r="R980" s="535"/>
      <c r="S980" s="558"/>
      <c r="V980" s="535"/>
      <c r="W980" s="558"/>
      <c r="Z980" s="535"/>
      <c r="AA980" s="558"/>
      <c r="AD980" s="535"/>
      <c r="AE980" s="558"/>
      <c r="AH980" s="535"/>
      <c r="AI980" s="558"/>
      <c r="AL980" s="535"/>
      <c r="AP980" s="535"/>
    </row>
    <row r="981">
      <c r="A981" s="552"/>
      <c r="B981" s="552"/>
      <c r="N981" s="535"/>
      <c r="O981" s="558"/>
      <c r="R981" s="535"/>
      <c r="S981" s="558"/>
      <c r="V981" s="535"/>
      <c r="W981" s="558"/>
      <c r="Z981" s="535"/>
      <c r="AA981" s="558"/>
      <c r="AD981" s="535"/>
      <c r="AE981" s="558"/>
      <c r="AH981" s="535"/>
      <c r="AI981" s="558"/>
      <c r="AL981" s="535"/>
      <c r="AP981" s="535"/>
    </row>
    <row r="982">
      <c r="A982" s="552"/>
      <c r="B982" s="552"/>
      <c r="N982" s="535"/>
      <c r="O982" s="558"/>
      <c r="R982" s="535"/>
      <c r="S982" s="558"/>
      <c r="V982" s="535"/>
      <c r="W982" s="558"/>
      <c r="Z982" s="535"/>
      <c r="AA982" s="558"/>
      <c r="AD982" s="535"/>
      <c r="AE982" s="558"/>
      <c r="AH982" s="535"/>
      <c r="AI982" s="558"/>
      <c r="AL982" s="535"/>
      <c r="AP982" s="535"/>
    </row>
    <row r="983">
      <c r="A983" s="552"/>
      <c r="B983" s="552"/>
      <c r="N983" s="535"/>
      <c r="O983" s="558"/>
      <c r="R983" s="535"/>
      <c r="S983" s="558"/>
      <c r="V983" s="535"/>
      <c r="W983" s="558"/>
      <c r="Z983" s="535"/>
      <c r="AA983" s="558"/>
      <c r="AD983" s="535"/>
      <c r="AE983" s="558"/>
      <c r="AH983" s="535"/>
      <c r="AI983" s="558"/>
      <c r="AL983" s="535"/>
      <c r="AP983" s="535"/>
    </row>
    <row r="984">
      <c r="A984" s="552"/>
      <c r="B984" s="552"/>
      <c r="N984" s="535"/>
      <c r="O984" s="558"/>
      <c r="R984" s="535"/>
      <c r="S984" s="558"/>
      <c r="V984" s="535"/>
      <c r="W984" s="558"/>
      <c r="Z984" s="535"/>
      <c r="AA984" s="558"/>
      <c r="AD984" s="535"/>
      <c r="AE984" s="558"/>
      <c r="AH984" s="535"/>
      <c r="AI984" s="558"/>
      <c r="AL984" s="535"/>
      <c r="AP984" s="535"/>
    </row>
    <row r="985">
      <c r="A985" s="552"/>
      <c r="B985" s="552"/>
      <c r="N985" s="535"/>
      <c r="O985" s="558"/>
      <c r="R985" s="535"/>
      <c r="S985" s="558"/>
      <c r="V985" s="535"/>
      <c r="W985" s="558"/>
      <c r="Z985" s="535"/>
      <c r="AA985" s="558"/>
      <c r="AD985" s="535"/>
      <c r="AE985" s="558"/>
      <c r="AH985" s="535"/>
      <c r="AI985" s="558"/>
      <c r="AL985" s="535"/>
      <c r="AP985" s="535"/>
    </row>
    <row r="986">
      <c r="A986" s="552"/>
      <c r="B986" s="552"/>
      <c r="N986" s="535"/>
      <c r="O986" s="558"/>
      <c r="R986" s="535"/>
      <c r="S986" s="558"/>
      <c r="V986" s="535"/>
      <c r="W986" s="558"/>
      <c r="Z986" s="535"/>
      <c r="AA986" s="558"/>
      <c r="AD986" s="535"/>
      <c r="AE986" s="558"/>
      <c r="AH986" s="535"/>
      <c r="AI986" s="558"/>
      <c r="AL986" s="535"/>
      <c r="AP986" s="535"/>
    </row>
    <row r="987">
      <c r="A987" s="552"/>
      <c r="B987" s="552"/>
      <c r="N987" s="535"/>
      <c r="O987" s="558"/>
      <c r="R987" s="535"/>
      <c r="S987" s="558"/>
      <c r="V987" s="535"/>
      <c r="W987" s="558"/>
      <c r="Z987" s="535"/>
      <c r="AA987" s="558"/>
      <c r="AD987" s="535"/>
      <c r="AE987" s="558"/>
      <c r="AH987" s="535"/>
      <c r="AI987" s="558"/>
      <c r="AL987" s="535"/>
      <c r="AP987" s="535"/>
    </row>
    <row r="988">
      <c r="A988" s="552"/>
      <c r="B988" s="552"/>
      <c r="N988" s="535"/>
      <c r="O988" s="558"/>
      <c r="R988" s="535"/>
      <c r="S988" s="558"/>
      <c r="V988" s="535"/>
      <c r="W988" s="558"/>
      <c r="Z988" s="535"/>
      <c r="AA988" s="558"/>
      <c r="AD988" s="535"/>
      <c r="AE988" s="558"/>
      <c r="AH988" s="535"/>
      <c r="AI988" s="558"/>
      <c r="AL988" s="535"/>
      <c r="AP988" s="535"/>
    </row>
    <row r="989">
      <c r="A989" s="552"/>
      <c r="B989" s="552"/>
      <c r="N989" s="535"/>
      <c r="O989" s="558"/>
      <c r="R989" s="535"/>
      <c r="S989" s="558"/>
      <c r="V989" s="535"/>
      <c r="W989" s="558"/>
      <c r="Z989" s="535"/>
      <c r="AA989" s="558"/>
      <c r="AD989" s="535"/>
      <c r="AE989" s="558"/>
      <c r="AH989" s="535"/>
      <c r="AI989" s="558"/>
      <c r="AL989" s="535"/>
      <c r="AP989" s="535"/>
    </row>
    <row r="990">
      <c r="A990" s="552"/>
      <c r="B990" s="552"/>
      <c r="N990" s="535"/>
      <c r="O990" s="558"/>
      <c r="R990" s="535"/>
      <c r="S990" s="558"/>
      <c r="V990" s="535"/>
      <c r="W990" s="558"/>
      <c r="Z990" s="535"/>
      <c r="AA990" s="558"/>
      <c r="AD990" s="535"/>
      <c r="AE990" s="558"/>
      <c r="AH990" s="535"/>
      <c r="AI990" s="558"/>
      <c r="AL990" s="535"/>
      <c r="AP990" s="535"/>
    </row>
    <row r="991">
      <c r="A991" s="552"/>
      <c r="B991" s="552"/>
      <c r="N991" s="535"/>
      <c r="O991" s="558"/>
      <c r="R991" s="535"/>
      <c r="S991" s="558"/>
      <c r="V991" s="535"/>
      <c r="W991" s="558"/>
      <c r="Z991" s="535"/>
      <c r="AA991" s="558"/>
      <c r="AD991" s="535"/>
      <c r="AE991" s="558"/>
      <c r="AH991" s="535"/>
      <c r="AI991" s="558"/>
      <c r="AL991" s="535"/>
      <c r="AP991" s="535"/>
    </row>
    <row r="992">
      <c r="A992" s="552"/>
      <c r="B992" s="552"/>
      <c r="N992" s="535"/>
      <c r="O992" s="558"/>
      <c r="R992" s="535"/>
      <c r="S992" s="558"/>
      <c r="V992" s="535"/>
      <c r="W992" s="558"/>
      <c r="Z992" s="535"/>
      <c r="AA992" s="558"/>
      <c r="AD992" s="535"/>
      <c r="AE992" s="558"/>
      <c r="AH992" s="535"/>
      <c r="AI992" s="558"/>
      <c r="AL992" s="535"/>
      <c r="AP992" s="535"/>
    </row>
    <row r="993">
      <c r="A993" s="552"/>
      <c r="B993" s="552"/>
      <c r="N993" s="535"/>
      <c r="O993" s="558"/>
      <c r="R993" s="535"/>
      <c r="S993" s="558"/>
      <c r="V993" s="535"/>
      <c r="W993" s="558"/>
      <c r="Z993" s="535"/>
      <c r="AA993" s="558"/>
      <c r="AD993" s="535"/>
      <c r="AE993" s="558"/>
      <c r="AH993" s="535"/>
      <c r="AI993" s="558"/>
      <c r="AL993" s="535"/>
      <c r="AP993" s="535"/>
    </row>
    <row r="994">
      <c r="A994" s="552"/>
      <c r="B994" s="552"/>
      <c r="N994" s="535"/>
      <c r="O994" s="558"/>
      <c r="R994" s="535"/>
      <c r="S994" s="558"/>
      <c r="V994" s="535"/>
      <c r="W994" s="558"/>
      <c r="Z994" s="535"/>
      <c r="AA994" s="558"/>
      <c r="AD994" s="535"/>
      <c r="AE994" s="558"/>
      <c r="AH994" s="535"/>
      <c r="AI994" s="558"/>
      <c r="AL994" s="535"/>
      <c r="AP994" s="535"/>
    </row>
    <row r="995">
      <c r="A995" s="552"/>
      <c r="B995" s="552"/>
      <c r="N995" s="535"/>
      <c r="O995" s="558"/>
      <c r="R995" s="535"/>
      <c r="S995" s="558"/>
      <c r="V995" s="535"/>
      <c r="W995" s="558"/>
      <c r="Z995" s="535"/>
      <c r="AA995" s="558"/>
      <c r="AD995" s="535"/>
      <c r="AE995" s="558"/>
      <c r="AH995" s="535"/>
      <c r="AI995" s="558"/>
      <c r="AL995" s="535"/>
      <c r="AP995" s="535"/>
    </row>
    <row r="996">
      <c r="A996" s="552"/>
      <c r="B996" s="552"/>
      <c r="N996" s="535"/>
      <c r="O996" s="558"/>
      <c r="R996" s="535"/>
      <c r="S996" s="558"/>
      <c r="V996" s="535"/>
      <c r="W996" s="558"/>
      <c r="Z996" s="535"/>
      <c r="AA996" s="558"/>
      <c r="AD996" s="535"/>
      <c r="AE996" s="558"/>
      <c r="AH996" s="535"/>
      <c r="AI996" s="558"/>
      <c r="AL996" s="535"/>
      <c r="AP996" s="535"/>
    </row>
    <row r="997">
      <c r="A997" s="552"/>
      <c r="B997" s="552"/>
      <c r="N997" s="535"/>
      <c r="O997" s="558"/>
      <c r="R997" s="535"/>
      <c r="S997" s="558"/>
      <c r="V997" s="535"/>
      <c r="W997" s="558"/>
      <c r="Z997" s="535"/>
      <c r="AA997" s="558"/>
      <c r="AD997" s="535"/>
      <c r="AE997" s="558"/>
      <c r="AH997" s="535"/>
      <c r="AI997" s="558"/>
      <c r="AL997" s="535"/>
      <c r="AP997" s="535"/>
    </row>
    <row r="998">
      <c r="A998" s="552"/>
      <c r="B998" s="552"/>
      <c r="N998" s="535"/>
      <c r="O998" s="558"/>
      <c r="R998" s="535"/>
      <c r="S998" s="558"/>
      <c r="V998" s="535"/>
      <c r="W998" s="558"/>
      <c r="Z998" s="535"/>
      <c r="AA998" s="558"/>
      <c r="AD998" s="535"/>
      <c r="AE998" s="558"/>
      <c r="AH998" s="535"/>
      <c r="AI998" s="558"/>
      <c r="AL998" s="535"/>
      <c r="AP998" s="535"/>
    </row>
    <row r="999">
      <c r="A999" s="552"/>
      <c r="B999" s="552"/>
      <c r="N999" s="535"/>
      <c r="O999" s="558"/>
      <c r="R999" s="535"/>
      <c r="S999" s="558"/>
      <c r="V999" s="535"/>
      <c r="W999" s="558"/>
      <c r="Z999" s="535"/>
      <c r="AA999" s="558"/>
      <c r="AD999" s="535"/>
      <c r="AE999" s="558"/>
      <c r="AH999" s="535"/>
      <c r="AI999" s="558"/>
      <c r="AL999" s="535"/>
      <c r="AP999" s="535"/>
    </row>
    <row r="1000">
      <c r="A1000" s="552"/>
      <c r="B1000" s="552"/>
      <c r="N1000" s="535"/>
      <c r="O1000" s="558"/>
      <c r="R1000" s="535"/>
      <c r="S1000" s="558"/>
      <c r="V1000" s="535"/>
      <c r="W1000" s="558"/>
      <c r="Z1000" s="535"/>
      <c r="AA1000" s="558"/>
      <c r="AD1000" s="535"/>
      <c r="AE1000" s="558"/>
      <c r="AH1000" s="535"/>
      <c r="AI1000" s="558"/>
      <c r="AL1000" s="535"/>
      <c r="AP1000" s="535"/>
    </row>
    <row r="1001">
      <c r="A1001" s="552"/>
      <c r="B1001" s="552"/>
      <c r="N1001" s="535"/>
      <c r="O1001" s="558"/>
      <c r="R1001" s="535"/>
      <c r="S1001" s="558"/>
      <c r="V1001" s="535"/>
      <c r="W1001" s="558"/>
      <c r="Z1001" s="535"/>
      <c r="AA1001" s="558"/>
      <c r="AD1001" s="535"/>
      <c r="AE1001" s="558"/>
      <c r="AH1001" s="535"/>
      <c r="AI1001" s="558"/>
      <c r="AL1001" s="535"/>
      <c r="AP1001" s="535"/>
    </row>
    <row r="1002">
      <c r="A1002" s="552"/>
      <c r="B1002" s="552"/>
      <c r="N1002" s="535"/>
      <c r="O1002" s="558"/>
      <c r="R1002" s="535"/>
      <c r="S1002" s="558"/>
      <c r="V1002" s="535"/>
      <c r="W1002" s="558"/>
      <c r="Z1002" s="535"/>
      <c r="AA1002" s="558"/>
      <c r="AD1002" s="535"/>
      <c r="AE1002" s="558"/>
      <c r="AH1002" s="535"/>
      <c r="AI1002" s="558"/>
      <c r="AL1002" s="535"/>
      <c r="AP1002" s="535"/>
    </row>
    <row r="1003">
      <c r="A1003" s="552"/>
      <c r="B1003" s="552"/>
      <c r="N1003" s="535"/>
      <c r="O1003" s="558"/>
      <c r="R1003" s="535"/>
      <c r="S1003" s="558"/>
      <c r="V1003" s="535"/>
      <c r="W1003" s="558"/>
      <c r="Z1003" s="535"/>
      <c r="AA1003" s="558"/>
      <c r="AD1003" s="535"/>
      <c r="AE1003" s="558"/>
      <c r="AH1003" s="535"/>
      <c r="AI1003" s="558"/>
      <c r="AL1003" s="535"/>
      <c r="AP1003" s="535"/>
    </row>
    <row r="1004">
      <c r="A1004" s="552"/>
      <c r="B1004" s="552"/>
      <c r="N1004" s="535"/>
      <c r="O1004" s="558"/>
      <c r="R1004" s="535"/>
      <c r="S1004" s="558"/>
      <c r="V1004" s="535"/>
      <c r="W1004" s="558"/>
      <c r="Z1004" s="535"/>
      <c r="AA1004" s="558"/>
      <c r="AD1004" s="535"/>
      <c r="AE1004" s="558"/>
      <c r="AH1004" s="535"/>
      <c r="AI1004" s="558"/>
      <c r="AL1004" s="535"/>
      <c r="AP1004" s="535"/>
    </row>
    <row r="1005">
      <c r="A1005" s="552"/>
      <c r="B1005" s="552"/>
      <c r="N1005" s="535"/>
      <c r="O1005" s="558"/>
      <c r="R1005" s="535"/>
      <c r="S1005" s="558"/>
      <c r="V1005" s="535"/>
      <c r="W1005" s="558"/>
      <c r="Z1005" s="535"/>
      <c r="AA1005" s="558"/>
      <c r="AD1005" s="535"/>
      <c r="AE1005" s="558"/>
      <c r="AH1005" s="535"/>
      <c r="AI1005" s="558"/>
      <c r="AL1005" s="535"/>
      <c r="AP1005" s="535"/>
    </row>
    <row r="1006">
      <c r="A1006" s="552"/>
      <c r="B1006" s="552"/>
      <c r="N1006" s="535"/>
      <c r="O1006" s="558"/>
      <c r="R1006" s="535"/>
      <c r="S1006" s="558"/>
      <c r="V1006" s="535"/>
      <c r="W1006" s="558"/>
      <c r="Z1006" s="535"/>
      <c r="AA1006" s="558"/>
      <c r="AD1006" s="535"/>
      <c r="AE1006" s="558"/>
      <c r="AH1006" s="535"/>
      <c r="AI1006" s="558"/>
      <c r="AL1006" s="535"/>
      <c r="AP1006" s="535"/>
    </row>
    <row r="1007">
      <c r="A1007" s="552"/>
      <c r="B1007" s="552"/>
      <c r="N1007" s="535"/>
      <c r="O1007" s="558"/>
      <c r="R1007" s="535"/>
      <c r="S1007" s="558"/>
      <c r="V1007" s="535"/>
      <c r="W1007" s="558"/>
      <c r="Z1007" s="535"/>
      <c r="AA1007" s="558"/>
      <c r="AD1007" s="535"/>
      <c r="AE1007" s="558"/>
      <c r="AH1007" s="535"/>
      <c r="AI1007" s="558"/>
      <c r="AL1007" s="535"/>
      <c r="AP1007" s="535"/>
    </row>
    <row r="1008">
      <c r="A1008" s="552"/>
      <c r="B1008" s="552"/>
      <c r="N1008" s="535"/>
      <c r="O1008" s="558"/>
      <c r="R1008" s="535"/>
      <c r="S1008" s="558"/>
      <c r="V1008" s="535"/>
      <c r="W1008" s="558"/>
      <c r="Z1008" s="535"/>
      <c r="AA1008" s="558"/>
      <c r="AD1008" s="535"/>
      <c r="AE1008" s="558"/>
      <c r="AH1008" s="535"/>
      <c r="AI1008" s="558"/>
      <c r="AL1008" s="535"/>
      <c r="AP1008" s="535"/>
    </row>
    <row r="1009">
      <c r="A1009" s="552"/>
      <c r="B1009" s="552"/>
      <c r="N1009" s="535"/>
      <c r="O1009" s="558"/>
      <c r="R1009" s="535"/>
      <c r="S1009" s="558"/>
      <c r="V1009" s="535"/>
      <c r="W1009" s="558"/>
      <c r="Z1009" s="535"/>
      <c r="AA1009" s="558"/>
      <c r="AD1009" s="535"/>
      <c r="AE1009" s="558"/>
      <c r="AH1009" s="535"/>
      <c r="AI1009" s="558"/>
      <c r="AL1009" s="535"/>
      <c r="AP1009" s="535"/>
    </row>
    <row r="1010">
      <c r="A1010" s="552"/>
      <c r="B1010" s="552"/>
      <c r="N1010" s="535"/>
      <c r="O1010" s="558"/>
      <c r="R1010" s="535"/>
      <c r="S1010" s="558"/>
      <c r="V1010" s="535"/>
      <c r="W1010" s="558"/>
      <c r="Z1010" s="535"/>
      <c r="AA1010" s="558"/>
      <c r="AD1010" s="535"/>
      <c r="AE1010" s="558"/>
      <c r="AH1010" s="535"/>
      <c r="AI1010" s="558"/>
      <c r="AL1010" s="535"/>
      <c r="AP1010" s="535"/>
    </row>
  </sheetData>
  <drawing r:id="rId1"/>
</worksheet>
</file>