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7005" windowHeight="15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04" i="1" l="1"/>
  <c r="B202" i="1"/>
  <c r="B198" i="1"/>
  <c r="B194" i="1"/>
  <c r="B190" i="1"/>
  <c r="B186" i="1"/>
  <c r="A184" i="1"/>
  <c r="B175" i="1"/>
  <c r="B178" i="1" s="1"/>
  <c r="B163" i="1"/>
  <c r="B157" i="1"/>
  <c r="B162" i="1" s="1"/>
  <c r="B128" i="1"/>
  <c r="B126" i="1"/>
  <c r="B139" i="1" l="1"/>
  <c r="B135" i="1"/>
  <c r="B113" i="1"/>
  <c r="B101" i="1"/>
  <c r="B91" i="1"/>
  <c r="B97" i="1" s="1"/>
  <c r="B58" i="1"/>
  <c r="B25" i="1"/>
  <c r="B26" i="1" s="1"/>
  <c r="B30" i="1" s="1"/>
  <c r="D5" i="1"/>
  <c r="D7" i="1" s="1"/>
  <c r="D3" i="1"/>
  <c r="B143" i="1" l="1"/>
  <c r="B38" i="1"/>
  <c r="B42" i="1" s="1"/>
  <c r="B169" i="1" s="1"/>
  <c r="B171" i="1" s="1"/>
  <c r="B76" i="1"/>
  <c r="B88" i="1"/>
  <c r="B89" i="1" s="1"/>
  <c r="B34" i="1"/>
  <c r="B103" i="1"/>
  <c r="B107" i="1"/>
  <c r="B62" i="1" l="1"/>
  <c r="B84" i="1" s="1"/>
  <c r="B64" i="1"/>
  <c r="B147" i="1"/>
  <c r="B80" i="1"/>
  <c r="B46" i="1"/>
  <c r="B68" i="1" l="1"/>
  <c r="B153" i="1"/>
  <c r="B151" i="1"/>
  <c r="B93" i="1"/>
  <c r="B72" i="1"/>
  <c r="B54" i="1"/>
  <c r="B50" i="1"/>
  <c r="B111" i="1" s="1"/>
  <c r="B115" i="1" s="1"/>
</calcChain>
</file>

<file path=xl/sharedStrings.xml><?xml version="1.0" encoding="utf-8"?>
<sst xmlns="http://schemas.openxmlformats.org/spreadsheetml/2006/main" count="186" uniqueCount="161">
  <si>
    <t>Given specifications</t>
  </si>
  <si>
    <t>Minimum input voltage</t>
  </si>
  <si>
    <t>Rated output voltage</t>
  </si>
  <si>
    <t>Rated output current</t>
  </si>
  <si>
    <t>Maximum input voltage</t>
  </si>
  <si>
    <t>Conversion efficiency</t>
  </si>
  <si>
    <t>Calculated specifications</t>
  </si>
  <si>
    <t>V</t>
  </si>
  <si>
    <t>s</t>
  </si>
  <si>
    <t>A</t>
  </si>
  <si>
    <t>Auxiliary output voltage</t>
  </si>
  <si>
    <t>Hz</t>
  </si>
  <si>
    <t>Average input voltage</t>
  </si>
  <si>
    <t>Auxiliary output power</t>
  </si>
  <si>
    <t>Output power</t>
  </si>
  <si>
    <t>Auxiliary output current</t>
  </si>
  <si>
    <t>Operating frequency</t>
  </si>
  <si>
    <t>W</t>
  </si>
  <si>
    <t>Switching period</t>
  </si>
  <si>
    <t>Equation 2</t>
  </si>
  <si>
    <t>T</t>
  </si>
  <si>
    <t>us</t>
  </si>
  <si>
    <t>Equation 3</t>
  </si>
  <si>
    <t>t*on</t>
  </si>
  <si>
    <t>Equation 4</t>
  </si>
  <si>
    <t>Maximum duty cycle</t>
  </si>
  <si>
    <t>Dmax</t>
  </si>
  <si>
    <t>Equation 5</t>
  </si>
  <si>
    <t>Input power</t>
  </si>
  <si>
    <t>Pin</t>
  </si>
  <si>
    <t>Equation 6</t>
  </si>
  <si>
    <t>Maximum average input current</t>
  </si>
  <si>
    <t>Iin</t>
  </si>
  <si>
    <t>Equation 7</t>
  </si>
  <si>
    <t>Ipft</t>
  </si>
  <si>
    <t>Equation 8</t>
  </si>
  <si>
    <t>Maximum input RMS current</t>
  </si>
  <si>
    <t>Iin_RMS</t>
  </si>
  <si>
    <t>Equation 9</t>
  </si>
  <si>
    <t>Maximum MOSFET RMS current</t>
  </si>
  <si>
    <t>Imos_RMS</t>
  </si>
  <si>
    <t>Equation 10</t>
  </si>
  <si>
    <t>Minimum MOSFET breakdown voltage</t>
  </si>
  <si>
    <t>Vbrk_Mos</t>
  </si>
  <si>
    <t>Equation 11</t>
  </si>
  <si>
    <t>Transformer turns ratio</t>
  </si>
  <si>
    <t>N</t>
  </si>
  <si>
    <t>Equation 12</t>
  </si>
  <si>
    <t>Minimum duty cycle</t>
  </si>
  <si>
    <t>Dmin</t>
  </si>
  <si>
    <t>Equation 13</t>
  </si>
  <si>
    <t>Equation 14</t>
  </si>
  <si>
    <t>Iout</t>
  </si>
  <si>
    <t>Secondary maximum RMS current</t>
  </si>
  <si>
    <t>Isec_RMS</t>
  </si>
  <si>
    <t>Rectifier diode voltage</t>
  </si>
  <si>
    <t>Vdiode</t>
  </si>
  <si>
    <t>Equation 17</t>
  </si>
  <si>
    <t>Output filter inductor value</t>
  </si>
  <si>
    <t>Lmin</t>
  </si>
  <si>
    <t>Realistic maximum on time</t>
  </si>
  <si>
    <t>Output current ripple</t>
  </si>
  <si>
    <t>Minimum output current</t>
  </si>
  <si>
    <t>Iout_min</t>
  </si>
  <si>
    <t>Equation 20</t>
  </si>
  <si>
    <t>Output voltage ripple</t>
  </si>
  <si>
    <t>ΔV_out</t>
  </si>
  <si>
    <t>ΔI_out</t>
  </si>
  <si>
    <t>C</t>
  </si>
  <si>
    <t>Equation 23</t>
  </si>
  <si>
    <t>ESR</t>
  </si>
  <si>
    <t>Equation 24</t>
  </si>
  <si>
    <t>Input capacitor</t>
  </si>
  <si>
    <t>Cin</t>
  </si>
  <si>
    <t>RMS capacitor current value</t>
  </si>
  <si>
    <t>Ic_rms</t>
  </si>
  <si>
    <t>Ω</t>
  </si>
  <si>
    <t>Input voltage ripple</t>
  </si>
  <si>
    <t>ΔV_in</t>
  </si>
  <si>
    <t>Equation 19</t>
  </si>
  <si>
    <t xml:space="preserve">Maximum equivalent series resistance </t>
  </si>
  <si>
    <t>Theoretical maximum on time</t>
  </si>
  <si>
    <t>Maximum equivalent flat topped input current</t>
  </si>
  <si>
    <t>Duty cycle at nominal input voltage</t>
  </si>
  <si>
    <t>Maximum average output current</t>
  </si>
  <si>
    <t>Equation 15</t>
  </si>
  <si>
    <t>Equation 16</t>
  </si>
  <si>
    <t>Equation 28</t>
  </si>
  <si>
    <t>Transformer apparent power</t>
  </si>
  <si>
    <t>Pt</t>
  </si>
  <si>
    <t>Electrical condition parameter</t>
  </si>
  <si>
    <t>Ke</t>
  </si>
  <si>
    <t>Specification</t>
  </si>
  <si>
    <t>Kf</t>
  </si>
  <si>
    <t>Maximum operating flux density</t>
  </si>
  <si>
    <t>Bm</t>
  </si>
  <si>
    <t>waveform coefficient for square waves</t>
  </si>
  <si>
    <t>Equation 31</t>
  </si>
  <si>
    <t>Core geometry parameter</t>
  </si>
  <si>
    <t>Kg</t>
  </si>
  <si>
    <t>Regulation</t>
  </si>
  <si>
    <t>α</t>
  </si>
  <si>
    <t>Equation 33</t>
  </si>
  <si>
    <t>ac</t>
  </si>
  <si>
    <t>MLT</t>
  </si>
  <si>
    <t>Mean length per turn</t>
  </si>
  <si>
    <t>N1</t>
  </si>
  <si>
    <t>ΔB</t>
  </si>
  <si>
    <t>Equation 35</t>
  </si>
  <si>
    <t>Number of primary turns</t>
  </si>
  <si>
    <t>Number of the secondary turns</t>
  </si>
  <si>
    <t>N2</t>
  </si>
  <si>
    <t>N2_aux</t>
  </si>
  <si>
    <t>Auxiliary turns ratio</t>
  </si>
  <si>
    <t>N_aux</t>
  </si>
  <si>
    <t>Equation 36</t>
  </si>
  <si>
    <t>Wire diameter</t>
  </si>
  <si>
    <t>d</t>
  </si>
  <si>
    <t>Note: 18 is chosen because of power loss</t>
  </si>
  <si>
    <t>cm</t>
  </si>
  <si>
    <t>wire available with diameter of 0.08cm is chosen</t>
  </si>
  <si>
    <t>Equation 38</t>
  </si>
  <si>
    <t>Conductor section</t>
  </si>
  <si>
    <t>Aw</t>
  </si>
  <si>
    <t>AW009</t>
  </si>
  <si>
    <t>Chosen wire</t>
  </si>
  <si>
    <t>J</t>
  </si>
  <si>
    <t>A/cm2</t>
  </si>
  <si>
    <t>Current density</t>
  </si>
  <si>
    <t>Number of primary wires</t>
  </si>
  <si>
    <t>Snp</t>
  </si>
  <si>
    <t>Awp</t>
  </si>
  <si>
    <t>Aws</t>
  </si>
  <si>
    <t>Sns</t>
  </si>
  <si>
    <t>Secondary winding</t>
  </si>
  <si>
    <t>Equation 44</t>
  </si>
  <si>
    <t>Equation 43</t>
  </si>
  <si>
    <t>Equation 40</t>
  </si>
  <si>
    <t>Copper resistivity per meter</t>
  </si>
  <si>
    <t>Equation 41</t>
  </si>
  <si>
    <t>Primary resistance</t>
  </si>
  <si>
    <t>rp</t>
  </si>
  <si>
    <t>Equation 42</t>
  </si>
  <si>
    <t>Resistance of primary winding</t>
  </si>
  <si>
    <t>Rp</t>
  </si>
  <si>
    <t>Equation 45</t>
  </si>
  <si>
    <t>Secondary resistance</t>
  </si>
  <si>
    <t>rs</t>
  </si>
  <si>
    <t>Equation 46</t>
  </si>
  <si>
    <t>Resistance of secondary winding</t>
  </si>
  <si>
    <t>Rs</t>
  </si>
  <si>
    <t>Equation 47</t>
  </si>
  <si>
    <t>Total copper losses</t>
  </si>
  <si>
    <t>Pcu</t>
  </si>
  <si>
    <t>Lost ratio</t>
  </si>
  <si>
    <t>Output filter capacitor value</t>
  </si>
  <si>
    <t>Transformer Design</t>
  </si>
  <si>
    <t>Core cross section area</t>
  </si>
  <si>
    <t>Equation 29</t>
  </si>
  <si>
    <t>Number of the auxiliary secondary turns</t>
  </si>
  <si>
    <t>Wire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</si>
</sst>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tabSelected="1" topLeftCell="A191" workbookViewId="0">
      <selection activeCell="A205" sqref="A205"/>
    </sheetView>
  </sheetViews>
  <sheetFormatPr defaultRowHeight="15" x14ac:dyDescent="0.25"/>
  <cols>
    <col min="1" max="1" width="10.140625" customWidth="1"/>
  </cols>
  <sheetData>
    <row r="1" spans="1:5" x14ac:dyDescent="0.25">
      <c r="A1" t="s">
        <v>0</v>
      </c>
      <c r="D1" t="s">
        <v>6</v>
      </c>
    </row>
    <row r="2" spans="1:5" x14ac:dyDescent="0.25">
      <c r="A2" t="s">
        <v>1</v>
      </c>
      <c r="D2" t="s">
        <v>12</v>
      </c>
    </row>
    <row r="3" spans="1:5" x14ac:dyDescent="0.25">
      <c r="A3">
        <v>15</v>
      </c>
      <c r="B3" t="s">
        <v>7</v>
      </c>
      <c r="D3">
        <f>AVERAGE(A3,A5)</f>
        <v>21.5</v>
      </c>
      <c r="E3" t="s">
        <v>7</v>
      </c>
    </row>
    <row r="4" spans="1:5" x14ac:dyDescent="0.25">
      <c r="A4" t="s">
        <v>4</v>
      </c>
      <c r="D4" t="s">
        <v>13</v>
      </c>
    </row>
    <row r="5" spans="1:5" x14ac:dyDescent="0.25">
      <c r="A5">
        <v>28</v>
      </c>
      <c r="B5" t="s">
        <v>7</v>
      </c>
      <c r="D5">
        <f>ABS(A13)*A15</f>
        <v>1.2000000000000002</v>
      </c>
      <c r="E5" t="s">
        <v>17</v>
      </c>
    </row>
    <row r="6" spans="1:5" x14ac:dyDescent="0.25">
      <c r="A6" t="s">
        <v>2</v>
      </c>
      <c r="D6" t="s">
        <v>14</v>
      </c>
    </row>
    <row r="7" spans="1:5" x14ac:dyDescent="0.25">
      <c r="A7">
        <v>9</v>
      </c>
      <c r="B7" t="s">
        <v>7</v>
      </c>
      <c r="D7">
        <f>A7*A9+D5</f>
        <v>28.2</v>
      </c>
      <c r="E7" t="s">
        <v>17</v>
      </c>
    </row>
    <row r="8" spans="1:5" x14ac:dyDescent="0.25">
      <c r="A8" t="s">
        <v>3</v>
      </c>
    </row>
    <row r="9" spans="1:5" x14ac:dyDescent="0.25">
      <c r="A9">
        <v>3</v>
      </c>
      <c r="B9" t="s">
        <v>9</v>
      </c>
      <c r="D9" s="1"/>
    </row>
    <row r="10" spans="1:5" x14ac:dyDescent="0.25">
      <c r="A10" t="s">
        <v>5</v>
      </c>
    </row>
    <row r="11" spans="1:5" x14ac:dyDescent="0.25">
      <c r="A11">
        <v>0.75</v>
      </c>
    </row>
    <row r="12" spans="1:5" x14ac:dyDescent="0.25">
      <c r="A12" t="s">
        <v>10</v>
      </c>
    </row>
    <row r="13" spans="1:5" x14ac:dyDescent="0.25">
      <c r="A13">
        <v>-12</v>
      </c>
      <c r="B13" t="s">
        <v>7</v>
      </c>
    </row>
    <row r="14" spans="1:5" x14ac:dyDescent="0.25">
      <c r="A14" t="s">
        <v>15</v>
      </c>
    </row>
    <row r="15" spans="1:5" x14ac:dyDescent="0.25">
      <c r="A15">
        <v>0.1</v>
      </c>
      <c r="B15" t="s">
        <v>9</v>
      </c>
    </row>
    <row r="16" spans="1:5" x14ac:dyDescent="0.25">
      <c r="A16" t="s">
        <v>16</v>
      </c>
    </row>
    <row r="17" spans="1:3" x14ac:dyDescent="0.25">
      <c r="A17" s="1">
        <v>50000</v>
      </c>
      <c r="B17" t="s">
        <v>11</v>
      </c>
    </row>
    <row r="23" spans="1:3" x14ac:dyDescent="0.25">
      <c r="A23" t="s">
        <v>19</v>
      </c>
    </row>
    <row r="24" spans="1:3" x14ac:dyDescent="0.25">
      <c r="A24" t="s">
        <v>18</v>
      </c>
    </row>
    <row r="25" spans="1:3" x14ac:dyDescent="0.25">
      <c r="A25" t="s">
        <v>20</v>
      </c>
      <c r="B25" s="1">
        <f>1/A17</f>
        <v>2.0000000000000002E-5</v>
      </c>
      <c r="C25" t="s">
        <v>8</v>
      </c>
    </row>
    <row r="26" spans="1:3" x14ac:dyDescent="0.25">
      <c r="B26" s="1">
        <f>B25*1000000</f>
        <v>20</v>
      </c>
      <c r="C26" t="s">
        <v>21</v>
      </c>
    </row>
    <row r="27" spans="1:3" x14ac:dyDescent="0.25">
      <c r="B27" s="1"/>
    </row>
    <row r="28" spans="1:3" x14ac:dyDescent="0.25">
      <c r="A28" t="s">
        <v>22</v>
      </c>
    </row>
    <row r="29" spans="1:3" x14ac:dyDescent="0.25">
      <c r="A29" t="s">
        <v>81</v>
      </c>
    </row>
    <row r="30" spans="1:3" x14ac:dyDescent="0.25">
      <c r="A30" t="s">
        <v>23</v>
      </c>
      <c r="B30" s="1">
        <f>0.5*B26</f>
        <v>10</v>
      </c>
      <c r="C30" t="s">
        <v>21</v>
      </c>
    </row>
    <row r="31" spans="1:3" x14ac:dyDescent="0.25">
      <c r="B31" s="1"/>
    </row>
    <row r="32" spans="1:3" x14ac:dyDescent="0.25">
      <c r="A32" t="s">
        <v>24</v>
      </c>
    </row>
    <row r="33" spans="1:3" x14ac:dyDescent="0.25">
      <c r="A33" t="s">
        <v>25</v>
      </c>
    </row>
    <row r="34" spans="1:3" x14ac:dyDescent="0.25">
      <c r="A34" t="s">
        <v>26</v>
      </c>
      <c r="B34" s="1">
        <f>0.9*B30/B26</f>
        <v>0.45</v>
      </c>
    </row>
    <row r="36" spans="1:3" x14ac:dyDescent="0.25">
      <c r="A36" t="s">
        <v>27</v>
      </c>
    </row>
    <row r="37" spans="1:3" x14ac:dyDescent="0.25">
      <c r="A37" t="s">
        <v>28</v>
      </c>
    </row>
    <row r="38" spans="1:3" x14ac:dyDescent="0.25">
      <c r="A38" t="s">
        <v>29</v>
      </c>
      <c r="B38">
        <f>D7/A11</f>
        <v>37.6</v>
      </c>
      <c r="C38" t="s">
        <v>17</v>
      </c>
    </row>
    <row r="40" spans="1:3" x14ac:dyDescent="0.25">
      <c r="A40" t="s">
        <v>30</v>
      </c>
    </row>
    <row r="41" spans="1:3" x14ac:dyDescent="0.25">
      <c r="A41" t="s">
        <v>31</v>
      </c>
    </row>
    <row r="42" spans="1:3" x14ac:dyDescent="0.25">
      <c r="A42" t="s">
        <v>32</v>
      </c>
      <c r="B42">
        <f>B38/A3</f>
        <v>2.5066666666666668</v>
      </c>
      <c r="C42" t="s">
        <v>9</v>
      </c>
    </row>
    <row r="44" spans="1:3" x14ac:dyDescent="0.25">
      <c r="A44" t="s">
        <v>33</v>
      </c>
    </row>
    <row r="45" spans="1:3" x14ac:dyDescent="0.25">
      <c r="A45" t="s">
        <v>82</v>
      </c>
    </row>
    <row r="46" spans="1:3" x14ac:dyDescent="0.25">
      <c r="A46" t="s">
        <v>34</v>
      </c>
      <c r="B46" s="1">
        <f>B42/(2*B34)</f>
        <v>2.7851851851851852</v>
      </c>
      <c r="C46" t="s">
        <v>9</v>
      </c>
    </row>
    <row r="48" spans="1:3" x14ac:dyDescent="0.25">
      <c r="A48" t="s">
        <v>35</v>
      </c>
    </row>
    <row r="49" spans="1:8" x14ac:dyDescent="0.25">
      <c r="A49" t="s">
        <v>36</v>
      </c>
    </row>
    <row r="50" spans="1:8" x14ac:dyDescent="0.25">
      <c r="A50" t="s">
        <v>37</v>
      </c>
      <c r="B50" s="1">
        <f>B46*SQRT(2*B34)</f>
        <v>2.6422586671629125</v>
      </c>
      <c r="C50" t="s">
        <v>9</v>
      </c>
    </row>
    <row r="52" spans="1:8" x14ac:dyDescent="0.25">
      <c r="A52" t="s">
        <v>38</v>
      </c>
    </row>
    <row r="53" spans="1:8" x14ac:dyDescent="0.25">
      <c r="A53" t="s">
        <v>39</v>
      </c>
    </row>
    <row r="54" spans="1:8" x14ac:dyDescent="0.25">
      <c r="A54" t="s">
        <v>40</v>
      </c>
      <c r="B54" s="1">
        <f>B46*SQRT(B34)</f>
        <v>1.8683590211998242</v>
      </c>
      <c r="C54" t="s">
        <v>9</v>
      </c>
    </row>
    <row r="56" spans="1:8" x14ac:dyDescent="0.25">
      <c r="A56" t="s">
        <v>41</v>
      </c>
    </row>
    <row r="57" spans="1:8" x14ac:dyDescent="0.25">
      <c r="A57" t="s">
        <v>42</v>
      </c>
    </row>
    <row r="58" spans="1:8" x14ac:dyDescent="0.25">
      <c r="A58" t="s">
        <v>43</v>
      </c>
      <c r="B58">
        <f>1.3*2*A5</f>
        <v>72.8</v>
      </c>
      <c r="C58" t="s">
        <v>7</v>
      </c>
    </row>
    <row r="60" spans="1:8" x14ac:dyDescent="0.25">
      <c r="A60" t="s">
        <v>44</v>
      </c>
    </row>
    <row r="61" spans="1:8" x14ac:dyDescent="0.25">
      <c r="A61" t="s">
        <v>45</v>
      </c>
    </row>
    <row r="62" spans="1:8" x14ac:dyDescent="0.25">
      <c r="A62" t="s">
        <v>46</v>
      </c>
      <c r="B62" s="1">
        <f>A7/(2*A3*B34)</f>
        <v>0.66666666666666663</v>
      </c>
    </row>
    <row r="63" spans="1:8" x14ac:dyDescent="0.25">
      <c r="A63" t="s">
        <v>113</v>
      </c>
      <c r="B63" s="1"/>
    </row>
    <row r="64" spans="1:8" x14ac:dyDescent="0.25">
      <c r="A64" t="s">
        <v>114</v>
      </c>
      <c r="B64" s="1">
        <f>18/(2*A3*B34)</f>
        <v>1.3333333333333333</v>
      </c>
      <c r="E64" s="3" t="s">
        <v>118</v>
      </c>
      <c r="F64" s="3"/>
      <c r="G64" s="3"/>
      <c r="H64" s="3"/>
    </row>
    <row r="66" spans="1:3" x14ac:dyDescent="0.25">
      <c r="A66" t="s">
        <v>47</v>
      </c>
    </row>
    <row r="67" spans="1:3" x14ac:dyDescent="0.25">
      <c r="A67" t="s">
        <v>48</v>
      </c>
    </row>
    <row r="68" spans="1:3" x14ac:dyDescent="0.25">
      <c r="A68" t="s">
        <v>49</v>
      </c>
      <c r="B68" s="1">
        <f>A7/(2*B62*A5)</f>
        <v>0.2410714285714286</v>
      </c>
    </row>
    <row r="70" spans="1:3" x14ac:dyDescent="0.25">
      <c r="A70" t="s">
        <v>50</v>
      </c>
    </row>
    <row r="71" spans="1:3" x14ac:dyDescent="0.25">
      <c r="A71" t="s">
        <v>83</v>
      </c>
    </row>
    <row r="72" spans="1:3" x14ac:dyDescent="0.25">
      <c r="A72" t="s">
        <v>49</v>
      </c>
      <c r="B72" s="1">
        <f>A7/(2*B62*D3)</f>
        <v>0.31395348837209303</v>
      </c>
    </row>
    <row r="74" spans="1:3" x14ac:dyDescent="0.25">
      <c r="A74" t="s">
        <v>51</v>
      </c>
    </row>
    <row r="75" spans="1:3" x14ac:dyDescent="0.25">
      <c r="A75" t="s">
        <v>84</v>
      </c>
    </row>
    <row r="76" spans="1:3" x14ac:dyDescent="0.25">
      <c r="A76" t="s">
        <v>52</v>
      </c>
      <c r="B76">
        <f>D7/A7</f>
        <v>3.1333333333333333</v>
      </c>
      <c r="C76" t="s">
        <v>9</v>
      </c>
    </row>
    <row r="78" spans="1:3" x14ac:dyDescent="0.25">
      <c r="A78" t="s">
        <v>85</v>
      </c>
    </row>
    <row r="79" spans="1:3" x14ac:dyDescent="0.25">
      <c r="A79" t="s">
        <v>53</v>
      </c>
    </row>
    <row r="80" spans="1:3" x14ac:dyDescent="0.25">
      <c r="A80" t="s">
        <v>54</v>
      </c>
      <c r="B80" s="1">
        <f>B76*SQRT(B34)</f>
        <v>2.1019038988498022</v>
      </c>
      <c r="C80" t="s">
        <v>9</v>
      </c>
    </row>
    <row r="82" spans="1:3" x14ac:dyDescent="0.25">
      <c r="A82" t="s">
        <v>86</v>
      </c>
    </row>
    <row r="83" spans="1:3" x14ac:dyDescent="0.25">
      <c r="A83" t="s">
        <v>55</v>
      </c>
    </row>
    <row r="84" spans="1:3" x14ac:dyDescent="0.25">
      <c r="A84" t="s">
        <v>56</v>
      </c>
      <c r="B84" s="1">
        <f>B62*A5</f>
        <v>18.666666666666664</v>
      </c>
      <c r="C84" t="s">
        <v>7</v>
      </c>
    </row>
    <row r="86" spans="1:3" x14ac:dyDescent="0.25">
      <c r="A86" t="s">
        <v>57</v>
      </c>
    </row>
    <row r="87" spans="1:3" x14ac:dyDescent="0.25">
      <c r="A87" t="s">
        <v>60</v>
      </c>
    </row>
    <row r="88" spans="1:3" x14ac:dyDescent="0.25">
      <c r="B88" s="1">
        <f>B30*0.9</f>
        <v>9</v>
      </c>
      <c r="C88" t="s">
        <v>21</v>
      </c>
    </row>
    <row r="89" spans="1:3" x14ac:dyDescent="0.25">
      <c r="B89" s="1">
        <f>B88/(1000000)</f>
        <v>9.0000000000000002E-6</v>
      </c>
      <c r="C89" t="s">
        <v>8</v>
      </c>
    </row>
    <row r="90" spans="1:3" x14ac:dyDescent="0.25">
      <c r="A90" t="s">
        <v>61</v>
      </c>
    </row>
    <row r="91" spans="1:3" x14ac:dyDescent="0.25">
      <c r="A91" s="2" t="s">
        <v>67</v>
      </c>
      <c r="B91">
        <f>0.15*A9</f>
        <v>0.44999999999999996</v>
      </c>
      <c r="C91" t="s">
        <v>9</v>
      </c>
    </row>
    <row r="92" spans="1:3" x14ac:dyDescent="0.25">
      <c r="A92" t="s">
        <v>58</v>
      </c>
    </row>
    <row r="93" spans="1:3" x14ac:dyDescent="0.25">
      <c r="A93" t="s">
        <v>59</v>
      </c>
      <c r="B93" s="1">
        <f>(B62*D3-A7)*(B89/B91)</f>
        <v>1.0666666666666665E-4</v>
      </c>
    </row>
    <row r="95" spans="1:3" x14ac:dyDescent="0.25">
      <c r="A95" t="s">
        <v>79</v>
      </c>
    </row>
    <row r="96" spans="1:3" x14ac:dyDescent="0.25">
      <c r="A96" t="s">
        <v>62</v>
      </c>
    </row>
    <row r="97" spans="1:3" x14ac:dyDescent="0.25">
      <c r="A97" t="s">
        <v>63</v>
      </c>
      <c r="B97">
        <f>B91/2</f>
        <v>0.22499999999999998</v>
      </c>
      <c r="C97" t="s">
        <v>9</v>
      </c>
    </row>
    <row r="99" spans="1:3" x14ac:dyDescent="0.25">
      <c r="A99" t="s">
        <v>64</v>
      </c>
    </row>
    <row r="100" spans="1:3" x14ac:dyDescent="0.25">
      <c r="A100" t="s">
        <v>65</v>
      </c>
    </row>
    <row r="101" spans="1:3" x14ac:dyDescent="0.25">
      <c r="A101" s="2" t="s">
        <v>66</v>
      </c>
      <c r="B101">
        <f>0.001*A7</f>
        <v>9.0000000000000011E-3</v>
      </c>
      <c r="C101" t="s">
        <v>7</v>
      </c>
    </row>
    <row r="102" spans="1:3" x14ac:dyDescent="0.25">
      <c r="A102" s="2" t="s">
        <v>155</v>
      </c>
    </row>
    <row r="103" spans="1:3" x14ac:dyDescent="0.25">
      <c r="A103" s="2" t="s">
        <v>68</v>
      </c>
      <c r="B103" s="1">
        <f>(1/8)*(B91/B101)*B25</f>
        <v>1.2499999999999998E-4</v>
      </c>
    </row>
    <row r="105" spans="1:3" x14ac:dyDescent="0.25">
      <c r="A105" t="s">
        <v>69</v>
      </c>
    </row>
    <row r="106" spans="1:3" x14ac:dyDescent="0.25">
      <c r="A106" t="s">
        <v>80</v>
      </c>
    </row>
    <row r="107" spans="1:3" x14ac:dyDescent="0.25">
      <c r="A107" t="s">
        <v>70</v>
      </c>
      <c r="B107">
        <f>B101/B91</f>
        <v>2.0000000000000004E-2</v>
      </c>
      <c r="C107" s="2" t="s">
        <v>76</v>
      </c>
    </row>
    <row r="109" spans="1:3" x14ac:dyDescent="0.25">
      <c r="A109" t="s">
        <v>71</v>
      </c>
    </row>
    <row r="110" spans="1:3" x14ac:dyDescent="0.25">
      <c r="A110" t="s">
        <v>74</v>
      </c>
    </row>
    <row r="111" spans="1:3" x14ac:dyDescent="0.25">
      <c r="A111" t="s">
        <v>75</v>
      </c>
      <c r="B111">
        <f>SQRT(B50^2-B42^2)</f>
        <v>0.83555555555555483</v>
      </c>
      <c r="C111" t="s">
        <v>9</v>
      </c>
    </row>
    <row r="112" spans="1:3" x14ac:dyDescent="0.25">
      <c r="A112" t="s">
        <v>77</v>
      </c>
    </row>
    <row r="113" spans="1:3" x14ac:dyDescent="0.25">
      <c r="A113" s="2" t="s">
        <v>78</v>
      </c>
      <c r="B113">
        <f>0.001*A5</f>
        <v>2.8000000000000001E-2</v>
      </c>
      <c r="C113" t="s">
        <v>7</v>
      </c>
    </row>
    <row r="114" spans="1:3" x14ac:dyDescent="0.25">
      <c r="A114" t="s">
        <v>72</v>
      </c>
    </row>
    <row r="115" spans="1:3" x14ac:dyDescent="0.25">
      <c r="A115" t="s">
        <v>73</v>
      </c>
      <c r="B115" s="1">
        <f>B111*(B88/B113)</f>
        <v>268.57142857142833</v>
      </c>
    </row>
    <row r="117" spans="1:3" x14ac:dyDescent="0.25">
      <c r="A117" s="3" t="s">
        <v>156</v>
      </c>
      <c r="B117" s="3"/>
    </row>
    <row r="118" spans="1:3" x14ac:dyDescent="0.25">
      <c r="A118" t="s">
        <v>92</v>
      </c>
    </row>
    <row r="119" spans="1:3" x14ac:dyDescent="0.25">
      <c r="A119" t="s">
        <v>96</v>
      </c>
    </row>
    <row r="120" spans="1:3" x14ac:dyDescent="0.25">
      <c r="A120" t="s">
        <v>93</v>
      </c>
      <c r="B120">
        <v>4</v>
      </c>
    </row>
    <row r="121" spans="1:3" x14ac:dyDescent="0.25">
      <c r="A121" t="s">
        <v>94</v>
      </c>
    </row>
    <row r="122" spans="1:3" x14ac:dyDescent="0.25">
      <c r="A122" t="s">
        <v>95</v>
      </c>
      <c r="B122">
        <v>0.05</v>
      </c>
    </row>
    <row r="123" spans="1:3" x14ac:dyDescent="0.25">
      <c r="A123" t="s">
        <v>100</v>
      </c>
    </row>
    <row r="124" spans="1:3" x14ac:dyDescent="0.25">
      <c r="A124" s="2" t="s">
        <v>101</v>
      </c>
      <c r="B124">
        <v>5.0000000000000001E-3</v>
      </c>
    </row>
    <row r="125" spans="1:3" x14ac:dyDescent="0.25">
      <c r="A125" s="2" t="s">
        <v>157</v>
      </c>
    </row>
    <row r="126" spans="1:3" x14ac:dyDescent="0.25">
      <c r="A126" s="2" t="s">
        <v>103</v>
      </c>
      <c r="B126">
        <f>173*(0.000001)</f>
        <v>1.73E-4</v>
      </c>
    </row>
    <row r="127" spans="1:3" x14ac:dyDescent="0.25">
      <c r="A127" s="2" t="s">
        <v>105</v>
      </c>
    </row>
    <row r="128" spans="1:3" x14ac:dyDescent="0.25">
      <c r="A128" s="2" t="s">
        <v>104</v>
      </c>
      <c r="B128">
        <f>PI()*15.2</f>
        <v>47.752208334564855</v>
      </c>
    </row>
    <row r="129" spans="1:3" x14ac:dyDescent="0.25">
      <c r="A129" s="2" t="s">
        <v>107</v>
      </c>
      <c r="B129">
        <v>0.2</v>
      </c>
    </row>
    <row r="130" spans="1:3" x14ac:dyDescent="0.25">
      <c r="A130" s="2"/>
    </row>
    <row r="131" spans="1:3" x14ac:dyDescent="0.25">
      <c r="A131" s="2"/>
    </row>
    <row r="133" spans="1:3" x14ac:dyDescent="0.25">
      <c r="A133" t="s">
        <v>87</v>
      </c>
    </row>
    <row r="134" spans="1:3" x14ac:dyDescent="0.25">
      <c r="A134" t="s">
        <v>88</v>
      </c>
    </row>
    <row r="135" spans="1:3" x14ac:dyDescent="0.25">
      <c r="A135" t="s">
        <v>89</v>
      </c>
      <c r="B135">
        <f>((1/A11)+1)*A7*A9</f>
        <v>62.999999999999986</v>
      </c>
      <c r="C135" t="s">
        <v>17</v>
      </c>
    </row>
    <row r="137" spans="1:3" x14ac:dyDescent="0.25">
      <c r="A137" t="s">
        <v>158</v>
      </c>
    </row>
    <row r="138" spans="1:3" x14ac:dyDescent="0.25">
      <c r="A138" t="s">
        <v>90</v>
      </c>
    </row>
    <row r="139" spans="1:3" x14ac:dyDescent="0.25">
      <c r="A139" t="s">
        <v>91</v>
      </c>
      <c r="B139">
        <f>0.145*(B120^2)*(A17^2)*(B122^2)*(0.0001)</f>
        <v>1450.0000000000005</v>
      </c>
    </row>
    <row r="141" spans="1:3" x14ac:dyDescent="0.25">
      <c r="A141" t="s">
        <v>97</v>
      </c>
    </row>
    <row r="142" spans="1:3" x14ac:dyDescent="0.25">
      <c r="A142" t="s">
        <v>98</v>
      </c>
    </row>
    <row r="143" spans="1:3" x14ac:dyDescent="0.25">
      <c r="A143" t="s">
        <v>99</v>
      </c>
      <c r="B143">
        <f>B135/(2*B139*B124)</f>
        <v>4.3448275862068941</v>
      </c>
    </row>
    <row r="145" spans="1:6" x14ac:dyDescent="0.25">
      <c r="A145" t="s">
        <v>102</v>
      </c>
    </row>
    <row r="146" spans="1:6" x14ac:dyDescent="0.25">
      <c r="A146" t="s">
        <v>109</v>
      </c>
    </row>
    <row r="147" spans="1:6" x14ac:dyDescent="0.25">
      <c r="A147" t="s">
        <v>106</v>
      </c>
      <c r="B147">
        <f>A3*B34*B25/(B129*B126)</f>
        <v>3.9017341040462425</v>
      </c>
    </row>
    <row r="149" spans="1:6" x14ac:dyDescent="0.25">
      <c r="A149" t="s">
        <v>108</v>
      </c>
    </row>
    <row r="150" spans="1:6" x14ac:dyDescent="0.25">
      <c r="A150" t="s">
        <v>110</v>
      </c>
    </row>
    <row r="151" spans="1:6" x14ac:dyDescent="0.25">
      <c r="A151" t="s">
        <v>111</v>
      </c>
      <c r="B151" s="1">
        <f>B62*B147</f>
        <v>2.6011560693641615</v>
      </c>
    </row>
    <row r="152" spans="1:6" x14ac:dyDescent="0.25">
      <c r="A152" t="s">
        <v>159</v>
      </c>
    </row>
    <row r="153" spans="1:6" x14ac:dyDescent="0.25">
      <c r="A153" t="s">
        <v>112</v>
      </c>
      <c r="B153" s="1">
        <f>B64*B147</f>
        <v>5.2023121387283231</v>
      </c>
    </row>
    <row r="155" spans="1:6" x14ac:dyDescent="0.25">
      <c r="A155" t="s">
        <v>115</v>
      </c>
    </row>
    <row r="156" spans="1:6" x14ac:dyDescent="0.25">
      <c r="A156" t="s">
        <v>116</v>
      </c>
    </row>
    <row r="157" spans="1:6" x14ac:dyDescent="0.25">
      <c r="A157" t="s">
        <v>117</v>
      </c>
      <c r="B157" s="1">
        <f>2*6.62/SQRT(A17)</f>
        <v>5.9211080044194432E-2</v>
      </c>
      <c r="C157" t="s">
        <v>119</v>
      </c>
    </row>
    <row r="158" spans="1:6" x14ac:dyDescent="0.25">
      <c r="B158" s="3" t="s">
        <v>120</v>
      </c>
      <c r="C158" s="3"/>
      <c r="D158" s="3"/>
      <c r="E158" s="3"/>
      <c r="F158" s="3"/>
    </row>
    <row r="160" spans="1:6" x14ac:dyDescent="0.25">
      <c r="A160" t="s">
        <v>121</v>
      </c>
    </row>
    <row r="161" spans="1:3" x14ac:dyDescent="0.25">
      <c r="A161" t="s">
        <v>122</v>
      </c>
    </row>
    <row r="162" spans="1:3" x14ac:dyDescent="0.25">
      <c r="A162" t="s">
        <v>123</v>
      </c>
      <c r="B162" s="1">
        <f>PI()*(B157^2)/4</f>
        <v>2.7535682617596106E-3</v>
      </c>
    </row>
    <row r="163" spans="1:3" x14ac:dyDescent="0.25">
      <c r="A163" t="s">
        <v>124</v>
      </c>
      <c r="B163">
        <f>PI()*(0.09^2)/4</f>
        <v>6.3617251235193305E-3</v>
      </c>
    </row>
    <row r="164" spans="1:3" x14ac:dyDescent="0.25">
      <c r="B164" s="3" t="s">
        <v>125</v>
      </c>
      <c r="C164" s="3"/>
    </row>
    <row r="165" spans="1:3" x14ac:dyDescent="0.25">
      <c r="A165" t="s">
        <v>128</v>
      </c>
    </row>
    <row r="166" spans="1:3" x14ac:dyDescent="0.25">
      <c r="A166" t="s">
        <v>126</v>
      </c>
      <c r="B166">
        <v>500</v>
      </c>
      <c r="C166" t="s">
        <v>127</v>
      </c>
    </row>
    <row r="168" spans="1:3" x14ac:dyDescent="0.25">
      <c r="A168" t="s">
        <v>137</v>
      </c>
    </row>
    <row r="169" spans="1:3" x14ac:dyDescent="0.25">
      <c r="A169" t="s">
        <v>131</v>
      </c>
      <c r="B169">
        <f>B42/B166</f>
        <v>5.0133333333333341E-3</v>
      </c>
    </row>
    <row r="170" spans="1:3" x14ac:dyDescent="0.25">
      <c r="A170" t="s">
        <v>129</v>
      </c>
    </row>
    <row r="171" spans="1:3" x14ac:dyDescent="0.25">
      <c r="A171" t="s">
        <v>130</v>
      </c>
      <c r="B171">
        <f>B169/B163</f>
        <v>0.78804620381962354</v>
      </c>
    </row>
    <row r="173" spans="1:3" x14ac:dyDescent="0.25">
      <c r="A173" t="s">
        <v>136</v>
      </c>
    </row>
    <row r="174" spans="1:3" x14ac:dyDescent="0.25">
      <c r="A174" t="s">
        <v>134</v>
      </c>
    </row>
    <row r="175" spans="1:3" x14ac:dyDescent="0.25">
      <c r="A175" t="s">
        <v>132</v>
      </c>
      <c r="B175">
        <f>A9/B166</f>
        <v>6.0000000000000001E-3</v>
      </c>
    </row>
    <row r="177" spans="1:2" x14ac:dyDescent="0.25">
      <c r="A177" t="s">
        <v>135</v>
      </c>
    </row>
    <row r="178" spans="1:2" x14ac:dyDescent="0.25">
      <c r="A178" t="s">
        <v>133</v>
      </c>
      <c r="B178">
        <f>B175/B166</f>
        <v>1.2E-5</v>
      </c>
    </row>
    <row r="180" spans="1:2" x14ac:dyDescent="0.25">
      <c r="A180" t="s">
        <v>139</v>
      </c>
    </row>
    <row r="181" spans="1:2" x14ac:dyDescent="0.25">
      <c r="A181" t="s">
        <v>138</v>
      </c>
    </row>
    <row r="182" spans="1:2" x14ac:dyDescent="0.25">
      <c r="A182" s="1">
        <v>1.6779999999999999E-8</v>
      </c>
    </row>
    <row r="183" spans="1:2" x14ac:dyDescent="0.25">
      <c r="A183" t="s">
        <v>160</v>
      </c>
    </row>
    <row r="184" spans="1:2" x14ac:dyDescent="0.25">
      <c r="A184">
        <f>A182*(0.01)/(PI()*(0.08*(0.01)/2)^2)</f>
        <v>3.3382749313525044E-4</v>
      </c>
    </row>
    <row r="185" spans="1:2" x14ac:dyDescent="0.25">
      <c r="A185" t="s">
        <v>140</v>
      </c>
    </row>
    <row r="186" spans="1:2" x14ac:dyDescent="0.25">
      <c r="A186" t="s">
        <v>141</v>
      </c>
      <c r="B186">
        <f>A184/B171</f>
        <v>4.2361411236702112E-4</v>
      </c>
    </row>
    <row r="188" spans="1:2" x14ac:dyDescent="0.25">
      <c r="A188" t="s">
        <v>142</v>
      </c>
    </row>
    <row r="189" spans="1:2" x14ac:dyDescent="0.25">
      <c r="A189" t="s">
        <v>143</v>
      </c>
    </row>
    <row r="190" spans="1:2" x14ac:dyDescent="0.25">
      <c r="A190" t="s">
        <v>144</v>
      </c>
      <c r="B190">
        <f>B147*B128*B186</f>
        <v>7.892626479403432E-2</v>
      </c>
    </row>
    <row r="192" spans="1:2" x14ac:dyDescent="0.25">
      <c r="A192" t="s">
        <v>145</v>
      </c>
    </row>
    <row r="193" spans="1:2" x14ac:dyDescent="0.25">
      <c r="A193" t="s">
        <v>146</v>
      </c>
    </row>
    <row r="194" spans="1:2" x14ac:dyDescent="0.25">
      <c r="A194" t="s">
        <v>147</v>
      </c>
      <c r="B194">
        <f>A184/B178</f>
        <v>27.81895776127087</v>
      </c>
    </row>
    <row r="196" spans="1:2" x14ac:dyDescent="0.25">
      <c r="A196" t="s">
        <v>148</v>
      </c>
    </row>
    <row r="197" spans="1:2" x14ac:dyDescent="0.25">
      <c r="A197" t="s">
        <v>149</v>
      </c>
    </row>
    <row r="198" spans="1:2" x14ac:dyDescent="0.25">
      <c r="A198" t="s">
        <v>150</v>
      </c>
      <c r="B198" s="1">
        <f>B151*B128*B194</f>
        <v>3455.4190751445076</v>
      </c>
    </row>
    <row r="200" spans="1:2" x14ac:dyDescent="0.25">
      <c r="A200" t="s">
        <v>151</v>
      </c>
    </row>
    <row r="201" spans="1:2" x14ac:dyDescent="0.25">
      <c r="A201" t="s">
        <v>152</v>
      </c>
    </row>
    <row r="202" spans="1:2" x14ac:dyDescent="0.25">
      <c r="A202" t="s">
        <v>153</v>
      </c>
      <c r="B202" s="1">
        <f>B190*(B42^2)+B198*(B42^2)</f>
        <v>21712.199353210734</v>
      </c>
    </row>
    <row r="203" spans="1:2" x14ac:dyDescent="0.25">
      <c r="A203" t="s">
        <v>154</v>
      </c>
    </row>
    <row r="204" spans="1:2" x14ac:dyDescent="0.25">
      <c r="A204" s="1">
        <f>100*B202/D7</f>
        <v>76993.614727697641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2014-09-14T07:36:41Z</dcterms:modified>
</cp:coreProperties>
</file>