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7005" windowHeight="15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271" i="1" l="1"/>
  <c r="C279" i="1" s="1"/>
  <c r="B262" i="1" l="1"/>
  <c r="B238" i="1"/>
  <c r="B254" i="1" l="1"/>
  <c r="A244" i="1"/>
  <c r="B235" i="1"/>
  <c r="B223" i="1"/>
  <c r="B217" i="1"/>
  <c r="B222" i="1" s="1"/>
  <c r="B188" i="1"/>
  <c r="B186" i="1"/>
  <c r="B199" i="1" l="1"/>
  <c r="B195" i="1"/>
  <c r="C169" i="1"/>
  <c r="C145" i="1"/>
  <c r="C128" i="1"/>
  <c r="C139" i="1" s="1"/>
  <c r="C76" i="1"/>
  <c r="C27" i="1"/>
  <c r="C28" i="1" s="1"/>
  <c r="C34" i="1" s="1"/>
  <c r="D5" i="1"/>
  <c r="D7" i="1" s="1"/>
  <c r="D3" i="1"/>
  <c r="B203" i="1" l="1"/>
  <c r="C46" i="1"/>
  <c r="C52" i="1" s="1"/>
  <c r="B229" i="1" s="1"/>
  <c r="B231" i="1" s="1"/>
  <c r="B246" i="1" s="1"/>
  <c r="C104" i="1"/>
  <c r="C122" i="1"/>
  <c r="C123" i="1" s="1"/>
  <c r="C40" i="1"/>
  <c r="C151" i="1"/>
  <c r="C157" i="1"/>
  <c r="C82" i="1" l="1"/>
  <c r="C116" i="1" s="1"/>
  <c r="C86" i="1"/>
  <c r="B207" i="1"/>
  <c r="B250" i="1" s="1"/>
  <c r="C110" i="1"/>
  <c r="C58" i="1"/>
  <c r="C92" i="1" l="1"/>
  <c r="B213" i="1"/>
  <c r="B211" i="1"/>
  <c r="B258" i="1" s="1"/>
  <c r="B266" i="1" s="1"/>
  <c r="C133" i="1"/>
  <c r="C98" i="1"/>
  <c r="C70" i="1"/>
  <c r="C64" i="1"/>
  <c r="C163" i="1" s="1"/>
  <c r="C175" i="1" s="1"/>
</calcChain>
</file>

<file path=xl/sharedStrings.xml><?xml version="1.0" encoding="utf-8"?>
<sst xmlns="http://schemas.openxmlformats.org/spreadsheetml/2006/main" count="342" uniqueCount="236">
  <si>
    <t>Given specifications</t>
  </si>
  <si>
    <t>Minimum input voltage</t>
  </si>
  <si>
    <t>Rated output voltage</t>
  </si>
  <si>
    <t>Rated output current</t>
  </si>
  <si>
    <t>Maximum input voltage</t>
  </si>
  <si>
    <t>Conversion efficiency</t>
  </si>
  <si>
    <t>Calculated specifications</t>
  </si>
  <si>
    <t>V</t>
  </si>
  <si>
    <t>s</t>
  </si>
  <si>
    <t>A</t>
  </si>
  <si>
    <t>Auxiliary output voltage</t>
  </si>
  <si>
    <t>Hz</t>
  </si>
  <si>
    <t>Average input voltage</t>
  </si>
  <si>
    <t>Auxiliary output power</t>
  </si>
  <si>
    <t>Output power</t>
  </si>
  <si>
    <t>Auxiliary output current</t>
  </si>
  <si>
    <t>Operating frequency</t>
  </si>
  <si>
    <t>W</t>
  </si>
  <si>
    <t>Switching period</t>
  </si>
  <si>
    <t>Equation 2</t>
  </si>
  <si>
    <t>T</t>
  </si>
  <si>
    <t>us</t>
  </si>
  <si>
    <t>Equation 3</t>
  </si>
  <si>
    <t>t*on</t>
  </si>
  <si>
    <t>Equation 4</t>
  </si>
  <si>
    <t>Maximum duty cycle</t>
  </si>
  <si>
    <t>Dmax</t>
  </si>
  <si>
    <t>Equation 5</t>
  </si>
  <si>
    <t>Input power</t>
  </si>
  <si>
    <t>Pin</t>
  </si>
  <si>
    <t>Equation 6</t>
  </si>
  <si>
    <t>Maximum average input current</t>
  </si>
  <si>
    <t>Iin</t>
  </si>
  <si>
    <t>Equation 7</t>
  </si>
  <si>
    <t>Ipft</t>
  </si>
  <si>
    <t>Equation 8</t>
  </si>
  <si>
    <t>Maximum input RMS current</t>
  </si>
  <si>
    <t>Iin_RMS</t>
  </si>
  <si>
    <t>Equation 9</t>
  </si>
  <si>
    <t>Maximum MOSFET RMS current</t>
  </si>
  <si>
    <t>Imos_RMS</t>
  </si>
  <si>
    <t>Equation 10</t>
  </si>
  <si>
    <t>Minimum MOSFET breakdown voltage</t>
  </si>
  <si>
    <t>Vbrk_Mos</t>
  </si>
  <si>
    <t>Equation 11</t>
  </si>
  <si>
    <t>Transformer turns ratio</t>
  </si>
  <si>
    <t>N</t>
  </si>
  <si>
    <t>Equation 12</t>
  </si>
  <si>
    <t>Minimum duty cycle</t>
  </si>
  <si>
    <t>Dmin</t>
  </si>
  <si>
    <t>Equation 13</t>
  </si>
  <si>
    <t>Equation 14</t>
  </si>
  <si>
    <t>Iout</t>
  </si>
  <si>
    <t>Secondary maximum RMS current</t>
  </si>
  <si>
    <t>Isec_RMS</t>
  </si>
  <si>
    <t>Rectifier diode voltage</t>
  </si>
  <si>
    <t>Vdiode</t>
  </si>
  <si>
    <t>Equation 17</t>
  </si>
  <si>
    <t>Output filter inductor value</t>
  </si>
  <si>
    <t>Lmin</t>
  </si>
  <si>
    <t>Realistic maximum on time</t>
  </si>
  <si>
    <t>Output current ripple</t>
  </si>
  <si>
    <t>Minimum output current</t>
  </si>
  <si>
    <t>Iout_min</t>
  </si>
  <si>
    <t>Output voltage ripple</t>
  </si>
  <si>
    <t>ΔV_out</t>
  </si>
  <si>
    <t>ΔI_out</t>
  </si>
  <si>
    <t>C</t>
  </si>
  <si>
    <t>Equation 23</t>
  </si>
  <si>
    <t>ESR</t>
  </si>
  <si>
    <t>Equation 24</t>
  </si>
  <si>
    <t>Input capacitor</t>
  </si>
  <si>
    <t>Cin</t>
  </si>
  <si>
    <t>RMS capacitor current value</t>
  </si>
  <si>
    <t>Ic_rms</t>
  </si>
  <si>
    <t>Ω</t>
  </si>
  <si>
    <t>Input voltage ripple</t>
  </si>
  <si>
    <t>ΔV_in</t>
  </si>
  <si>
    <t>Equation 19</t>
  </si>
  <si>
    <t xml:space="preserve">Maximum equivalent series resistance </t>
  </si>
  <si>
    <t>Theoretical maximum on time</t>
  </si>
  <si>
    <t>Maximum equivalent flat topped input current</t>
  </si>
  <si>
    <t>Duty cycle at nominal input voltage</t>
  </si>
  <si>
    <t>Maximum average output current</t>
  </si>
  <si>
    <t>Equation 15</t>
  </si>
  <si>
    <t>Equation 16</t>
  </si>
  <si>
    <t>Equation 28</t>
  </si>
  <si>
    <t>Transformer apparent power</t>
  </si>
  <si>
    <t>Pt</t>
  </si>
  <si>
    <t>Electrical condition parameter</t>
  </si>
  <si>
    <t>Ke</t>
  </si>
  <si>
    <t>Specification</t>
  </si>
  <si>
    <t>Kf</t>
  </si>
  <si>
    <t>Maximum operating flux density</t>
  </si>
  <si>
    <t>Bm</t>
  </si>
  <si>
    <t>waveform coefficient for square waves</t>
  </si>
  <si>
    <t>Equation 31</t>
  </si>
  <si>
    <t>Core geometry parameter</t>
  </si>
  <si>
    <t>Kg</t>
  </si>
  <si>
    <t>Regulation</t>
  </si>
  <si>
    <t>α</t>
  </si>
  <si>
    <t>Equation 33</t>
  </si>
  <si>
    <t>ac</t>
  </si>
  <si>
    <t>MLT</t>
  </si>
  <si>
    <t>Mean length per turn</t>
  </si>
  <si>
    <t>N1</t>
  </si>
  <si>
    <t>ΔB</t>
  </si>
  <si>
    <t>Equation 35</t>
  </si>
  <si>
    <t>Number of primary turns</t>
  </si>
  <si>
    <t>Number of the secondary turns</t>
  </si>
  <si>
    <t>N2</t>
  </si>
  <si>
    <t>N2_aux</t>
  </si>
  <si>
    <t>Auxiliary turns ratio</t>
  </si>
  <si>
    <t>N_aux</t>
  </si>
  <si>
    <t>Equation 36</t>
  </si>
  <si>
    <t>Wire diameter</t>
  </si>
  <si>
    <t>d</t>
  </si>
  <si>
    <t>Note: 18 is chosen because of power loss</t>
  </si>
  <si>
    <t>cm</t>
  </si>
  <si>
    <t>Equation 38</t>
  </si>
  <si>
    <t>Conductor section</t>
  </si>
  <si>
    <t>Aw</t>
  </si>
  <si>
    <t>AW009</t>
  </si>
  <si>
    <t>Chosen wire</t>
  </si>
  <si>
    <t>J</t>
  </si>
  <si>
    <t>A/cm2</t>
  </si>
  <si>
    <t>Current density</t>
  </si>
  <si>
    <t>Number of primary wires</t>
  </si>
  <si>
    <t>Snp</t>
  </si>
  <si>
    <t>Awp</t>
  </si>
  <si>
    <t>Aws</t>
  </si>
  <si>
    <t>Sns</t>
  </si>
  <si>
    <t>Secondary winding</t>
  </si>
  <si>
    <t>Equation 44</t>
  </si>
  <si>
    <t>Equation 43</t>
  </si>
  <si>
    <t>Equation 40</t>
  </si>
  <si>
    <t>Copper resistivity per meter</t>
  </si>
  <si>
    <t>Equation 41</t>
  </si>
  <si>
    <t>Primary resistance</t>
  </si>
  <si>
    <t>rp</t>
  </si>
  <si>
    <t>Equation 42</t>
  </si>
  <si>
    <t>Resistance of primary winding</t>
  </si>
  <si>
    <t>Rp</t>
  </si>
  <si>
    <t>Equation 45</t>
  </si>
  <si>
    <t>Secondary resistance</t>
  </si>
  <si>
    <t>rs</t>
  </si>
  <si>
    <t>Equation 46</t>
  </si>
  <si>
    <t>Resistance of secondary winding</t>
  </si>
  <si>
    <t>Rs</t>
  </si>
  <si>
    <t>Equation 47</t>
  </si>
  <si>
    <t>Total copper losses</t>
  </si>
  <si>
    <t>Pcu</t>
  </si>
  <si>
    <t>Lost ratio</t>
  </si>
  <si>
    <t>Output filter capacitor value</t>
  </si>
  <si>
    <t>Transformer Design</t>
  </si>
  <si>
    <t>Core cross section area</t>
  </si>
  <si>
    <t>Equation 29</t>
  </si>
  <si>
    <t>Number of the auxiliary secondary turns</t>
  </si>
  <si>
    <t>Wire resistance</t>
  </si>
  <si>
    <t>=</t>
  </si>
  <si>
    <t>0.5 * period</t>
  </si>
  <si>
    <t>Pin/Vin_min</t>
  </si>
  <si>
    <t>Iin/(2*Dmax)</t>
  </si>
  <si>
    <t>Maximum equivalent flat topped input current * sqrt(2*maximum duty cycle)</t>
  </si>
  <si>
    <t>Ipft*sqrt(2*Dmax)</t>
  </si>
  <si>
    <t>Maximum equivalent flat topped input current * sqrt(maximum duty cycle)</t>
  </si>
  <si>
    <t>Ipft*sqrt(Dmax)</t>
  </si>
  <si>
    <t>1.3*2*maximum input voltage</t>
  </si>
  <si>
    <t>1.3*2*Vin_max</t>
  </si>
  <si>
    <t>wire available with diameter of 0.09cm is chosen</t>
  </si>
  <si>
    <t>Dmin_n</t>
  </si>
  <si>
    <t>output power / output voltage</t>
  </si>
  <si>
    <t>Pout/Vout</t>
  </si>
  <si>
    <t>output current * sqrt(maximum duty cycle)</t>
  </si>
  <si>
    <t>output voltage / (2*transformer turns tario*average input voltage)</t>
  </si>
  <si>
    <t>Vout / (2*N*Vin)</t>
  </si>
  <si>
    <t>Vout / (2*N*Vin_max)</t>
  </si>
  <si>
    <t>output voltage / (2*transformer turns ratio*maximum input voltage)</t>
  </si>
  <si>
    <t>18 / (2*Vin_min*Dmax)</t>
  </si>
  <si>
    <t>power loss factor / (2*minimum input voltage*maximum duty cycle)</t>
  </si>
  <si>
    <t>Vout / (2*Vin_min*Dmax)</t>
  </si>
  <si>
    <t>output voltage / (2*minimum input voltage*maximum duty cycle)</t>
  </si>
  <si>
    <t>maximum average input current / (2*maximum duty cycle)</t>
  </si>
  <si>
    <t>input power / minimum input voltage</t>
  </si>
  <si>
    <t>output power / efficency</t>
  </si>
  <si>
    <r>
      <t xml:space="preserve">Pout / </t>
    </r>
    <r>
      <rPr>
        <sz val="11"/>
        <color theme="1"/>
        <rFont val="Calibri"/>
        <family val="2"/>
      </rPr>
      <t>η</t>
    </r>
  </si>
  <si>
    <t>0.9 * theoretical maximum on time) / period</t>
  </si>
  <si>
    <t>0.9 * (t*on) /  T</t>
  </si>
  <si>
    <t>1 / Operating frequency</t>
  </si>
  <si>
    <t>1 / f</t>
  </si>
  <si>
    <t>0.5 * T</t>
  </si>
  <si>
    <t>Iout * sqrt(Dmax)</t>
  </si>
  <si>
    <t>transformer turns ratio * maximum input voltage</t>
  </si>
  <si>
    <t>N * Vin_max</t>
  </si>
  <si>
    <t>ton_max</t>
  </si>
  <si>
    <t>0.9 * theoretical maximum on time</t>
  </si>
  <si>
    <t>0.9 * ton</t>
  </si>
  <si>
    <t>0.15 * output current</t>
  </si>
  <si>
    <t>0.15 * Iout</t>
  </si>
  <si>
    <t>(transformer turns ratio*input voltage - output voltage) * (realistic maximum on time/output current ripple)</t>
  </si>
  <si>
    <t>(N*Vin - Vout) * (ton_max/ΔI_out)</t>
  </si>
  <si>
    <t>Equation 48</t>
  </si>
  <si>
    <t>output current ripple / 2</t>
  </si>
  <si>
    <t>ΔI_out / 2</t>
  </si>
  <si>
    <t>0.1% * output voltage</t>
  </si>
  <si>
    <t>0.1% * Vout</t>
  </si>
  <si>
    <t>(1/8) * (output current ripple / output voltage ripple) * period</t>
  </si>
  <si>
    <t>(1/8)*(ΔI_out/ΔV_out)*T</t>
  </si>
  <si>
    <t>Equation 21</t>
  </si>
  <si>
    <t>Equation 22</t>
  </si>
  <si>
    <t>output voltage ripple / output current ripple</t>
  </si>
  <si>
    <t>ΔV_out / ΔI_out</t>
  </si>
  <si>
    <t>Equation 25</t>
  </si>
  <si>
    <t>sqrt(maximum input RMS current^2 - input current^2)</t>
  </si>
  <si>
    <t>sqrt(Iin_rms^2 - Iin^2)</t>
  </si>
  <si>
    <t>Equation 26</t>
  </si>
  <si>
    <t>0.1% * maximum input voltage</t>
  </si>
  <si>
    <t>0.1% * Vin_max</t>
  </si>
  <si>
    <t>RMS capacitor current * (realistic maximum on time / input voltage ripple)</t>
  </si>
  <si>
    <t>Ic_rms * (ton_max/ΔI_in)</t>
  </si>
  <si>
    <t>Equation 49</t>
    <phoneticPr fontId="0" type="noConversion"/>
  </si>
  <si>
    <t xml:space="preserve">Ve </t>
    <phoneticPr fontId="0" type="noConversion"/>
  </si>
  <si>
    <t>m3</t>
    <phoneticPr fontId="0" type="noConversion"/>
  </si>
  <si>
    <t>(From datasheet)</t>
    <phoneticPr fontId="0" type="noConversion"/>
  </si>
  <si>
    <t>Core loss</t>
    <phoneticPr fontId="0" type="noConversion"/>
  </si>
  <si>
    <t>Pv</t>
    <phoneticPr fontId="0" type="noConversion"/>
  </si>
  <si>
    <t>W</t>
    <phoneticPr fontId="0" type="noConversion"/>
  </si>
  <si>
    <t>Equation 51</t>
    <phoneticPr fontId="0" type="noConversion"/>
  </si>
  <si>
    <t>Rth</t>
    <phoneticPr fontId="0" type="noConversion"/>
  </si>
  <si>
    <t>K/W</t>
    <phoneticPr fontId="0" type="noConversion"/>
  </si>
  <si>
    <t>Equation 50</t>
    <phoneticPr fontId="0" type="noConversion"/>
  </si>
  <si>
    <t>Transformer temperature rise</t>
    <phoneticPr fontId="0" type="noConversion"/>
  </si>
  <si>
    <t>Tr</t>
    <phoneticPr fontId="0" type="noConversion"/>
  </si>
  <si>
    <t>=</t>
    <phoneticPr fontId="0" type="noConversion"/>
  </si>
  <si>
    <t>Rth x (Pcu + Pv)</t>
    <phoneticPr fontId="0" type="noConversion"/>
  </si>
  <si>
    <t>°C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</si>
</sst>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[Red]\(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quotePrefix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1" fontId="0" fillId="0" borderId="0" xfId="0" quotePrefix="1" applyNumberFormat="1"/>
    <xf numFmtId="0" fontId="1" fillId="0" borderId="0" xfId="0" applyFon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9"/>
  <sheetViews>
    <sheetView tabSelected="1" topLeftCell="A259" workbookViewId="0">
      <selection activeCell="C270" sqref="C270"/>
    </sheetView>
  </sheetViews>
  <sheetFormatPr defaultRowHeight="15" x14ac:dyDescent="0.25"/>
  <cols>
    <col min="1" max="1" width="10.140625" customWidth="1"/>
  </cols>
  <sheetData>
    <row r="1" spans="1:5" x14ac:dyDescent="0.25">
      <c r="A1" t="s">
        <v>0</v>
      </c>
      <c r="D1" t="s">
        <v>6</v>
      </c>
    </row>
    <row r="2" spans="1:5" x14ac:dyDescent="0.25">
      <c r="A2" t="s">
        <v>1</v>
      </c>
      <c r="D2" t="s">
        <v>12</v>
      </c>
    </row>
    <row r="3" spans="1:5" x14ac:dyDescent="0.25">
      <c r="A3">
        <v>15</v>
      </c>
      <c r="B3" t="s">
        <v>7</v>
      </c>
      <c r="D3">
        <f>AVERAGE(A3,A5)</f>
        <v>21.5</v>
      </c>
      <c r="E3" t="s">
        <v>7</v>
      </c>
    </row>
    <row r="4" spans="1:5" x14ac:dyDescent="0.25">
      <c r="A4" t="s">
        <v>4</v>
      </c>
      <c r="D4" t="s">
        <v>13</v>
      </c>
    </row>
    <row r="5" spans="1:5" x14ac:dyDescent="0.25">
      <c r="A5">
        <v>28</v>
      </c>
      <c r="B5" t="s">
        <v>7</v>
      </c>
      <c r="D5">
        <f>ABS(A13)*A15</f>
        <v>1.2000000000000002</v>
      </c>
      <c r="E5" t="s">
        <v>17</v>
      </c>
    </row>
    <row r="6" spans="1:5" x14ac:dyDescent="0.25">
      <c r="A6" t="s">
        <v>2</v>
      </c>
      <c r="D6" t="s">
        <v>14</v>
      </c>
    </row>
    <row r="7" spans="1:5" x14ac:dyDescent="0.25">
      <c r="A7">
        <v>9</v>
      </c>
      <c r="B7" t="s">
        <v>7</v>
      </c>
      <c r="D7">
        <f>A7*A9+D5</f>
        <v>28.2</v>
      </c>
      <c r="E7" t="s">
        <v>17</v>
      </c>
    </row>
    <row r="8" spans="1:5" x14ac:dyDescent="0.25">
      <c r="A8" t="s">
        <v>3</v>
      </c>
    </row>
    <row r="9" spans="1:5" x14ac:dyDescent="0.25">
      <c r="A9">
        <v>3</v>
      </c>
      <c r="B9" t="s">
        <v>9</v>
      </c>
      <c r="D9" s="1"/>
    </row>
    <row r="10" spans="1:5" x14ac:dyDescent="0.25">
      <c r="A10" t="s">
        <v>5</v>
      </c>
    </row>
    <row r="11" spans="1:5" x14ac:dyDescent="0.25">
      <c r="A11">
        <v>0.75</v>
      </c>
    </row>
    <row r="12" spans="1:5" x14ac:dyDescent="0.25">
      <c r="A12" t="s">
        <v>10</v>
      </c>
    </row>
    <row r="13" spans="1:5" x14ac:dyDescent="0.25">
      <c r="A13">
        <v>-12</v>
      </c>
      <c r="B13" t="s">
        <v>7</v>
      </c>
    </row>
    <row r="14" spans="1:5" x14ac:dyDescent="0.25">
      <c r="A14" t="s">
        <v>15</v>
      </c>
    </row>
    <row r="15" spans="1:5" x14ac:dyDescent="0.25">
      <c r="A15">
        <v>0.1</v>
      </c>
      <c r="B15" t="s">
        <v>9</v>
      </c>
    </row>
    <row r="16" spans="1:5" x14ac:dyDescent="0.25">
      <c r="A16" t="s">
        <v>16</v>
      </c>
    </row>
    <row r="17" spans="1:4" x14ac:dyDescent="0.25">
      <c r="A17" s="1">
        <v>50000</v>
      </c>
      <c r="B17" t="s">
        <v>11</v>
      </c>
    </row>
    <row r="23" spans="1:4" x14ac:dyDescent="0.25">
      <c r="A23" t="s">
        <v>19</v>
      </c>
    </row>
    <row r="24" spans="1:4" x14ac:dyDescent="0.25">
      <c r="A24" t="s">
        <v>18</v>
      </c>
    </row>
    <row r="25" spans="1:4" x14ac:dyDescent="0.25">
      <c r="A25" t="s">
        <v>20</v>
      </c>
      <c r="B25" s="4" t="s">
        <v>159</v>
      </c>
      <c r="C25" s="5" t="s">
        <v>188</v>
      </c>
    </row>
    <row r="26" spans="1:4" x14ac:dyDescent="0.25">
      <c r="B26" s="4" t="s">
        <v>159</v>
      </c>
      <c r="C26" s="5" t="s">
        <v>189</v>
      </c>
    </row>
    <row r="27" spans="1:4" x14ac:dyDescent="0.25">
      <c r="B27" s="4" t="s">
        <v>159</v>
      </c>
      <c r="C27" s="6">
        <f>1/A17</f>
        <v>2.0000000000000002E-5</v>
      </c>
      <c r="D27" t="s">
        <v>8</v>
      </c>
    </row>
    <row r="28" spans="1:4" x14ac:dyDescent="0.25">
      <c r="B28" s="4" t="s">
        <v>159</v>
      </c>
      <c r="C28" s="6">
        <f>C27*1000000</f>
        <v>20</v>
      </c>
      <c r="D28" t="s">
        <v>21</v>
      </c>
    </row>
    <row r="29" spans="1:4" x14ac:dyDescent="0.25">
      <c r="B29" s="1"/>
    </row>
    <row r="30" spans="1:4" x14ac:dyDescent="0.25">
      <c r="A30" t="s">
        <v>22</v>
      </c>
    </row>
    <row r="31" spans="1:4" x14ac:dyDescent="0.25">
      <c r="A31" t="s">
        <v>80</v>
      </c>
    </row>
    <row r="32" spans="1:4" x14ac:dyDescent="0.25">
      <c r="A32" t="s">
        <v>23</v>
      </c>
      <c r="B32" s="4" t="s">
        <v>159</v>
      </c>
      <c r="C32" s="5" t="s">
        <v>160</v>
      </c>
    </row>
    <row r="33" spans="1:4" x14ac:dyDescent="0.25">
      <c r="B33" s="4" t="s">
        <v>159</v>
      </c>
      <c r="C33" t="s">
        <v>190</v>
      </c>
    </row>
    <row r="34" spans="1:4" x14ac:dyDescent="0.25">
      <c r="B34" s="4" t="s">
        <v>159</v>
      </c>
      <c r="C34" s="6">
        <f>0.5*C28</f>
        <v>10</v>
      </c>
      <c r="D34" t="s">
        <v>21</v>
      </c>
    </row>
    <row r="35" spans="1:4" x14ac:dyDescent="0.25">
      <c r="B35" s="1"/>
    </row>
    <row r="36" spans="1:4" x14ac:dyDescent="0.25">
      <c r="A36" t="s">
        <v>24</v>
      </c>
    </row>
    <row r="37" spans="1:4" x14ac:dyDescent="0.25">
      <c r="A37" t="s">
        <v>25</v>
      </c>
    </row>
    <row r="38" spans="1:4" x14ac:dyDescent="0.25">
      <c r="A38" t="s">
        <v>26</v>
      </c>
      <c r="B38" s="4" t="s">
        <v>159</v>
      </c>
      <c r="C38" s="5" t="s">
        <v>186</v>
      </c>
    </row>
    <row r="39" spans="1:4" x14ac:dyDescent="0.25">
      <c r="B39" s="4" t="s">
        <v>159</v>
      </c>
      <c r="C39" s="5" t="s">
        <v>187</v>
      </c>
    </row>
    <row r="40" spans="1:4" x14ac:dyDescent="0.25">
      <c r="B40" s="4" t="s">
        <v>159</v>
      </c>
      <c r="C40" s="6">
        <f>0.9*C34/C28</f>
        <v>0.45</v>
      </c>
    </row>
    <row r="41" spans="1:4" x14ac:dyDescent="0.25">
      <c r="B41" s="4"/>
      <c r="C41" s="6"/>
    </row>
    <row r="42" spans="1:4" x14ac:dyDescent="0.25">
      <c r="A42" t="s">
        <v>27</v>
      </c>
      <c r="C42" s="5"/>
    </row>
    <row r="43" spans="1:4" x14ac:dyDescent="0.25">
      <c r="A43" t="s">
        <v>28</v>
      </c>
      <c r="C43" s="5"/>
    </row>
    <row r="44" spans="1:4" x14ac:dyDescent="0.25">
      <c r="A44" t="s">
        <v>29</v>
      </c>
      <c r="B44" s="4" t="s">
        <v>159</v>
      </c>
      <c r="C44" s="5" t="s">
        <v>184</v>
      </c>
    </row>
    <row r="45" spans="1:4" x14ac:dyDescent="0.25">
      <c r="B45" s="4" t="s">
        <v>159</v>
      </c>
      <c r="C45" s="5" t="s">
        <v>185</v>
      </c>
    </row>
    <row r="46" spans="1:4" x14ac:dyDescent="0.25">
      <c r="B46" s="4" t="s">
        <v>159</v>
      </c>
      <c r="C46" s="5">
        <f>D7/A11</f>
        <v>37.6</v>
      </c>
      <c r="D46" s="5" t="s">
        <v>17</v>
      </c>
    </row>
    <row r="47" spans="1:4" x14ac:dyDescent="0.25">
      <c r="C47" s="5"/>
    </row>
    <row r="48" spans="1:4" x14ac:dyDescent="0.25">
      <c r="A48" t="s">
        <v>30</v>
      </c>
      <c r="C48" s="5"/>
    </row>
    <row r="49" spans="1:4" x14ac:dyDescent="0.25">
      <c r="A49" t="s">
        <v>31</v>
      </c>
      <c r="C49" s="5"/>
    </row>
    <row r="50" spans="1:4" x14ac:dyDescent="0.25">
      <c r="A50" t="s">
        <v>32</v>
      </c>
      <c r="B50" s="4" t="s">
        <v>159</v>
      </c>
      <c r="C50" s="5" t="s">
        <v>183</v>
      </c>
    </row>
    <row r="51" spans="1:4" x14ac:dyDescent="0.25">
      <c r="B51" s="4" t="s">
        <v>159</v>
      </c>
      <c r="C51" s="5" t="s">
        <v>161</v>
      </c>
    </row>
    <row r="52" spans="1:4" x14ac:dyDescent="0.25">
      <c r="B52" s="4" t="s">
        <v>159</v>
      </c>
      <c r="C52" s="5">
        <f>C46/A3</f>
        <v>2.5066666666666668</v>
      </c>
      <c r="D52" t="s">
        <v>9</v>
      </c>
    </row>
    <row r="53" spans="1:4" x14ac:dyDescent="0.25">
      <c r="C53" s="5"/>
    </row>
    <row r="54" spans="1:4" x14ac:dyDescent="0.25">
      <c r="A54" t="s">
        <v>33</v>
      </c>
      <c r="C54" s="5"/>
    </row>
    <row r="55" spans="1:4" x14ac:dyDescent="0.25">
      <c r="A55" t="s">
        <v>81</v>
      </c>
      <c r="C55" s="5"/>
    </row>
    <row r="56" spans="1:4" x14ac:dyDescent="0.25">
      <c r="A56" t="s">
        <v>34</v>
      </c>
      <c r="B56" s="7" t="s">
        <v>159</v>
      </c>
      <c r="C56" s="5" t="s">
        <v>182</v>
      </c>
    </row>
    <row r="57" spans="1:4" x14ac:dyDescent="0.25">
      <c r="B57" s="7" t="s">
        <v>159</v>
      </c>
      <c r="C57" s="5" t="s">
        <v>162</v>
      </c>
    </row>
    <row r="58" spans="1:4" x14ac:dyDescent="0.25">
      <c r="B58" s="7" t="s">
        <v>159</v>
      </c>
      <c r="C58" s="6">
        <f>C52/(2*C40)</f>
        <v>2.7851851851851852</v>
      </c>
      <c r="D58" t="s">
        <v>9</v>
      </c>
    </row>
    <row r="59" spans="1:4" x14ac:dyDescent="0.25">
      <c r="C59" s="5"/>
    </row>
    <row r="60" spans="1:4" x14ac:dyDescent="0.25">
      <c r="A60" t="s">
        <v>35</v>
      </c>
      <c r="C60" s="5"/>
    </row>
    <row r="61" spans="1:4" x14ac:dyDescent="0.25">
      <c r="A61" t="s">
        <v>36</v>
      </c>
      <c r="C61" s="5"/>
    </row>
    <row r="62" spans="1:4" x14ac:dyDescent="0.25">
      <c r="A62" t="s">
        <v>37</v>
      </c>
      <c r="B62" s="7" t="s">
        <v>159</v>
      </c>
      <c r="C62" s="5" t="s">
        <v>163</v>
      </c>
    </row>
    <row r="63" spans="1:4" x14ac:dyDescent="0.25">
      <c r="B63" s="7" t="s">
        <v>159</v>
      </c>
      <c r="C63" s="5" t="s">
        <v>164</v>
      </c>
    </row>
    <row r="64" spans="1:4" x14ac:dyDescent="0.25">
      <c r="B64" s="7" t="s">
        <v>159</v>
      </c>
      <c r="C64" s="6">
        <f>C58*SQRT(2*C40)</f>
        <v>2.6422586671629125</v>
      </c>
      <c r="D64" t="s">
        <v>9</v>
      </c>
    </row>
    <row r="65" spans="1:4" x14ac:dyDescent="0.25">
      <c r="C65" s="5"/>
    </row>
    <row r="66" spans="1:4" x14ac:dyDescent="0.25">
      <c r="A66" t="s">
        <v>38</v>
      </c>
      <c r="C66" s="5"/>
    </row>
    <row r="67" spans="1:4" x14ac:dyDescent="0.25">
      <c r="A67" t="s">
        <v>39</v>
      </c>
      <c r="C67" s="5"/>
    </row>
    <row r="68" spans="1:4" x14ac:dyDescent="0.25">
      <c r="A68" t="s">
        <v>40</v>
      </c>
      <c r="B68" s="7" t="s">
        <v>159</v>
      </c>
      <c r="C68" s="5" t="s">
        <v>165</v>
      </c>
    </row>
    <row r="69" spans="1:4" x14ac:dyDescent="0.25">
      <c r="B69" s="7" t="s">
        <v>159</v>
      </c>
      <c r="C69" s="5" t="s">
        <v>166</v>
      </c>
    </row>
    <row r="70" spans="1:4" x14ac:dyDescent="0.25">
      <c r="B70" s="7" t="s">
        <v>159</v>
      </c>
      <c r="C70" s="6">
        <f>C58*SQRT(C40)</f>
        <v>1.8683590211998242</v>
      </c>
      <c r="D70" t="s">
        <v>9</v>
      </c>
    </row>
    <row r="71" spans="1:4" x14ac:dyDescent="0.25">
      <c r="C71" s="5"/>
    </row>
    <row r="72" spans="1:4" x14ac:dyDescent="0.25">
      <c r="A72" t="s">
        <v>41</v>
      </c>
      <c r="C72" s="5"/>
    </row>
    <row r="73" spans="1:4" x14ac:dyDescent="0.25">
      <c r="A73" t="s">
        <v>42</v>
      </c>
      <c r="C73" s="5"/>
    </row>
    <row r="74" spans="1:4" x14ac:dyDescent="0.25">
      <c r="A74" t="s">
        <v>43</v>
      </c>
      <c r="B74" s="7" t="s">
        <v>159</v>
      </c>
      <c r="C74" s="5" t="s">
        <v>167</v>
      </c>
    </row>
    <row r="75" spans="1:4" x14ac:dyDescent="0.25">
      <c r="B75" s="7" t="s">
        <v>159</v>
      </c>
      <c r="C75" s="5" t="s">
        <v>168</v>
      </c>
    </row>
    <row r="76" spans="1:4" x14ac:dyDescent="0.25">
      <c r="B76" s="7" t="s">
        <v>159</v>
      </c>
      <c r="C76" s="5">
        <f>1.3*2*A5</f>
        <v>72.8</v>
      </c>
      <c r="D76" t="s">
        <v>7</v>
      </c>
    </row>
    <row r="77" spans="1:4" x14ac:dyDescent="0.25">
      <c r="C77" s="5"/>
    </row>
    <row r="78" spans="1:4" x14ac:dyDescent="0.25">
      <c r="A78" t="s">
        <v>44</v>
      </c>
      <c r="C78" s="5"/>
    </row>
    <row r="79" spans="1:4" x14ac:dyDescent="0.25">
      <c r="A79" t="s">
        <v>45</v>
      </c>
      <c r="C79" s="5"/>
    </row>
    <row r="80" spans="1:4" x14ac:dyDescent="0.25">
      <c r="A80" t="s">
        <v>46</v>
      </c>
      <c r="B80" s="7" t="s">
        <v>159</v>
      </c>
      <c r="C80" s="5" t="s">
        <v>181</v>
      </c>
    </row>
    <row r="81" spans="1:10" x14ac:dyDescent="0.25">
      <c r="B81" s="7" t="s">
        <v>159</v>
      </c>
      <c r="C81" s="5" t="s">
        <v>180</v>
      </c>
    </row>
    <row r="82" spans="1:10" x14ac:dyDescent="0.25">
      <c r="B82" s="7" t="s">
        <v>159</v>
      </c>
      <c r="C82" s="6">
        <f>A7/(2*A3*C40)</f>
        <v>0.66666666666666663</v>
      </c>
    </row>
    <row r="83" spans="1:10" x14ac:dyDescent="0.25">
      <c r="A83" t="s">
        <v>112</v>
      </c>
      <c r="B83" s="1"/>
      <c r="C83" s="5"/>
    </row>
    <row r="84" spans="1:10" x14ac:dyDescent="0.25">
      <c r="A84" t="s">
        <v>113</v>
      </c>
      <c r="B84" s="7" t="s">
        <v>159</v>
      </c>
      <c r="C84" s="5" t="s">
        <v>179</v>
      </c>
    </row>
    <row r="85" spans="1:10" x14ac:dyDescent="0.25">
      <c r="B85" s="7" t="s">
        <v>159</v>
      </c>
      <c r="C85" s="5" t="s">
        <v>178</v>
      </c>
      <c r="G85" s="3" t="s">
        <v>117</v>
      </c>
      <c r="H85" s="3"/>
      <c r="I85" s="3"/>
      <c r="J85" s="3"/>
    </row>
    <row r="86" spans="1:10" x14ac:dyDescent="0.25">
      <c r="B86" s="7" t="s">
        <v>159</v>
      </c>
      <c r="C86" s="6">
        <f>18/(2*A3*C40)</f>
        <v>1.3333333333333333</v>
      </c>
    </row>
    <row r="87" spans="1:10" x14ac:dyDescent="0.25">
      <c r="C87" s="5"/>
    </row>
    <row r="88" spans="1:10" x14ac:dyDescent="0.25">
      <c r="A88" t="s">
        <v>47</v>
      </c>
      <c r="C88" s="5"/>
    </row>
    <row r="89" spans="1:10" x14ac:dyDescent="0.25">
      <c r="A89" t="s">
        <v>48</v>
      </c>
      <c r="C89" s="5"/>
    </row>
    <row r="90" spans="1:10" x14ac:dyDescent="0.25">
      <c r="A90" t="s">
        <v>49</v>
      </c>
      <c r="B90" s="7" t="s">
        <v>159</v>
      </c>
      <c r="C90" s="5" t="s">
        <v>177</v>
      </c>
    </row>
    <row r="91" spans="1:10" x14ac:dyDescent="0.25">
      <c r="B91" s="7" t="s">
        <v>159</v>
      </c>
      <c r="C91" s="5" t="s">
        <v>176</v>
      </c>
    </row>
    <row r="92" spans="1:10" x14ac:dyDescent="0.25">
      <c r="B92" s="7" t="s">
        <v>159</v>
      </c>
      <c r="C92" s="6">
        <f>A7/(2*C82*A5)</f>
        <v>0.2410714285714286</v>
      </c>
    </row>
    <row r="93" spans="1:10" x14ac:dyDescent="0.25">
      <c r="C93" s="5"/>
    </row>
    <row r="94" spans="1:10" x14ac:dyDescent="0.25">
      <c r="A94" t="s">
        <v>50</v>
      </c>
      <c r="C94" s="5"/>
    </row>
    <row r="95" spans="1:10" x14ac:dyDescent="0.25">
      <c r="A95" t="s">
        <v>82</v>
      </c>
      <c r="C95" s="5"/>
    </row>
    <row r="96" spans="1:10" x14ac:dyDescent="0.25">
      <c r="A96" t="s">
        <v>170</v>
      </c>
      <c r="B96" s="7" t="s">
        <v>159</v>
      </c>
      <c r="C96" s="5" t="s">
        <v>174</v>
      </c>
    </row>
    <row r="97" spans="1:4" x14ac:dyDescent="0.25">
      <c r="B97" s="7" t="s">
        <v>159</v>
      </c>
      <c r="C97" s="5" t="s">
        <v>175</v>
      </c>
    </row>
    <row r="98" spans="1:4" x14ac:dyDescent="0.25">
      <c r="B98" s="7" t="s">
        <v>159</v>
      </c>
      <c r="C98" s="6">
        <f>A7/(2*C82*D3)</f>
        <v>0.31395348837209303</v>
      </c>
    </row>
    <row r="99" spans="1:4" x14ac:dyDescent="0.25">
      <c r="C99" s="5"/>
    </row>
    <row r="100" spans="1:4" x14ac:dyDescent="0.25">
      <c r="A100" t="s">
        <v>51</v>
      </c>
      <c r="C100" s="5"/>
    </row>
    <row r="101" spans="1:4" x14ac:dyDescent="0.25">
      <c r="A101" t="s">
        <v>83</v>
      </c>
      <c r="C101" s="5"/>
    </row>
    <row r="102" spans="1:4" x14ac:dyDescent="0.25">
      <c r="A102" t="s">
        <v>52</v>
      </c>
      <c r="B102" s="7" t="s">
        <v>159</v>
      </c>
      <c r="C102" s="5" t="s">
        <v>171</v>
      </c>
    </row>
    <row r="103" spans="1:4" x14ac:dyDescent="0.25">
      <c r="B103" s="7" t="s">
        <v>159</v>
      </c>
      <c r="C103" s="5" t="s">
        <v>172</v>
      </c>
    </row>
    <row r="104" spans="1:4" x14ac:dyDescent="0.25">
      <c r="B104" s="7" t="s">
        <v>159</v>
      </c>
      <c r="C104" s="5">
        <f>D7/A7</f>
        <v>3.1333333333333333</v>
      </c>
      <c r="D104" t="s">
        <v>9</v>
      </c>
    </row>
    <row r="105" spans="1:4" x14ac:dyDescent="0.25">
      <c r="C105" s="5"/>
    </row>
    <row r="106" spans="1:4" x14ac:dyDescent="0.25">
      <c r="A106" t="s">
        <v>84</v>
      </c>
      <c r="C106" s="5"/>
    </row>
    <row r="107" spans="1:4" x14ac:dyDescent="0.25">
      <c r="A107" t="s">
        <v>53</v>
      </c>
      <c r="C107" s="5"/>
    </row>
    <row r="108" spans="1:4" x14ac:dyDescent="0.25">
      <c r="A108" t="s">
        <v>54</v>
      </c>
      <c r="B108" s="7" t="s">
        <v>159</v>
      </c>
      <c r="C108" s="5" t="s">
        <v>173</v>
      </c>
    </row>
    <row r="109" spans="1:4" x14ac:dyDescent="0.25">
      <c r="B109" s="7" t="s">
        <v>159</v>
      </c>
      <c r="C109" s="5" t="s">
        <v>191</v>
      </c>
    </row>
    <row r="110" spans="1:4" x14ac:dyDescent="0.25">
      <c r="B110" s="7" t="s">
        <v>159</v>
      </c>
      <c r="C110" s="6">
        <f>C104*SQRT(C40)</f>
        <v>2.1019038988498022</v>
      </c>
      <c r="D110" t="s">
        <v>9</v>
      </c>
    </row>
    <row r="111" spans="1:4" x14ac:dyDescent="0.25">
      <c r="C111" s="5"/>
    </row>
    <row r="112" spans="1:4" x14ac:dyDescent="0.25">
      <c r="A112" t="s">
        <v>85</v>
      </c>
      <c r="C112" s="5"/>
    </row>
    <row r="113" spans="1:4" x14ac:dyDescent="0.25">
      <c r="A113" t="s">
        <v>55</v>
      </c>
      <c r="C113" s="5"/>
    </row>
    <row r="114" spans="1:4" x14ac:dyDescent="0.25">
      <c r="A114" t="s">
        <v>56</v>
      </c>
      <c r="B114" s="7" t="s">
        <v>159</v>
      </c>
      <c r="C114" s="5" t="s">
        <v>192</v>
      </c>
    </row>
    <row r="115" spans="1:4" x14ac:dyDescent="0.25">
      <c r="B115" s="7" t="s">
        <v>159</v>
      </c>
      <c r="C115" s="5" t="s">
        <v>193</v>
      </c>
    </row>
    <row r="116" spans="1:4" x14ac:dyDescent="0.25">
      <c r="B116" s="7" t="s">
        <v>159</v>
      </c>
      <c r="C116" s="6">
        <f>C82*A5</f>
        <v>18.666666666666664</v>
      </c>
      <c r="D116" t="s">
        <v>7</v>
      </c>
    </row>
    <row r="117" spans="1:4" x14ac:dyDescent="0.25">
      <c r="C117" s="6"/>
    </row>
    <row r="118" spans="1:4" x14ac:dyDescent="0.25">
      <c r="A118" t="s">
        <v>57</v>
      </c>
      <c r="C118" s="5"/>
    </row>
    <row r="119" spans="1:4" x14ac:dyDescent="0.25">
      <c r="A119" t="s">
        <v>60</v>
      </c>
      <c r="C119" s="5"/>
    </row>
    <row r="120" spans="1:4" x14ac:dyDescent="0.25">
      <c r="A120" t="s">
        <v>194</v>
      </c>
      <c r="B120" s="7" t="s">
        <v>159</v>
      </c>
      <c r="C120" s="5" t="s">
        <v>195</v>
      </c>
    </row>
    <row r="121" spans="1:4" x14ac:dyDescent="0.25">
      <c r="B121" s="7" t="s">
        <v>159</v>
      </c>
      <c r="C121" s="5" t="s">
        <v>196</v>
      </c>
    </row>
    <row r="122" spans="1:4" x14ac:dyDescent="0.25">
      <c r="B122" s="7" t="s">
        <v>159</v>
      </c>
      <c r="C122" s="6">
        <f>C34*0.9</f>
        <v>9</v>
      </c>
      <c r="D122" t="s">
        <v>21</v>
      </c>
    </row>
    <row r="123" spans="1:4" x14ac:dyDescent="0.25">
      <c r="B123" s="7" t="s">
        <v>159</v>
      </c>
      <c r="C123" s="6">
        <f>C122/(1000000)</f>
        <v>9.0000000000000002E-6</v>
      </c>
      <c r="D123" t="s">
        <v>8</v>
      </c>
    </row>
    <row r="124" spans="1:4" x14ac:dyDescent="0.25">
      <c r="B124" s="1"/>
      <c r="C124" s="5"/>
    </row>
    <row r="125" spans="1:4" x14ac:dyDescent="0.25">
      <c r="A125" t="s">
        <v>61</v>
      </c>
      <c r="C125" s="5"/>
    </row>
    <row r="126" spans="1:4" x14ac:dyDescent="0.25">
      <c r="A126" s="2" t="s">
        <v>66</v>
      </c>
      <c r="B126" s="7" t="s">
        <v>159</v>
      </c>
      <c r="C126" s="5" t="s">
        <v>197</v>
      </c>
    </row>
    <row r="127" spans="1:4" x14ac:dyDescent="0.25">
      <c r="A127" s="2"/>
      <c r="B127" s="7" t="s">
        <v>159</v>
      </c>
      <c r="C127" s="5" t="s">
        <v>198</v>
      </c>
    </row>
    <row r="128" spans="1:4" x14ac:dyDescent="0.25">
      <c r="A128" s="2"/>
      <c r="B128" s="7" t="s">
        <v>159</v>
      </c>
      <c r="C128" s="5">
        <f>0.15*A9</f>
        <v>0.44999999999999996</v>
      </c>
      <c r="D128" t="s">
        <v>9</v>
      </c>
    </row>
    <row r="129" spans="1:4" x14ac:dyDescent="0.25">
      <c r="A129" s="2"/>
      <c r="C129" s="5"/>
    </row>
    <row r="130" spans="1:4" x14ac:dyDescent="0.25">
      <c r="A130" t="s">
        <v>58</v>
      </c>
      <c r="C130" s="5"/>
    </row>
    <row r="131" spans="1:4" x14ac:dyDescent="0.25">
      <c r="A131" t="s">
        <v>59</v>
      </c>
      <c r="B131" s="7" t="s">
        <v>159</v>
      </c>
      <c r="C131" s="5" t="s">
        <v>199</v>
      </c>
    </row>
    <row r="132" spans="1:4" x14ac:dyDescent="0.25">
      <c r="B132" s="7" t="s">
        <v>159</v>
      </c>
      <c r="C132" s="5" t="s">
        <v>200</v>
      </c>
    </row>
    <row r="133" spans="1:4" x14ac:dyDescent="0.25">
      <c r="B133" s="7" t="s">
        <v>159</v>
      </c>
      <c r="C133" s="6">
        <f>(C82*D3-A7)*(C123/C128)</f>
        <v>1.0666666666666665E-4</v>
      </c>
    </row>
    <row r="134" spans="1:4" x14ac:dyDescent="0.25">
      <c r="C134" s="5"/>
    </row>
    <row r="135" spans="1:4" x14ac:dyDescent="0.25">
      <c r="A135" t="s">
        <v>78</v>
      </c>
      <c r="C135" s="5"/>
    </row>
    <row r="136" spans="1:4" x14ac:dyDescent="0.25">
      <c r="A136" t="s">
        <v>62</v>
      </c>
      <c r="C136" s="5"/>
    </row>
    <row r="137" spans="1:4" x14ac:dyDescent="0.25">
      <c r="A137" t="s">
        <v>63</v>
      </c>
      <c r="B137" s="7" t="s">
        <v>159</v>
      </c>
      <c r="C137" s="5" t="s">
        <v>202</v>
      </c>
    </row>
    <row r="138" spans="1:4" x14ac:dyDescent="0.25">
      <c r="B138" s="7" t="s">
        <v>159</v>
      </c>
      <c r="C138" s="8" t="s">
        <v>203</v>
      </c>
    </row>
    <row r="139" spans="1:4" x14ac:dyDescent="0.25">
      <c r="B139" s="7" t="s">
        <v>159</v>
      </c>
      <c r="C139" s="5">
        <f>C128/2</f>
        <v>0.22499999999999998</v>
      </c>
      <c r="D139" t="s">
        <v>9</v>
      </c>
    </row>
    <row r="140" spans="1:4" x14ac:dyDescent="0.25">
      <c r="C140" s="5"/>
    </row>
    <row r="141" spans="1:4" x14ac:dyDescent="0.25">
      <c r="A141" t="s">
        <v>208</v>
      </c>
      <c r="C141" s="5"/>
    </row>
    <row r="142" spans="1:4" x14ac:dyDescent="0.25">
      <c r="A142" t="s">
        <v>64</v>
      </c>
      <c r="C142" s="5"/>
    </row>
    <row r="143" spans="1:4" x14ac:dyDescent="0.25">
      <c r="A143" s="2" t="s">
        <v>65</v>
      </c>
      <c r="B143" s="7" t="s">
        <v>159</v>
      </c>
      <c r="C143" s="5" t="s">
        <v>204</v>
      </c>
    </row>
    <row r="144" spans="1:4" x14ac:dyDescent="0.25">
      <c r="A144" s="2"/>
      <c r="B144" s="7" t="s">
        <v>159</v>
      </c>
      <c r="C144" s="5" t="s">
        <v>205</v>
      </c>
    </row>
    <row r="145" spans="1:4" x14ac:dyDescent="0.25">
      <c r="A145" s="2"/>
      <c r="B145" s="7" t="s">
        <v>159</v>
      </c>
      <c r="C145" s="5">
        <f>0.001*A7</f>
        <v>9.0000000000000011E-3</v>
      </c>
      <c r="D145" t="s">
        <v>7</v>
      </c>
    </row>
    <row r="146" spans="1:4" x14ac:dyDescent="0.25">
      <c r="A146" s="2"/>
      <c r="C146" s="5"/>
    </row>
    <row r="147" spans="1:4" x14ac:dyDescent="0.25">
      <c r="A147" s="2" t="s">
        <v>209</v>
      </c>
      <c r="C147" s="5"/>
    </row>
    <row r="148" spans="1:4" x14ac:dyDescent="0.25">
      <c r="A148" s="2" t="s">
        <v>153</v>
      </c>
      <c r="C148" s="5"/>
    </row>
    <row r="149" spans="1:4" x14ac:dyDescent="0.25">
      <c r="A149" s="2" t="s">
        <v>67</v>
      </c>
      <c r="B149" s="7" t="s">
        <v>159</v>
      </c>
      <c r="C149" s="5" t="s">
        <v>206</v>
      </c>
    </row>
    <row r="150" spans="1:4" x14ac:dyDescent="0.25">
      <c r="A150" s="2"/>
      <c r="B150" s="7" t="s">
        <v>159</v>
      </c>
      <c r="C150" s="5" t="s">
        <v>207</v>
      </c>
    </row>
    <row r="151" spans="1:4" x14ac:dyDescent="0.25">
      <c r="A151" s="2"/>
      <c r="B151" s="7" t="s">
        <v>159</v>
      </c>
      <c r="C151" s="6">
        <f>(1/8)*(C128/C145)*C27</f>
        <v>1.2499999999999998E-4</v>
      </c>
    </row>
    <row r="152" spans="1:4" x14ac:dyDescent="0.25">
      <c r="C152" s="5"/>
    </row>
    <row r="153" spans="1:4" x14ac:dyDescent="0.25">
      <c r="A153" t="s">
        <v>68</v>
      </c>
      <c r="C153" s="5"/>
    </row>
    <row r="154" spans="1:4" x14ac:dyDescent="0.25">
      <c r="A154" t="s">
        <v>79</v>
      </c>
      <c r="C154" s="5"/>
    </row>
    <row r="155" spans="1:4" x14ac:dyDescent="0.25">
      <c r="A155" t="s">
        <v>69</v>
      </c>
      <c r="B155" s="7" t="s">
        <v>159</v>
      </c>
      <c r="C155" s="5" t="s">
        <v>210</v>
      </c>
    </row>
    <row r="156" spans="1:4" x14ac:dyDescent="0.25">
      <c r="B156" s="7" t="s">
        <v>159</v>
      </c>
      <c r="C156" s="8" t="s">
        <v>211</v>
      </c>
    </row>
    <row r="157" spans="1:4" x14ac:dyDescent="0.25">
      <c r="B157" s="7" t="s">
        <v>159</v>
      </c>
      <c r="C157" s="5">
        <f>C145/C128</f>
        <v>2.0000000000000004E-2</v>
      </c>
      <c r="D157" s="2" t="s">
        <v>75</v>
      </c>
    </row>
    <row r="158" spans="1:4" x14ac:dyDescent="0.25">
      <c r="C158" s="5"/>
    </row>
    <row r="159" spans="1:4" x14ac:dyDescent="0.25">
      <c r="A159" t="s">
        <v>212</v>
      </c>
      <c r="C159" s="5"/>
    </row>
    <row r="160" spans="1:4" x14ac:dyDescent="0.25">
      <c r="A160" t="s">
        <v>73</v>
      </c>
      <c r="C160" s="5"/>
    </row>
    <row r="161" spans="1:4" x14ac:dyDescent="0.25">
      <c r="A161" t="s">
        <v>74</v>
      </c>
      <c r="B161" s="7" t="s">
        <v>159</v>
      </c>
      <c r="C161" s="5" t="s">
        <v>213</v>
      </c>
    </row>
    <row r="162" spans="1:4" x14ac:dyDescent="0.25">
      <c r="B162" s="7" t="s">
        <v>159</v>
      </c>
      <c r="C162" s="5" t="s">
        <v>214</v>
      </c>
    </row>
    <row r="163" spans="1:4" x14ac:dyDescent="0.25">
      <c r="B163" s="7" t="s">
        <v>159</v>
      </c>
      <c r="C163" s="5">
        <f>SQRT(C64^2-C52^2)</f>
        <v>0.83555555555555483</v>
      </c>
      <c r="D163" t="s">
        <v>9</v>
      </c>
    </row>
    <row r="164" spans="1:4" x14ac:dyDescent="0.25">
      <c r="C164" s="5"/>
    </row>
    <row r="165" spans="1:4" x14ac:dyDescent="0.25">
      <c r="A165" t="s">
        <v>215</v>
      </c>
      <c r="C165" s="5"/>
    </row>
    <row r="166" spans="1:4" x14ac:dyDescent="0.25">
      <c r="A166" t="s">
        <v>76</v>
      </c>
      <c r="C166" s="5"/>
    </row>
    <row r="167" spans="1:4" x14ac:dyDescent="0.25">
      <c r="A167" s="2" t="s">
        <v>77</v>
      </c>
      <c r="B167" s="7" t="s">
        <v>159</v>
      </c>
      <c r="C167" s="5" t="s">
        <v>216</v>
      </c>
    </row>
    <row r="168" spans="1:4" x14ac:dyDescent="0.25">
      <c r="A168" s="2"/>
      <c r="B168" s="7" t="s">
        <v>159</v>
      </c>
      <c r="C168" s="5" t="s">
        <v>217</v>
      </c>
    </row>
    <row r="169" spans="1:4" x14ac:dyDescent="0.25">
      <c r="A169" s="2"/>
      <c r="B169" s="7" t="s">
        <v>159</v>
      </c>
      <c r="C169" s="5">
        <f>0.001*A5</f>
        <v>2.8000000000000001E-2</v>
      </c>
      <c r="D169" t="s">
        <v>7</v>
      </c>
    </row>
    <row r="170" spans="1:4" x14ac:dyDescent="0.25">
      <c r="A170" s="2"/>
      <c r="C170" s="5"/>
    </row>
    <row r="171" spans="1:4" x14ac:dyDescent="0.25">
      <c r="A171" s="2" t="s">
        <v>70</v>
      </c>
      <c r="C171" s="5"/>
    </row>
    <row r="172" spans="1:4" x14ac:dyDescent="0.25">
      <c r="A172" t="s">
        <v>71</v>
      </c>
      <c r="C172" s="5"/>
    </row>
    <row r="173" spans="1:4" x14ac:dyDescent="0.25">
      <c r="A173" t="s">
        <v>72</v>
      </c>
      <c r="B173" s="7" t="s">
        <v>159</v>
      </c>
      <c r="C173" s="5" t="s">
        <v>218</v>
      </c>
    </row>
    <row r="174" spans="1:4" x14ac:dyDescent="0.25">
      <c r="B174" s="7" t="s">
        <v>159</v>
      </c>
      <c r="C174" s="5" t="s">
        <v>219</v>
      </c>
    </row>
    <row r="175" spans="1:4" x14ac:dyDescent="0.25">
      <c r="B175" s="7" t="s">
        <v>159</v>
      </c>
      <c r="C175" s="6">
        <f>C163*(C122/C169)</f>
        <v>268.57142857142833</v>
      </c>
    </row>
    <row r="177" spans="1:2" x14ac:dyDescent="0.25">
      <c r="A177" s="3" t="s">
        <v>154</v>
      </c>
      <c r="B177" s="3"/>
    </row>
    <row r="178" spans="1:2" x14ac:dyDescent="0.25">
      <c r="A178" t="s">
        <v>91</v>
      </c>
    </row>
    <row r="179" spans="1:2" x14ac:dyDescent="0.25">
      <c r="A179" t="s">
        <v>95</v>
      </c>
    </row>
    <row r="180" spans="1:2" x14ac:dyDescent="0.25">
      <c r="A180" t="s">
        <v>92</v>
      </c>
      <c r="B180">
        <v>4</v>
      </c>
    </row>
    <row r="181" spans="1:2" x14ac:dyDescent="0.25">
      <c r="A181" t="s">
        <v>93</v>
      </c>
    </row>
    <row r="182" spans="1:2" x14ac:dyDescent="0.25">
      <c r="A182" t="s">
        <v>94</v>
      </c>
      <c r="B182">
        <v>0.05</v>
      </c>
    </row>
    <row r="183" spans="1:2" x14ac:dyDescent="0.25">
      <c r="A183" t="s">
        <v>99</v>
      </c>
    </row>
    <row r="184" spans="1:2" x14ac:dyDescent="0.25">
      <c r="A184" s="2" t="s">
        <v>100</v>
      </c>
      <c r="B184">
        <v>5.0000000000000001E-4</v>
      </c>
    </row>
    <row r="185" spans="1:2" x14ac:dyDescent="0.25">
      <c r="A185" s="2" t="s">
        <v>155</v>
      </c>
    </row>
    <row r="186" spans="1:2" x14ac:dyDescent="0.25">
      <c r="A186" s="2" t="s">
        <v>102</v>
      </c>
      <c r="B186">
        <f>173*(0.000001)</f>
        <v>1.73E-4</v>
      </c>
    </row>
    <row r="187" spans="1:2" x14ac:dyDescent="0.25">
      <c r="A187" s="2" t="s">
        <v>104</v>
      </c>
    </row>
    <row r="188" spans="1:2" x14ac:dyDescent="0.25">
      <c r="A188" s="2" t="s">
        <v>103</v>
      </c>
      <c r="B188">
        <f>PI()*15.2</f>
        <v>47.752208334564855</v>
      </c>
    </row>
    <row r="189" spans="1:2" x14ac:dyDescent="0.25">
      <c r="A189" s="2" t="s">
        <v>106</v>
      </c>
      <c r="B189">
        <v>0.2</v>
      </c>
    </row>
    <row r="190" spans="1:2" x14ac:dyDescent="0.25">
      <c r="A190" s="2"/>
    </row>
    <row r="191" spans="1:2" x14ac:dyDescent="0.25">
      <c r="A191" s="2"/>
    </row>
    <row r="193" spans="1:3" x14ac:dyDescent="0.25">
      <c r="A193" t="s">
        <v>86</v>
      </c>
    </row>
    <row r="194" spans="1:3" x14ac:dyDescent="0.25">
      <c r="A194" t="s">
        <v>87</v>
      </c>
    </row>
    <row r="195" spans="1:3" x14ac:dyDescent="0.25">
      <c r="A195" t="s">
        <v>88</v>
      </c>
      <c r="B195">
        <f>((1/A11)+1)*A7*A9</f>
        <v>62.999999999999986</v>
      </c>
      <c r="C195" t="s">
        <v>17</v>
      </c>
    </row>
    <row r="197" spans="1:3" x14ac:dyDescent="0.25">
      <c r="A197" t="s">
        <v>156</v>
      </c>
    </row>
    <row r="198" spans="1:3" x14ac:dyDescent="0.25">
      <c r="A198" t="s">
        <v>89</v>
      </c>
    </row>
    <row r="199" spans="1:3" x14ac:dyDescent="0.25">
      <c r="A199" t="s">
        <v>90</v>
      </c>
      <c r="B199">
        <f>0.145*(B180^2)*(A17^2)*(B182^2)*(0.0001)</f>
        <v>1450.0000000000005</v>
      </c>
    </row>
    <row r="201" spans="1:3" x14ac:dyDescent="0.25">
      <c r="A201" t="s">
        <v>96</v>
      </c>
    </row>
    <row r="202" spans="1:3" x14ac:dyDescent="0.25">
      <c r="A202" t="s">
        <v>97</v>
      </c>
    </row>
    <row r="203" spans="1:3" x14ac:dyDescent="0.25">
      <c r="A203" t="s">
        <v>98</v>
      </c>
      <c r="B203">
        <f>B195/(2*B199*B184)</f>
        <v>43.448275862068947</v>
      </c>
    </row>
    <row r="205" spans="1:3" x14ac:dyDescent="0.25">
      <c r="A205" t="s">
        <v>101</v>
      </c>
    </row>
    <row r="206" spans="1:3" x14ac:dyDescent="0.25">
      <c r="A206" t="s">
        <v>108</v>
      </c>
    </row>
    <row r="207" spans="1:3" x14ac:dyDescent="0.25">
      <c r="A207" t="s">
        <v>105</v>
      </c>
      <c r="B207">
        <f>A3*C40*C27/(B189*B186)</f>
        <v>3.9017341040462425</v>
      </c>
    </row>
    <row r="209" spans="1:6" x14ac:dyDescent="0.25">
      <c r="A209" t="s">
        <v>107</v>
      </c>
    </row>
    <row r="210" spans="1:6" x14ac:dyDescent="0.25">
      <c r="A210" t="s">
        <v>109</v>
      </c>
    </row>
    <row r="211" spans="1:6" x14ac:dyDescent="0.25">
      <c r="A211" t="s">
        <v>110</v>
      </c>
      <c r="B211" s="1">
        <f>C82*B207</f>
        <v>2.6011560693641615</v>
      </c>
    </row>
    <row r="212" spans="1:6" x14ac:dyDescent="0.25">
      <c r="A212" t="s">
        <v>157</v>
      </c>
    </row>
    <row r="213" spans="1:6" x14ac:dyDescent="0.25">
      <c r="A213" t="s">
        <v>111</v>
      </c>
      <c r="B213" s="1">
        <f>C86*B207</f>
        <v>5.2023121387283231</v>
      </c>
    </row>
    <row r="215" spans="1:6" x14ac:dyDescent="0.25">
      <c r="A215" t="s">
        <v>114</v>
      </c>
    </row>
    <row r="216" spans="1:6" x14ac:dyDescent="0.25">
      <c r="A216" t="s">
        <v>115</v>
      </c>
    </row>
    <row r="217" spans="1:6" x14ac:dyDescent="0.25">
      <c r="A217" t="s">
        <v>116</v>
      </c>
      <c r="B217" s="1">
        <f>2*6.62/SQRT(A17)</f>
        <v>5.9211080044194432E-2</v>
      </c>
      <c r="C217" t="s">
        <v>118</v>
      </c>
    </row>
    <row r="218" spans="1:6" x14ac:dyDescent="0.25">
      <c r="B218" s="3" t="s">
        <v>169</v>
      </c>
      <c r="C218" s="3"/>
      <c r="D218" s="3"/>
      <c r="E218" s="3"/>
      <c r="F218" s="3"/>
    </row>
    <row r="220" spans="1:6" x14ac:dyDescent="0.25">
      <c r="A220" t="s">
        <v>119</v>
      </c>
    </row>
    <row r="221" spans="1:6" x14ac:dyDescent="0.25">
      <c r="A221" t="s">
        <v>120</v>
      </c>
    </row>
    <row r="222" spans="1:6" x14ac:dyDescent="0.25">
      <c r="A222" t="s">
        <v>121</v>
      </c>
      <c r="B222" s="1">
        <f>PI()*(B217^2)/4</f>
        <v>2.7535682617596106E-3</v>
      </c>
    </row>
    <row r="223" spans="1:6" x14ac:dyDescent="0.25">
      <c r="A223" t="s">
        <v>122</v>
      </c>
      <c r="B223">
        <f>PI()*(0.09^2)/4</f>
        <v>6.3617251235193305E-3</v>
      </c>
    </row>
    <row r="224" spans="1:6" x14ac:dyDescent="0.25">
      <c r="B224" s="3" t="s">
        <v>123</v>
      </c>
      <c r="C224" s="3"/>
    </row>
    <row r="225" spans="1:3" x14ac:dyDescent="0.25">
      <c r="A225" t="s">
        <v>126</v>
      </c>
    </row>
    <row r="226" spans="1:3" x14ac:dyDescent="0.25">
      <c r="A226" t="s">
        <v>124</v>
      </c>
      <c r="B226">
        <v>500</v>
      </c>
      <c r="C226" t="s">
        <v>125</v>
      </c>
    </row>
    <row r="228" spans="1:3" x14ac:dyDescent="0.25">
      <c r="A228" t="s">
        <v>135</v>
      </c>
    </row>
    <row r="229" spans="1:3" x14ac:dyDescent="0.25">
      <c r="A229" t="s">
        <v>129</v>
      </c>
      <c r="B229">
        <f>C52/B226</f>
        <v>5.0133333333333341E-3</v>
      </c>
    </row>
    <row r="230" spans="1:3" x14ac:dyDescent="0.25">
      <c r="A230" t="s">
        <v>127</v>
      </c>
    </row>
    <row r="231" spans="1:3" x14ac:dyDescent="0.25">
      <c r="A231" t="s">
        <v>128</v>
      </c>
      <c r="B231">
        <f>B229/B223</f>
        <v>0.78804620381962354</v>
      </c>
    </row>
    <row r="233" spans="1:3" x14ac:dyDescent="0.25">
      <c r="A233" t="s">
        <v>134</v>
      </c>
    </row>
    <row r="234" spans="1:3" x14ac:dyDescent="0.25">
      <c r="A234" t="s">
        <v>132</v>
      </c>
    </row>
    <row r="235" spans="1:3" x14ac:dyDescent="0.25">
      <c r="A235" t="s">
        <v>130</v>
      </c>
      <c r="B235">
        <f>A9/B226</f>
        <v>6.0000000000000001E-3</v>
      </c>
    </row>
    <row r="237" spans="1:3" x14ac:dyDescent="0.25">
      <c r="A237" t="s">
        <v>133</v>
      </c>
    </row>
    <row r="238" spans="1:3" x14ac:dyDescent="0.25">
      <c r="A238" t="s">
        <v>131</v>
      </c>
      <c r="B238">
        <f>B235/B223</f>
        <v>0.94314040350752804</v>
      </c>
    </row>
    <row r="240" spans="1:3" x14ac:dyDescent="0.25">
      <c r="A240" t="s">
        <v>137</v>
      </c>
    </row>
    <row r="241" spans="1:2" x14ac:dyDescent="0.25">
      <c r="A241" t="s">
        <v>136</v>
      </c>
    </row>
    <row r="242" spans="1:2" x14ac:dyDescent="0.25">
      <c r="A242" s="1">
        <v>1.6779999999999999E-8</v>
      </c>
    </row>
    <row r="243" spans="1:2" x14ac:dyDescent="0.25">
      <c r="A243" t="s">
        <v>158</v>
      </c>
    </row>
    <row r="244" spans="1:2" x14ac:dyDescent="0.25">
      <c r="A244">
        <f>A242*(0.01)/(PI()*(0.08*(0.01)/2)^2)</f>
        <v>3.3382749313525044E-4</v>
      </c>
    </row>
    <row r="245" spans="1:2" x14ac:dyDescent="0.25">
      <c r="A245" t="s">
        <v>138</v>
      </c>
    </row>
    <row r="246" spans="1:2" x14ac:dyDescent="0.25">
      <c r="A246" t="s">
        <v>139</v>
      </c>
      <c r="B246">
        <f>A244/B231</f>
        <v>4.2361411236702112E-4</v>
      </c>
    </row>
    <row r="248" spans="1:2" x14ac:dyDescent="0.25">
      <c r="A248" t="s">
        <v>140</v>
      </c>
    </row>
    <row r="249" spans="1:2" x14ac:dyDescent="0.25">
      <c r="A249" t="s">
        <v>141</v>
      </c>
    </row>
    <row r="250" spans="1:2" x14ac:dyDescent="0.25">
      <c r="A250" t="s">
        <v>142</v>
      </c>
      <c r="B250">
        <f>B207*B188*B246</f>
        <v>7.892626479403432E-2</v>
      </c>
    </row>
    <row r="252" spans="1:2" x14ac:dyDescent="0.25">
      <c r="A252" t="s">
        <v>143</v>
      </c>
    </row>
    <row r="253" spans="1:2" x14ac:dyDescent="0.25">
      <c r="A253" t="s">
        <v>144</v>
      </c>
    </row>
    <row r="254" spans="1:2" x14ac:dyDescent="0.25">
      <c r="A254" t="s">
        <v>145</v>
      </c>
      <c r="B254">
        <f>A244/B238</f>
        <v>3.5395312499999994E-4</v>
      </c>
    </row>
    <row r="256" spans="1:2" x14ac:dyDescent="0.25">
      <c r="A256" t="s">
        <v>146</v>
      </c>
    </row>
    <row r="257" spans="1:4" x14ac:dyDescent="0.25">
      <c r="A257" t="s">
        <v>147</v>
      </c>
    </row>
    <row r="258" spans="1:4" x14ac:dyDescent="0.25">
      <c r="A258" t="s">
        <v>148</v>
      </c>
      <c r="B258" s="1">
        <f>B211*B188*B254</f>
        <v>4.3964852685269493E-2</v>
      </c>
    </row>
    <row r="260" spans="1:4" x14ac:dyDescent="0.25">
      <c r="A260" t="s">
        <v>149</v>
      </c>
    </row>
    <row r="261" spans="1:4" x14ac:dyDescent="0.25">
      <c r="A261" t="s">
        <v>150</v>
      </c>
    </row>
    <row r="262" spans="1:4" x14ac:dyDescent="0.25">
      <c r="A262" t="s">
        <v>151</v>
      </c>
      <c r="B262" s="1">
        <f>B250*(C52^2)+B258*(C104^2)</f>
        <v>0.92756069198655244</v>
      </c>
    </row>
    <row r="263" spans="1:4" x14ac:dyDescent="0.25">
      <c r="B263" s="1"/>
    </row>
    <row r="264" spans="1:4" x14ac:dyDescent="0.25">
      <c r="A264" t="s">
        <v>201</v>
      </c>
      <c r="B264" s="1"/>
    </row>
    <row r="265" spans="1:4" x14ac:dyDescent="0.25">
      <c r="A265" t="s">
        <v>152</v>
      </c>
    </row>
    <row r="266" spans="1:4" x14ac:dyDescent="0.25">
      <c r="A266" s="2" t="s">
        <v>100</v>
      </c>
      <c r="B266" s="1">
        <f>100*B262/D7</f>
        <v>3.2892223120090511</v>
      </c>
    </row>
    <row r="268" spans="1:4" x14ac:dyDescent="0.25">
      <c r="A268" t="s">
        <v>220</v>
      </c>
    </row>
    <row r="269" spans="1:4" x14ac:dyDescent="0.25">
      <c r="A269" t="s">
        <v>221</v>
      </c>
      <c r="B269" s="1">
        <v>1.7799999999999999E-5</v>
      </c>
      <c r="C269" t="s">
        <v>222</v>
      </c>
      <c r="D269" t="s">
        <v>223</v>
      </c>
    </row>
    <row r="270" spans="1:4" x14ac:dyDescent="0.25">
      <c r="A270" t="s">
        <v>224</v>
      </c>
    </row>
    <row r="271" spans="1:4" x14ac:dyDescent="0.25">
      <c r="A271" t="s">
        <v>225</v>
      </c>
      <c r="B271" s="1">
        <f>28.1*(1000)*B269</f>
        <v>0.50017999999999996</v>
      </c>
      <c r="C271" t="s">
        <v>226</v>
      </c>
    </row>
    <row r="273" spans="1:4" x14ac:dyDescent="0.25">
      <c r="A273" t="s">
        <v>227</v>
      </c>
    </row>
    <row r="274" spans="1:4" x14ac:dyDescent="0.25">
      <c r="A274" t="s">
        <v>228</v>
      </c>
      <c r="B274">
        <v>11</v>
      </c>
      <c r="C274" t="s">
        <v>229</v>
      </c>
      <c r="D274" t="s">
        <v>223</v>
      </c>
    </row>
    <row r="276" spans="1:4" x14ac:dyDescent="0.25">
      <c r="A276" t="s">
        <v>230</v>
      </c>
    </row>
    <row r="277" spans="1:4" x14ac:dyDescent="0.25">
      <c r="A277" t="s">
        <v>231</v>
      </c>
    </row>
    <row r="278" spans="1:4" x14ac:dyDescent="0.25">
      <c r="A278" t="s">
        <v>232</v>
      </c>
      <c r="B278" s="4" t="s">
        <v>233</v>
      </c>
      <c r="C278" t="s">
        <v>234</v>
      </c>
    </row>
    <row r="279" spans="1:4" x14ac:dyDescent="0.25">
      <c r="B279" s="4" t="s">
        <v>233</v>
      </c>
      <c r="C279" s="9">
        <f>B274*(B262+B271)</f>
        <v>15.705147611852077</v>
      </c>
      <c r="D279" s="2" t="s">
        <v>235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2014-09-14T12:32:11Z</dcterms:modified>
</cp:coreProperties>
</file>