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k-Desktop\git\power_electronics\Power Supply Design\"/>
    </mc:Choice>
  </mc:AlternateContent>
  <bookViews>
    <workbookView xWindow="0" yWindow="0" windowWidth="21570" windowHeight="9510" tabRatio="299"/>
  </bookViews>
  <sheets>
    <sheet name="Push-pull Converter Design" sheetId="1" r:id="rId1"/>
  </sheets>
  <calcPr calcId="152511" iterateDelta="1E-4"/>
</workbook>
</file>

<file path=xl/calcChain.xml><?xml version="1.0" encoding="utf-8"?>
<calcChain xmlns="http://schemas.openxmlformats.org/spreadsheetml/2006/main">
  <c r="C492" i="1" l="1"/>
  <c r="C478" i="1"/>
  <c r="C502" i="1" s="1"/>
  <c r="C352" i="1"/>
  <c r="C311" i="1"/>
  <c r="C299" i="1"/>
  <c r="B292" i="1"/>
  <c r="C279" i="1"/>
  <c r="C304" i="1" s="1"/>
  <c r="C270" i="1"/>
  <c r="C276" i="1" s="1"/>
  <c r="C240" i="1"/>
  <c r="C234" i="1"/>
  <c r="B226" i="1"/>
  <c r="B224" i="1"/>
  <c r="C171" i="1"/>
  <c r="C147" i="1"/>
  <c r="C130" i="1"/>
  <c r="F433" i="1" s="1"/>
  <c r="C77" i="1"/>
  <c r="C28" i="1"/>
  <c r="C29" i="1" s="1"/>
  <c r="C35" i="1" s="1"/>
  <c r="D5" i="1"/>
  <c r="D7" i="1" s="1"/>
  <c r="D3" i="1"/>
  <c r="C247" i="1" l="1"/>
  <c r="C248" i="1" s="1"/>
  <c r="C159" i="1"/>
  <c r="C141" i="1"/>
  <c r="C326" i="1"/>
  <c r="C106" i="1"/>
  <c r="C47" i="1"/>
  <c r="C53" i="1" s="1"/>
  <c r="C41" i="1"/>
  <c r="C124" i="1"/>
  <c r="C125" i="1" s="1"/>
  <c r="C153" i="1"/>
  <c r="C288" i="1" l="1"/>
  <c r="C293" i="1" s="1"/>
  <c r="C315" i="1" s="1"/>
  <c r="C59" i="1"/>
  <c r="C88" i="1"/>
  <c r="C253" i="1"/>
  <c r="C83" i="1"/>
  <c r="C440" i="1"/>
  <c r="C112" i="1"/>
  <c r="F432" i="1"/>
  <c r="C472" i="1" s="1"/>
  <c r="C258" i="1" l="1"/>
  <c r="C332" i="1" s="1"/>
  <c r="C100" i="1"/>
  <c r="C135" i="1"/>
  <c r="C94" i="1"/>
  <c r="C118" i="1"/>
  <c r="C321" i="1"/>
  <c r="C262" i="1"/>
  <c r="C71" i="1"/>
  <c r="C65" i="1"/>
  <c r="C165" i="1" s="1"/>
  <c r="C177" i="1" s="1"/>
  <c r="C338" i="1" l="1"/>
  <c r="C344" i="1" s="1"/>
  <c r="F431" i="1"/>
  <c r="C444" i="1"/>
  <c r="C445" i="1" s="1"/>
  <c r="C364" i="1" l="1"/>
  <c r="C453" i="1"/>
  <c r="C483" i="1" s="1"/>
  <c r="C458" i="1" l="1"/>
  <c r="C459" i="1" s="1"/>
</calcChain>
</file>

<file path=xl/sharedStrings.xml><?xml version="1.0" encoding="utf-8"?>
<sst xmlns="http://schemas.openxmlformats.org/spreadsheetml/2006/main" count="572" uniqueCount="345">
  <si>
    <t>Given specifications</t>
  </si>
  <si>
    <t>Calculated specifications</t>
  </si>
  <si>
    <t>Minimum input voltage</t>
  </si>
  <si>
    <t>Average input voltage</t>
  </si>
  <si>
    <t>V</t>
  </si>
  <si>
    <t>Maximum input voltage</t>
  </si>
  <si>
    <t>Auxiliary output power</t>
  </si>
  <si>
    <t>W</t>
  </si>
  <si>
    <t>Rated output voltage</t>
  </si>
  <si>
    <t>Output power</t>
  </si>
  <si>
    <t>Rated output current</t>
  </si>
  <si>
    <t>A</t>
  </si>
  <si>
    <t>Conversion efficiency</t>
  </si>
  <si>
    <t>Auxiliary output voltage</t>
  </si>
  <si>
    <t>Auxiliary output current</t>
  </si>
  <si>
    <t>Operating frequency</t>
  </si>
  <si>
    <t>Hz</t>
  </si>
  <si>
    <t>Equation 2</t>
  </si>
  <si>
    <t>Switching period</t>
  </si>
  <si>
    <t>T</t>
  </si>
  <si>
    <t>=</t>
  </si>
  <si>
    <t>1 / Operating frequency</t>
  </si>
  <si>
    <t>1 / f</t>
  </si>
  <si>
    <t>s</t>
  </si>
  <si>
    <t>us</t>
  </si>
  <si>
    <t>Equation 3</t>
  </si>
  <si>
    <t>Theoretical maximum on time</t>
  </si>
  <si>
    <t>t*on</t>
  </si>
  <si>
    <t>0.5 * period</t>
  </si>
  <si>
    <t>0.5 * T</t>
  </si>
  <si>
    <t>Equation 4</t>
  </si>
  <si>
    <t>Maximum duty cycle</t>
  </si>
  <si>
    <t>Dmax</t>
  </si>
  <si>
    <t>0.9 * theoretical maximum on time) / period</t>
  </si>
  <si>
    <t>0.9 * (t*on) /  T</t>
  </si>
  <si>
    <t>Equation 5</t>
  </si>
  <si>
    <t>Input power</t>
  </si>
  <si>
    <t>Pin</t>
  </si>
  <si>
    <t>output power / efficency</t>
  </si>
  <si>
    <t>Equation 6</t>
  </si>
  <si>
    <t>Maximum average input current</t>
  </si>
  <si>
    <t>Iin</t>
  </si>
  <si>
    <t>input power / minimum input voltage</t>
  </si>
  <si>
    <t>Pin/Vin_min</t>
  </si>
  <si>
    <t>Equation 7</t>
  </si>
  <si>
    <t>Maximum equivalent flat topped input current</t>
  </si>
  <si>
    <t>Ipft</t>
  </si>
  <si>
    <t>maximum average input current / (2*maximum duty cycle)</t>
  </si>
  <si>
    <t>Iin/(2*Dmax)</t>
  </si>
  <si>
    <t>Equation 8</t>
  </si>
  <si>
    <t>Maximum input RMS current</t>
  </si>
  <si>
    <t>Iin_RMS</t>
  </si>
  <si>
    <t>Maximum equivalent flat topped input current * sqrt(2*maximum duty cycle)</t>
  </si>
  <si>
    <t>Ipft*sqrt(2*Dmax)</t>
  </si>
  <si>
    <t>Equation 9</t>
  </si>
  <si>
    <t>Maximum MOSFET RMS current</t>
  </si>
  <si>
    <t>Imos_RMS</t>
  </si>
  <si>
    <t>Maximum equivalent flat topped input current * sqrt(maximum duty cycle)</t>
  </si>
  <si>
    <t>Ipft*sqrt(Dmax)</t>
  </si>
  <si>
    <t>Equation 10</t>
  </si>
  <si>
    <t>Minimum MOSFET breakdown voltage</t>
  </si>
  <si>
    <t>Vbrk_Mos</t>
  </si>
  <si>
    <t>1.3*2*maximum input voltage</t>
  </si>
  <si>
    <t>1.3*2*Vin_max</t>
  </si>
  <si>
    <t>Equation 11</t>
  </si>
  <si>
    <t>Transformer turns ratio</t>
  </si>
  <si>
    <t>N</t>
  </si>
  <si>
    <t>output voltage / (2*minimum input voltage*maximum duty cycle)</t>
  </si>
  <si>
    <t>Vout / (2*Vin_min*Dmax)</t>
  </si>
  <si>
    <t>Auxiliary turns ratio</t>
  </si>
  <si>
    <t>N_aux</t>
  </si>
  <si>
    <t>power loss factor / (2*minimum input voltage*maximum duty cycle)</t>
  </si>
  <si>
    <t>18 / (2*Vin_min*Dmax)</t>
  </si>
  <si>
    <t>Note: 18 is chosen because of power loss</t>
  </si>
  <si>
    <t>Equation 12</t>
  </si>
  <si>
    <t>Minimum duty cycle</t>
  </si>
  <si>
    <t>Dmin</t>
  </si>
  <si>
    <t>output voltage / (2*transformer turns ratio*maximum input voltage)</t>
  </si>
  <si>
    <t>Vout / (2*N*Vin_max)</t>
  </si>
  <si>
    <t>Equation 13</t>
  </si>
  <si>
    <t>Duty cycle at nominal input voltage</t>
  </si>
  <si>
    <t>Dmin_n</t>
  </si>
  <si>
    <t>output voltage / (2*transformer turns tario*average input voltage)</t>
  </si>
  <si>
    <t>Vout / (2*N*Vin)</t>
  </si>
  <si>
    <t>Equation 14</t>
  </si>
  <si>
    <t>Maximum average output current</t>
  </si>
  <si>
    <t>Iout</t>
  </si>
  <si>
    <t>output power / output voltage</t>
  </si>
  <si>
    <t>Pout/Vout</t>
  </si>
  <si>
    <t>Equation 15</t>
  </si>
  <si>
    <t>Secondary maximum RMS current</t>
  </si>
  <si>
    <t>Isec_RMS</t>
  </si>
  <si>
    <t>output current * sqrt(maximum duty cycle)</t>
  </si>
  <si>
    <t>Iout * sqrt(Dmax)</t>
  </si>
  <si>
    <t>Equation 16</t>
  </si>
  <si>
    <t>Rectifier diode voltage</t>
  </si>
  <si>
    <t>Vdiode</t>
  </si>
  <si>
    <t>transformer turns ratio * maximum input voltage</t>
  </si>
  <si>
    <t>N * Vin_max</t>
  </si>
  <si>
    <t>Equation 17</t>
  </si>
  <si>
    <t>Realistic maximum on time</t>
  </si>
  <si>
    <t>ton_max</t>
  </si>
  <si>
    <t>0.9 * theoretical maximum on time</t>
  </si>
  <si>
    <t>0.9 * ton</t>
  </si>
  <si>
    <t>Output current ripple</t>
  </si>
  <si>
    <t>ΔI_out</t>
  </si>
  <si>
    <t>0.15 * output current</t>
  </si>
  <si>
    <t>0.15 * Iout</t>
  </si>
  <si>
    <t>Output filter inductor value</t>
  </si>
  <si>
    <t>Lmin</t>
  </si>
  <si>
    <t>(transformer turns ratio*input voltage - output voltage) * (realistic maximum on time/output current ripple)</t>
  </si>
  <si>
    <t>(N*Vin - Vout) * (ton_max/ΔI_out)</t>
  </si>
  <si>
    <t>H</t>
  </si>
  <si>
    <t>Equation 19</t>
  </si>
  <si>
    <t>Minimum output current</t>
  </si>
  <si>
    <t>Iout_min</t>
  </si>
  <si>
    <t>output current ripple / 2</t>
  </si>
  <si>
    <t>ΔI_out / 2</t>
  </si>
  <si>
    <t>Equation 21</t>
  </si>
  <si>
    <t>Output voltage ripple</t>
  </si>
  <si>
    <t>ΔV_out</t>
  </si>
  <si>
    <t>0.1% * output voltage</t>
  </si>
  <si>
    <t>0.1% * Vout</t>
  </si>
  <si>
    <t>Equation 22</t>
  </si>
  <si>
    <t>Output filter capacitor value</t>
  </si>
  <si>
    <t>C</t>
  </si>
  <si>
    <t>(1/8) * (output current ripple / output voltage ripple) * period</t>
  </si>
  <si>
    <t>(1/8)*(ΔI_out/ΔV_out)*T</t>
  </si>
  <si>
    <t>F</t>
  </si>
  <si>
    <t>Equation 23</t>
  </si>
  <si>
    <t>Maximum equivalent series resistance</t>
  </si>
  <si>
    <t>ESR</t>
  </si>
  <si>
    <t>output voltage ripple / output current ripple</t>
  </si>
  <si>
    <t>ΔV_out / ΔI_out</t>
  </si>
  <si>
    <t>Ohm</t>
  </si>
  <si>
    <t>Equation 25</t>
  </si>
  <si>
    <t>RMS capacitor current value</t>
  </si>
  <si>
    <t>Ic_rms</t>
  </si>
  <si>
    <t>sqrt(maximum input RMS current^2 - input current^2)</t>
  </si>
  <si>
    <t>sqrt(Iin_rms^2 - Iin^2)</t>
  </si>
  <si>
    <t>Equation 26</t>
  </si>
  <si>
    <t>Input voltage ripple</t>
  </si>
  <si>
    <t>ΔV_in</t>
  </si>
  <si>
    <t>0.1% * maximum input voltage</t>
  </si>
  <si>
    <t>0.1% * Vin_max</t>
  </si>
  <si>
    <t>Equation 24</t>
  </si>
  <si>
    <t>Input capacitor</t>
  </si>
  <si>
    <t>Cin</t>
  </si>
  <si>
    <t>RMS capacitor current * (realistic maximum on time / input voltage ripple)</t>
  </si>
  <si>
    <t>Ic_rms * (ton_max/ΔI_in)</t>
  </si>
  <si>
    <t>Transformer Design</t>
  </si>
  <si>
    <t>Core Chosen: ETD 44 N87</t>
  </si>
  <si>
    <t>Specifications</t>
  </si>
  <si>
    <t>Waveform Coefficient (for square waves)</t>
  </si>
  <si>
    <t>Kf</t>
  </si>
  <si>
    <t>Maximum operating flux density</t>
  </si>
  <si>
    <t>Regulation</t>
  </si>
  <si>
    <t>α</t>
  </si>
  <si>
    <t>Core cross section area</t>
  </si>
  <si>
    <t>Mean length per turn</t>
  </si>
  <si>
    <t>MLT</t>
  </si>
  <si>
    <t>ΔB</t>
  </si>
  <si>
    <t>Efficiency</t>
  </si>
  <si>
    <t>Equation 28</t>
  </si>
  <si>
    <t>Transformer Apparent Power</t>
  </si>
  <si>
    <t>(1/η+1) Vout * Iout</t>
  </si>
  <si>
    <t>Equation 29</t>
  </si>
  <si>
    <t>Electrical Condition Parameter</t>
  </si>
  <si>
    <t>Equation 31</t>
  </si>
  <si>
    <t>Core Geometry Parameter</t>
  </si>
  <si>
    <t>Apparent Power / (2 * Electrical Condition * Regulation)</t>
  </si>
  <si>
    <t>Pt/(2*Ke*α)</t>
  </si>
  <si>
    <t>Equation 33</t>
  </si>
  <si>
    <t>Number of Primary Turns</t>
  </si>
  <si>
    <t>Vin_min * Dmax * T / (ΔB * Ac)</t>
  </si>
  <si>
    <t>turns</t>
  </si>
  <si>
    <t>Equation 35</t>
  </si>
  <si>
    <t>Number of Secondary Turns</t>
  </si>
  <si>
    <t>Number of Auxiliary Secondary Turns</t>
  </si>
  <si>
    <t>* We are using exact calculations for the number of turns</t>
  </si>
  <si>
    <t>These values can be modified if they cannot be achieved</t>
  </si>
  <si>
    <t>Equation 36</t>
  </si>
  <si>
    <t>Wire Diameter</t>
  </si>
  <si>
    <t>d</t>
  </si>
  <si>
    <t>2 * 6.62 / SQRT(Switching Frequency)</t>
  </si>
  <si>
    <t>2 * 6.62 / SQRT(f)</t>
  </si>
  <si>
    <t>cm</t>
  </si>
  <si>
    <t>*Wire of Diameter 0.09 cm chosen</t>
  </si>
  <si>
    <t>Equation 38</t>
  </si>
  <si>
    <t>Conductor section</t>
  </si>
  <si>
    <t>Current Density</t>
  </si>
  <si>
    <t>J</t>
  </si>
  <si>
    <t>Equation 40</t>
  </si>
  <si>
    <t>Input current / Current density</t>
  </si>
  <si>
    <t>Iin / J</t>
  </si>
  <si>
    <t>Equation 39</t>
  </si>
  <si>
    <t>Number of primary wires</t>
  </si>
  <si>
    <t>Equation 43</t>
  </si>
  <si>
    <t>Secondary winding</t>
  </si>
  <si>
    <t>Output current / Current Density</t>
  </si>
  <si>
    <t>Iout / J</t>
  </si>
  <si>
    <t>Equation 44</t>
  </si>
  <si>
    <t>Number of secondary wires</t>
  </si>
  <si>
    <t>Equation 41</t>
  </si>
  <si>
    <t>Copper resistivity per meter</t>
  </si>
  <si>
    <t>Ohm/m</t>
  </si>
  <si>
    <t>Wire resistance</t>
  </si>
  <si>
    <t>R</t>
  </si>
  <si>
    <t>Primary resistance</t>
  </si>
  <si>
    <t>Resistance of wire / Number of Primary Wires</t>
  </si>
  <si>
    <t>Equation 42</t>
  </si>
  <si>
    <t>Resistance of primary winding</t>
  </si>
  <si>
    <t>Number of primary turns * Mean Length per Turn * Primary Resistance</t>
  </si>
  <si>
    <t>Equation 45</t>
  </si>
  <si>
    <t>Secondary resistance</t>
  </si>
  <si>
    <t>Equation 46</t>
  </si>
  <si>
    <t>Resistance of secondary winding</t>
  </si>
  <si>
    <t>Number of secondary turns * Mean Length per Turn * Secondary Resistance</t>
  </si>
  <si>
    <t>Equation 47</t>
  </si>
  <si>
    <t>Total copper losses</t>
  </si>
  <si>
    <t>Power loss in primary + Power loss in secondary</t>
  </si>
  <si>
    <t>Equation 48</t>
  </si>
  <si>
    <t>Transformer Regulation</t>
  </si>
  <si>
    <t>Copper losses / Output Power</t>
  </si>
  <si>
    <t>%</t>
  </si>
  <si>
    <t>Equation 49</t>
  </si>
  <si>
    <t>Core Volume</t>
  </si>
  <si>
    <t>(From datasheet)</t>
  </si>
  <si>
    <t>Core loss</t>
  </si>
  <si>
    <t>Equation 51</t>
  </si>
  <si>
    <t>Thermal Resistance</t>
  </si>
  <si>
    <t>K/W</t>
  </si>
  <si>
    <t>Equation 50</t>
  </si>
  <si>
    <t>Transformer temperature rise</t>
  </si>
  <si>
    <t>Tr</t>
  </si>
  <si>
    <t>Thermal Resistance * (Copper losses + Core losses)</t>
  </si>
  <si>
    <t>°C</t>
  </si>
  <si>
    <t>Inductor Design</t>
  </si>
  <si>
    <t>Core Chosen: ETD 34 N27 with air gap</t>
  </si>
  <si>
    <t>Symbol</t>
  </si>
  <si>
    <t>Value</t>
  </si>
  <si>
    <t>Minimum inductance value</t>
  </si>
  <si>
    <t>DC Current</t>
  </si>
  <si>
    <t>AC Current</t>
  </si>
  <si>
    <t>Operating Flux Density</t>
  </si>
  <si>
    <t>Equation 52</t>
  </si>
  <si>
    <t>Peak Current Value</t>
  </si>
  <si>
    <t>Average output current + (Output Current Ripple / 2)</t>
  </si>
  <si>
    <t>Iout + ΔI_out / 2</t>
  </si>
  <si>
    <t>Equation 53</t>
  </si>
  <si>
    <t>Inductor Turns</t>
  </si>
  <si>
    <t>N</t>
  </si>
  <si>
    <t>(Inductance * Peak Current) / (Core Volume * Operating Flux Density)</t>
  </si>
  <si>
    <t>Equation 54</t>
  </si>
  <si>
    <t>Inductance Factor</t>
  </si>
  <si>
    <t>nH</t>
  </si>
  <si>
    <t>Equation 57</t>
  </si>
  <si>
    <t>Total Winding Resistance</t>
  </si>
  <si>
    <t>(Number of turns / Number of turns per layer) * Resistance per single layer</t>
  </si>
  <si>
    <t>Equation 58</t>
  </si>
  <si>
    <t>Copper Losses</t>
  </si>
  <si>
    <t>Equation 59</t>
  </si>
  <si>
    <t>Core Losses / Weight</t>
  </si>
  <si>
    <t>W/g</t>
  </si>
  <si>
    <t>Equation 60</t>
  </si>
  <si>
    <t>Equation 60.1</t>
  </si>
  <si>
    <t>Outside Diameter</t>
  </si>
  <si>
    <t>mm</t>
  </si>
  <si>
    <t>Inside Diameter</t>
  </si>
  <si>
    <t>Magnetic Path Length</t>
  </si>
  <si>
    <t>MPL</t>
  </si>
  <si>
    <t>Π * (OD – ID) / ln(OD/ID)</t>
  </si>
  <si>
    <t>Core Weight</t>
  </si>
  <si>
    <t>g</t>
  </si>
  <si>
    <t>Equation 61</t>
  </si>
  <si>
    <t>Core Losses</t>
  </si>
  <si>
    <r>
      <t xml:space="preserve">Pout / </t>
    </r>
    <r>
      <rPr>
        <sz val="12"/>
        <color rgb="FF000000"/>
        <rFont val="Calibri"/>
        <family val="2"/>
        <charset val="1"/>
      </rPr>
      <t>η</t>
    </r>
  </si>
  <si>
    <t>Bm</t>
  </si>
  <si>
    <t>Ac</t>
  </si>
  <si>
    <t>m2</t>
  </si>
  <si>
    <t>Pt</t>
  </si>
  <si>
    <t>(Efficiency-1 + 1) * Output Voltage * Input Voltage</t>
  </si>
  <si>
    <t>Ke</t>
  </si>
  <si>
    <t>0.145 * Waveform Coefficient2 * Switching Frequency2 * Flux Density2</t>
  </si>
  <si>
    <t>0.145 * Kf2 * f2 * Bm2 (10-4)</t>
  </si>
  <si>
    <t>Kg</t>
  </si>
  <si>
    <t>m5</t>
  </si>
  <si>
    <t>cm2</t>
  </si>
  <si>
    <t>N1</t>
  </si>
  <si>
    <t>N2</t>
  </si>
  <si>
    <t>N * N1</t>
  </si>
  <si>
    <t>N2_aux</t>
  </si>
  <si>
    <t>N_aux * N1</t>
  </si>
  <si>
    <t>Aw</t>
  </si>
  <si>
    <t>Π * (d2 / 4)</t>
  </si>
  <si>
    <t>AW009</t>
  </si>
  <si>
    <t>Π * (0.092 / 4)</t>
  </si>
  <si>
    <t>A/cm2</t>
  </si>
  <si>
    <t>Awp</t>
  </si>
  <si>
    <t>Snp</t>
  </si>
  <si>
    <t>Awp / Aw009</t>
  </si>
  <si>
    <t>Aws</t>
  </si>
  <si>
    <t xml:space="preserve"> cm2</t>
  </si>
  <si>
    <t>Sns</t>
  </si>
  <si>
    <t>Aws / Aw009</t>
  </si>
  <si>
    <t>rp</t>
  </si>
  <si>
    <t>Rp</t>
  </si>
  <si>
    <t>N1 * MLT * rp</t>
  </si>
  <si>
    <t>rs</t>
  </si>
  <si>
    <t>Rs</t>
  </si>
  <si>
    <t>N2 * MLT * rs</t>
  </si>
  <si>
    <r>
      <t>P</t>
    </r>
    <r>
      <rPr>
        <b/>
        <sz val="12"/>
        <color rgb="FF000000"/>
        <rFont val="Source Code Pro Medium"/>
        <charset val="1"/>
      </rPr>
      <t>cu</t>
    </r>
  </si>
  <si>
    <t>Rp * Iin2 + Rs * Is2</t>
  </si>
  <si>
    <t>Pcu / Pout</t>
  </si>
  <si>
    <t xml:space="preserve">Ve </t>
  </si>
  <si>
    <t>m3</t>
  </si>
  <si>
    <t>Pv</t>
  </si>
  <si>
    <t>28.1 * Ve</t>
  </si>
  <si>
    <t>Rth</t>
  </si>
  <si>
    <t>Rth * (Pcu + Pv)</t>
  </si>
  <si>
    <t>Ipk</t>
  </si>
  <si>
    <t>LIpk2</t>
  </si>
  <si>
    <t>Output filter inductor value * (Peak current value)2</t>
  </si>
  <si>
    <t>HA2</t>
  </si>
  <si>
    <t>mHA2</t>
  </si>
  <si>
    <t>Ae</t>
  </si>
  <si>
    <t>(Lmin * Ipk) / (Bm * Ae)</t>
  </si>
  <si>
    <t>AL</t>
  </si>
  <si>
    <t>Lmin/N2</t>
  </si>
  <si>
    <t>* We chose a gap value of 0.20 mm with an AL of 482 nH</t>
  </si>
  <si>
    <t>(N / Nlayer) * rlayer</t>
  </si>
  <si>
    <t>Pcu</t>
  </si>
  <si>
    <t>Resistance * Output Current2</t>
  </si>
  <si>
    <t>RIout2</t>
  </si>
  <si>
    <r>
      <t>W</t>
    </r>
    <r>
      <rPr>
        <sz val="12"/>
        <color rgb="FF000000"/>
        <rFont val="Source Code Pro Medium"/>
        <charset val="1"/>
      </rPr>
      <t xml:space="preserve"> </t>
    </r>
  </si>
  <si>
    <t>PL/g</t>
  </si>
  <si>
    <t>k *Bac2.12 * f1.23</t>
  </si>
  <si>
    <t>Bac</t>
  </si>
  <si>
    <t xml:space="preserve">PL </t>
  </si>
  <si>
    <t>PL/g * W</t>
  </si>
  <si>
    <t>* Conversion efficiency was chosen at 80 % as a safety margin</t>
  </si>
  <si>
    <t>http://www.mag-inc.com/design/design-guides/powder-core-loss-calculation</t>
  </si>
  <si>
    <t>Refer to</t>
  </si>
  <si>
    <t xml:space="preserve">refer to </t>
  </si>
  <si>
    <t>http://www.mhw-intl.com/assets/CSC/CSC%20Design%20Formulas%202011.pdf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</si>
</sst>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);[Red]\(0.00\)"/>
    <numFmt numFmtId="165" formatCode="&quot;TRUE&quot;;&quot;TRUE&quot;;&quot;FALSE&quot;"/>
  </numFmts>
  <fonts count="5">
    <font>
      <sz val="11"/>
      <color rgb="FF000000"/>
      <name val="Calibri"/>
      <family val="2"/>
      <charset val="1"/>
    </font>
    <font>
      <b/>
      <sz val="12"/>
      <color rgb="FF000000"/>
      <name val="Source Code Pro Medium"/>
      <charset val="1"/>
    </font>
    <font>
      <sz val="12"/>
      <color rgb="FF000000"/>
      <name val="Source Code Pro Medium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/>
    <xf numFmtId="0" fontId="1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Border="1"/>
    <xf numFmtId="0" fontId="3" fillId="0" borderId="0" xfId="0" applyFont="1" applyBorder="1"/>
    <xf numFmtId="11" fontId="2" fillId="0" borderId="0" xfId="0" applyNumberFormat="1" applyFont="1" applyBorder="1"/>
    <xf numFmtId="0" fontId="2" fillId="0" borderId="0" xfId="0" applyFont="1" applyBorder="1" applyAlignment="1">
      <alignment horizontal="left"/>
    </xf>
    <xf numFmtId="11" fontId="2" fillId="0" borderId="0" xfId="0" applyNumberFormat="1" applyFont="1" applyBorder="1" applyAlignment="1">
      <alignment horizontal="left"/>
    </xf>
    <xf numFmtId="11" fontId="2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2" fillId="2" borderId="0" xfId="0" applyFont="1" applyFill="1" applyBorder="1"/>
    <xf numFmtId="0" fontId="2" fillId="4" borderId="0" xfId="0" applyFont="1" applyFill="1" applyBorder="1"/>
    <xf numFmtId="0" fontId="1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2" fillId="3" borderId="0" xfId="0" applyFont="1" applyFill="1" applyBorder="1"/>
    <xf numFmtId="0" fontId="3" fillId="0" borderId="0" xfId="0" applyFont="1" applyBorder="1" applyAlignment="1">
      <alignment wrapText="1"/>
    </xf>
    <xf numFmtId="164" fontId="1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65" fontId="2" fillId="0" borderId="0" xfId="0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" fillId="0" borderId="0" xfId="0" applyFont="1" applyFill="1" applyBorder="1"/>
    <xf numFmtId="11" fontId="2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11" fontId="2" fillId="0" borderId="0" xfId="0" applyNumberFormat="1" applyFont="1" applyFill="1" applyBorder="1" applyAlignment="1">
      <alignment horizontal="left"/>
    </xf>
    <xf numFmtId="0" fontId="1" fillId="5" borderId="0" xfId="0" applyFont="1" applyFill="1" applyBorder="1"/>
    <xf numFmtId="0" fontId="2" fillId="5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left"/>
    </xf>
    <xf numFmtId="0" fontId="1" fillId="4" borderId="0" xfId="0" applyFont="1" applyFill="1" applyBorder="1"/>
    <xf numFmtId="0" fontId="2" fillId="4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  <pageSetUpPr fitToPage="1"/>
  </sheetPr>
  <dimension ref="A1:AMK502"/>
  <sheetViews>
    <sheetView tabSelected="1" view="pageBreakPreview" zoomScale="145" zoomScaleNormal="100" zoomScaleSheetLayoutView="145" workbookViewId="0"/>
  </sheetViews>
  <sheetFormatPr defaultRowHeight="15.75"/>
  <cols>
    <col min="1" max="1" width="11.140625" style="7" bestFit="1" customWidth="1"/>
    <col min="2" max="2" width="10.5703125" style="5" bestFit="1" customWidth="1"/>
    <col min="3" max="3" width="11.28515625" style="6" bestFit="1" customWidth="1"/>
    <col min="4" max="4" width="8.7109375" style="7" bestFit="1" customWidth="1"/>
    <col min="5" max="5" width="8.5703125" style="7"/>
    <col min="6" max="6" width="8.7109375" style="7" customWidth="1"/>
    <col min="7" max="1025" width="8.5703125" style="7"/>
    <col min="1026" max="16384" width="9.140625" style="8"/>
  </cols>
  <sheetData>
    <row r="1" spans="1:5">
      <c r="A1" s="4" t="s">
        <v>0</v>
      </c>
      <c r="D1" s="4" t="s">
        <v>1</v>
      </c>
    </row>
    <row r="2" spans="1:5">
      <c r="A2" s="7" t="s">
        <v>2</v>
      </c>
      <c r="D2" s="7" t="s">
        <v>3</v>
      </c>
    </row>
    <row r="3" spans="1:5">
      <c r="A3" s="7">
        <v>15</v>
      </c>
      <c r="B3" s="5" t="s">
        <v>4</v>
      </c>
      <c r="D3" s="7">
        <f>AVERAGE($A$3,$A$5)</f>
        <v>21.5</v>
      </c>
      <c r="E3" s="7" t="s">
        <v>4</v>
      </c>
    </row>
    <row r="4" spans="1:5">
      <c r="A4" s="7" t="s">
        <v>5</v>
      </c>
      <c r="D4" s="7" t="s">
        <v>6</v>
      </c>
    </row>
    <row r="5" spans="1:5">
      <c r="A5" s="7">
        <v>28</v>
      </c>
      <c r="B5" s="5" t="s">
        <v>4</v>
      </c>
      <c r="D5" s="7">
        <f>ABS($A$13)*$A$15</f>
        <v>1.2000000000000002</v>
      </c>
      <c r="E5" s="7" t="s">
        <v>7</v>
      </c>
    </row>
    <row r="6" spans="1:5">
      <c r="A6" s="7" t="s">
        <v>8</v>
      </c>
      <c r="D6" s="7" t="s">
        <v>9</v>
      </c>
    </row>
    <row r="7" spans="1:5">
      <c r="A7" s="7">
        <v>9</v>
      </c>
      <c r="B7" s="5" t="s">
        <v>4</v>
      </c>
      <c r="D7" s="7">
        <f>$A$7*$A$9+$D$5</f>
        <v>28.2</v>
      </c>
      <c r="E7" s="7" t="s">
        <v>7</v>
      </c>
    </row>
    <row r="8" spans="1:5">
      <c r="A8" s="7" t="s">
        <v>10</v>
      </c>
    </row>
    <row r="9" spans="1:5">
      <c r="A9" s="7">
        <v>3</v>
      </c>
      <c r="B9" s="5" t="s">
        <v>11</v>
      </c>
      <c r="D9" s="9"/>
    </row>
    <row r="10" spans="1:5">
      <c r="A10" s="7" t="s">
        <v>12</v>
      </c>
      <c r="D10" s="7" t="s">
        <v>340</v>
      </c>
    </row>
    <row r="11" spans="1:5">
      <c r="A11" s="7">
        <v>0.8</v>
      </c>
    </row>
    <row r="12" spans="1:5">
      <c r="A12" s="7" t="s">
        <v>13</v>
      </c>
    </row>
    <row r="13" spans="1:5">
      <c r="A13" s="7">
        <v>-12</v>
      </c>
      <c r="B13" s="5" t="s">
        <v>4</v>
      </c>
    </row>
    <row r="14" spans="1:5">
      <c r="A14" s="7" t="s">
        <v>14</v>
      </c>
    </row>
    <row r="15" spans="1:5">
      <c r="A15" s="7">
        <v>0.1</v>
      </c>
      <c r="B15" s="5" t="s">
        <v>11</v>
      </c>
    </row>
    <row r="16" spans="1:5">
      <c r="A16" s="7" t="s">
        <v>15</v>
      </c>
    </row>
    <row r="17" spans="1:4">
      <c r="A17" s="9">
        <v>50000</v>
      </c>
      <c r="B17" s="5" t="s">
        <v>16</v>
      </c>
    </row>
    <row r="24" spans="1:4">
      <c r="A24" s="4" t="s">
        <v>17</v>
      </c>
    </row>
    <row r="25" spans="1:4">
      <c r="A25" s="7" t="s">
        <v>18</v>
      </c>
    </row>
    <row r="26" spans="1:4">
      <c r="A26" s="7" t="s">
        <v>19</v>
      </c>
      <c r="B26" s="5" t="s">
        <v>20</v>
      </c>
      <c r="C26" s="10" t="s">
        <v>21</v>
      </c>
      <c r="D26" s="10"/>
    </row>
    <row r="27" spans="1:4">
      <c r="B27" s="5" t="s">
        <v>20</v>
      </c>
      <c r="C27" s="10" t="s">
        <v>22</v>
      </c>
      <c r="D27" s="10"/>
    </row>
    <row r="28" spans="1:4">
      <c r="B28" s="5" t="s">
        <v>20</v>
      </c>
      <c r="C28" s="11">
        <f>1/$A$17</f>
        <v>2.0000000000000002E-5</v>
      </c>
      <c r="D28" s="10" t="s">
        <v>23</v>
      </c>
    </row>
    <row r="29" spans="1:4">
      <c r="B29" s="5" t="s">
        <v>20</v>
      </c>
      <c r="C29" s="2">
        <f>$C$28 * 1000000</f>
        <v>20</v>
      </c>
      <c r="D29" s="2" t="s">
        <v>24</v>
      </c>
    </row>
    <row r="30" spans="1:4">
      <c r="B30" s="12"/>
      <c r="C30" s="10"/>
      <c r="D30" s="10"/>
    </row>
    <row r="31" spans="1:4">
      <c r="A31" s="4" t="s">
        <v>25</v>
      </c>
      <c r="C31" s="10"/>
      <c r="D31" s="10"/>
    </row>
    <row r="32" spans="1:4">
      <c r="A32" s="7" t="s">
        <v>26</v>
      </c>
      <c r="C32" s="10"/>
      <c r="D32" s="10"/>
    </row>
    <row r="33" spans="1:4">
      <c r="A33" s="7" t="s">
        <v>27</v>
      </c>
      <c r="B33" s="5" t="s">
        <v>20</v>
      </c>
      <c r="C33" s="10" t="s">
        <v>28</v>
      </c>
      <c r="D33" s="10"/>
    </row>
    <row r="34" spans="1:4">
      <c r="B34" s="5" t="s">
        <v>20</v>
      </c>
      <c r="C34" s="10" t="s">
        <v>29</v>
      </c>
      <c r="D34" s="10"/>
    </row>
    <row r="35" spans="1:4">
      <c r="B35" s="5" t="s">
        <v>20</v>
      </c>
      <c r="C35" s="2">
        <f>0.5*$C$29</f>
        <v>10</v>
      </c>
      <c r="D35" s="2" t="s">
        <v>24</v>
      </c>
    </row>
    <row r="36" spans="1:4">
      <c r="B36" s="12"/>
      <c r="C36" s="10"/>
      <c r="D36" s="10"/>
    </row>
    <row r="37" spans="1:4">
      <c r="A37" s="4" t="s">
        <v>30</v>
      </c>
      <c r="C37" s="10"/>
      <c r="D37" s="10"/>
    </row>
    <row r="38" spans="1:4">
      <c r="A38" s="7" t="s">
        <v>31</v>
      </c>
      <c r="C38" s="10"/>
      <c r="D38" s="10"/>
    </row>
    <row r="39" spans="1:4">
      <c r="A39" s="7" t="s">
        <v>32</v>
      </c>
      <c r="B39" s="5" t="s">
        <v>20</v>
      </c>
      <c r="C39" s="10" t="s">
        <v>33</v>
      </c>
      <c r="D39" s="10"/>
    </row>
    <row r="40" spans="1:4">
      <c r="B40" s="5" t="s">
        <v>20</v>
      </c>
      <c r="C40" s="10" t="s">
        <v>34</v>
      </c>
      <c r="D40" s="10"/>
    </row>
    <row r="41" spans="1:4">
      <c r="B41" s="5" t="s">
        <v>20</v>
      </c>
      <c r="C41" s="2">
        <f>0.9*$C$35/$C$29</f>
        <v>0.45</v>
      </c>
      <c r="D41" s="10"/>
    </row>
    <row r="42" spans="1:4">
      <c r="C42" s="11"/>
      <c r="D42" s="10"/>
    </row>
    <row r="43" spans="1:4">
      <c r="A43" s="4" t="s">
        <v>35</v>
      </c>
      <c r="C43" s="10"/>
      <c r="D43" s="10"/>
    </row>
    <row r="44" spans="1:4">
      <c r="A44" s="7" t="s">
        <v>36</v>
      </c>
      <c r="C44" s="10"/>
      <c r="D44" s="10"/>
    </row>
    <row r="45" spans="1:4">
      <c r="A45" s="7" t="s">
        <v>37</v>
      </c>
      <c r="B45" s="5" t="s">
        <v>20</v>
      </c>
      <c r="C45" s="10" t="s">
        <v>38</v>
      </c>
      <c r="D45" s="10"/>
    </row>
    <row r="46" spans="1:4">
      <c r="B46" s="5" t="s">
        <v>20</v>
      </c>
      <c r="C46" s="10" t="s">
        <v>276</v>
      </c>
      <c r="D46" s="10"/>
    </row>
    <row r="47" spans="1:4">
      <c r="B47" s="5" t="s">
        <v>20</v>
      </c>
      <c r="C47" s="2">
        <f>$D$7/$A$11</f>
        <v>35.25</v>
      </c>
      <c r="D47" s="2" t="s">
        <v>7</v>
      </c>
    </row>
    <row r="48" spans="1:4">
      <c r="C48" s="10"/>
      <c r="D48" s="10"/>
    </row>
    <row r="49" spans="1:4">
      <c r="A49" s="4" t="s">
        <v>39</v>
      </c>
      <c r="C49" s="10"/>
      <c r="D49" s="10"/>
    </row>
    <row r="50" spans="1:4">
      <c r="A50" s="7" t="s">
        <v>40</v>
      </c>
      <c r="C50" s="10"/>
      <c r="D50" s="10"/>
    </row>
    <row r="51" spans="1:4">
      <c r="A51" s="7" t="s">
        <v>41</v>
      </c>
      <c r="B51" s="5" t="s">
        <v>20</v>
      </c>
      <c r="C51" s="10" t="s">
        <v>42</v>
      </c>
      <c r="D51" s="10"/>
    </row>
    <row r="52" spans="1:4">
      <c r="B52" s="5" t="s">
        <v>20</v>
      </c>
      <c r="C52" s="10" t="s">
        <v>43</v>
      </c>
      <c r="D52" s="10"/>
    </row>
    <row r="53" spans="1:4">
      <c r="B53" s="5" t="s">
        <v>20</v>
      </c>
      <c r="C53" s="2">
        <f>$C$47/$A$3</f>
        <v>2.35</v>
      </c>
      <c r="D53" s="2" t="s">
        <v>11</v>
      </c>
    </row>
    <row r="54" spans="1:4">
      <c r="C54" s="10"/>
      <c r="D54" s="10"/>
    </row>
    <row r="55" spans="1:4">
      <c r="A55" s="4" t="s">
        <v>44</v>
      </c>
      <c r="C55" s="10"/>
      <c r="D55" s="10"/>
    </row>
    <row r="56" spans="1:4">
      <c r="A56" s="7" t="s">
        <v>45</v>
      </c>
      <c r="C56" s="10"/>
      <c r="D56" s="10"/>
    </row>
    <row r="57" spans="1:4">
      <c r="A57" s="7" t="s">
        <v>46</v>
      </c>
      <c r="B57" s="12" t="s">
        <v>20</v>
      </c>
      <c r="C57" s="10" t="s">
        <v>47</v>
      </c>
      <c r="D57" s="10"/>
    </row>
    <row r="58" spans="1:4">
      <c r="B58" s="12" t="s">
        <v>20</v>
      </c>
      <c r="C58" s="10" t="s">
        <v>48</v>
      </c>
      <c r="D58" s="10"/>
    </row>
    <row r="59" spans="1:4">
      <c r="B59" s="12" t="s">
        <v>20</v>
      </c>
      <c r="C59" s="2">
        <f>$C$53/(2*$C$41)</f>
        <v>2.6111111111111112</v>
      </c>
      <c r="D59" s="2" t="s">
        <v>11</v>
      </c>
    </row>
    <row r="60" spans="1:4">
      <c r="C60" s="10"/>
      <c r="D60" s="10"/>
    </row>
    <row r="61" spans="1:4">
      <c r="A61" s="4" t="s">
        <v>49</v>
      </c>
      <c r="C61" s="10"/>
      <c r="D61" s="10"/>
    </row>
    <row r="62" spans="1:4">
      <c r="A62" s="7" t="s">
        <v>50</v>
      </c>
      <c r="C62" s="10"/>
      <c r="D62" s="10"/>
    </row>
    <row r="63" spans="1:4">
      <c r="A63" s="7" t="s">
        <v>51</v>
      </c>
      <c r="B63" s="12" t="s">
        <v>20</v>
      </c>
      <c r="C63" s="10" t="s">
        <v>52</v>
      </c>
      <c r="D63" s="10"/>
    </row>
    <row r="64" spans="1:4">
      <c r="B64" s="12" t="s">
        <v>20</v>
      </c>
      <c r="C64" s="10" t="s">
        <v>53</v>
      </c>
      <c r="D64" s="10"/>
    </row>
    <row r="65" spans="1:4">
      <c r="B65" s="12" t="s">
        <v>20</v>
      </c>
      <c r="C65" s="2">
        <f>$C$59*SQRT(2*$C$41)</f>
        <v>2.4771175004652304</v>
      </c>
      <c r="D65" s="2" t="s">
        <v>11</v>
      </c>
    </row>
    <row r="66" spans="1:4">
      <c r="C66" s="10"/>
      <c r="D66" s="10"/>
    </row>
    <row r="67" spans="1:4">
      <c r="A67" s="4" t="s">
        <v>54</v>
      </c>
      <c r="C67" s="10"/>
      <c r="D67" s="10"/>
    </row>
    <row r="68" spans="1:4">
      <c r="A68" s="7" t="s">
        <v>55</v>
      </c>
      <c r="C68" s="10"/>
      <c r="D68" s="10"/>
    </row>
    <row r="69" spans="1:4">
      <c r="A69" s="7" t="s">
        <v>56</v>
      </c>
      <c r="B69" s="12" t="s">
        <v>20</v>
      </c>
      <c r="C69" s="10" t="s">
        <v>57</v>
      </c>
      <c r="D69" s="10"/>
    </row>
    <row r="70" spans="1:4">
      <c r="B70" s="12" t="s">
        <v>20</v>
      </c>
      <c r="C70" s="10" t="s">
        <v>58</v>
      </c>
      <c r="D70" s="10"/>
    </row>
    <row r="71" spans="1:4">
      <c r="B71" s="12" t="s">
        <v>20</v>
      </c>
      <c r="C71" s="2">
        <f>$C$59*SQRT($C$41)</f>
        <v>1.7515865823748353</v>
      </c>
      <c r="D71" s="2" t="s">
        <v>11</v>
      </c>
    </row>
    <row r="72" spans="1:4">
      <c r="C72" s="10"/>
      <c r="D72" s="10"/>
    </row>
    <row r="73" spans="1:4">
      <c r="A73" s="4" t="s">
        <v>59</v>
      </c>
      <c r="C73" s="10"/>
      <c r="D73" s="10"/>
    </row>
    <row r="74" spans="1:4">
      <c r="A74" s="7" t="s">
        <v>60</v>
      </c>
      <c r="C74" s="10"/>
      <c r="D74" s="10"/>
    </row>
    <row r="75" spans="1:4">
      <c r="A75" s="7" t="s">
        <v>61</v>
      </c>
      <c r="B75" s="12" t="s">
        <v>20</v>
      </c>
      <c r="C75" s="10" t="s">
        <v>62</v>
      </c>
      <c r="D75" s="10"/>
    </row>
    <row r="76" spans="1:4">
      <c r="B76" s="12" t="s">
        <v>20</v>
      </c>
      <c r="C76" s="10" t="s">
        <v>63</v>
      </c>
      <c r="D76" s="10"/>
    </row>
    <row r="77" spans="1:4">
      <c r="B77" s="12" t="s">
        <v>20</v>
      </c>
      <c r="C77" s="2">
        <f>1.3*2*$A$5</f>
        <v>72.8</v>
      </c>
      <c r="D77" s="2" t="s">
        <v>4</v>
      </c>
    </row>
    <row r="78" spans="1:4">
      <c r="C78" s="10"/>
      <c r="D78" s="10"/>
    </row>
    <row r="79" spans="1:4">
      <c r="A79" s="4" t="s">
        <v>64</v>
      </c>
      <c r="C79" s="10"/>
      <c r="D79" s="10"/>
    </row>
    <row r="80" spans="1:4">
      <c r="A80" s="7" t="s">
        <v>65</v>
      </c>
      <c r="C80" s="10"/>
      <c r="D80" s="10"/>
    </row>
    <row r="81" spans="1:12">
      <c r="A81" s="7" t="s">
        <v>66</v>
      </c>
      <c r="B81" s="12" t="s">
        <v>20</v>
      </c>
      <c r="C81" s="10" t="s">
        <v>67</v>
      </c>
      <c r="D81" s="10"/>
    </row>
    <row r="82" spans="1:12">
      <c r="B82" s="12" t="s">
        <v>20</v>
      </c>
      <c r="C82" s="10" t="s">
        <v>68</v>
      </c>
      <c r="D82" s="10"/>
    </row>
    <row r="83" spans="1:12">
      <c r="B83" s="12" t="s">
        <v>20</v>
      </c>
      <c r="C83" s="13">
        <f>$A$7/(2*$A$3*$C$41)</f>
        <v>0.66666666666666663</v>
      </c>
      <c r="D83" s="10"/>
    </row>
    <row r="84" spans="1:12">
      <c r="B84" s="12"/>
      <c r="C84" s="13"/>
      <c r="D84" s="10"/>
    </row>
    <row r="85" spans="1:12">
      <c r="A85" s="4" t="s">
        <v>69</v>
      </c>
      <c r="B85" s="12"/>
      <c r="C85" s="10"/>
      <c r="D85" s="10"/>
    </row>
    <row r="86" spans="1:12">
      <c r="A86" s="7" t="s">
        <v>70</v>
      </c>
      <c r="B86" s="12" t="s">
        <v>20</v>
      </c>
      <c r="C86" s="10" t="s">
        <v>71</v>
      </c>
      <c r="D86" s="10"/>
    </row>
    <row r="87" spans="1:12">
      <c r="B87" s="12" t="s">
        <v>20</v>
      </c>
      <c r="C87" s="10" t="s">
        <v>72</v>
      </c>
      <c r="D87" s="10"/>
      <c r="G87" s="14" t="s">
        <v>73</v>
      </c>
      <c r="H87" s="14"/>
      <c r="I87" s="14"/>
      <c r="J87" s="14"/>
      <c r="K87" s="15"/>
      <c r="L87" s="15"/>
    </row>
    <row r="88" spans="1:12">
      <c r="B88" s="12" t="s">
        <v>20</v>
      </c>
      <c r="C88" s="2">
        <f>18/(2*$A$3*$C$41)</f>
        <v>1.3333333333333333</v>
      </c>
      <c r="D88" s="10"/>
    </row>
    <row r="89" spans="1:12">
      <c r="C89" s="10"/>
      <c r="D89" s="10"/>
    </row>
    <row r="90" spans="1:12">
      <c r="A90" s="4" t="s">
        <v>74</v>
      </c>
      <c r="C90" s="10"/>
      <c r="D90" s="10"/>
    </row>
    <row r="91" spans="1:12">
      <c r="A91" s="7" t="s">
        <v>75</v>
      </c>
      <c r="C91" s="10"/>
      <c r="D91" s="10"/>
    </row>
    <row r="92" spans="1:12">
      <c r="A92" s="7" t="s">
        <v>76</v>
      </c>
      <c r="B92" s="12" t="s">
        <v>20</v>
      </c>
      <c r="C92" s="10" t="s">
        <v>77</v>
      </c>
      <c r="D92" s="10"/>
    </row>
    <row r="93" spans="1:12">
      <c r="B93" s="12" t="s">
        <v>20</v>
      </c>
      <c r="C93" s="10" t="s">
        <v>78</v>
      </c>
      <c r="D93" s="10"/>
    </row>
    <row r="94" spans="1:12">
      <c r="B94" s="12" t="s">
        <v>20</v>
      </c>
      <c r="C94" s="13">
        <f>$A$7/(2*$C$83*$A$5)</f>
        <v>0.2410714285714286</v>
      </c>
      <c r="D94" s="10"/>
    </row>
    <row r="95" spans="1:12">
      <c r="C95" s="10"/>
      <c r="D95" s="10"/>
    </row>
    <row r="96" spans="1:12">
      <c r="A96" s="4" t="s">
        <v>79</v>
      </c>
      <c r="C96" s="10"/>
      <c r="D96" s="10"/>
    </row>
    <row r="97" spans="1:4">
      <c r="A97" s="7" t="s">
        <v>80</v>
      </c>
      <c r="C97" s="10"/>
      <c r="D97" s="10"/>
    </row>
    <row r="98" spans="1:4">
      <c r="A98" s="7" t="s">
        <v>81</v>
      </c>
      <c r="B98" s="12" t="s">
        <v>20</v>
      </c>
      <c r="C98" s="10" t="s">
        <v>82</v>
      </c>
      <c r="D98" s="10"/>
    </row>
    <row r="99" spans="1:4">
      <c r="B99" s="12" t="s">
        <v>20</v>
      </c>
      <c r="C99" s="10" t="s">
        <v>83</v>
      </c>
      <c r="D99" s="10"/>
    </row>
    <row r="100" spans="1:4">
      <c r="B100" s="12" t="s">
        <v>20</v>
      </c>
      <c r="C100" s="13">
        <f>$A$7/(2*$C$83*$D$3)</f>
        <v>0.31395348837209303</v>
      </c>
      <c r="D100" s="10"/>
    </row>
    <row r="101" spans="1:4">
      <c r="C101" s="10"/>
      <c r="D101" s="10"/>
    </row>
    <row r="102" spans="1:4">
      <c r="A102" s="4" t="s">
        <v>84</v>
      </c>
      <c r="C102" s="10"/>
      <c r="D102" s="10"/>
    </row>
    <row r="103" spans="1:4">
      <c r="A103" s="7" t="s">
        <v>85</v>
      </c>
      <c r="C103" s="10"/>
      <c r="D103" s="10"/>
    </row>
    <row r="104" spans="1:4">
      <c r="A104" s="7" t="s">
        <v>86</v>
      </c>
      <c r="B104" s="12" t="s">
        <v>20</v>
      </c>
      <c r="C104" s="10" t="s">
        <v>87</v>
      </c>
      <c r="D104" s="10"/>
    </row>
    <row r="105" spans="1:4">
      <c r="B105" s="12" t="s">
        <v>20</v>
      </c>
      <c r="C105" s="10" t="s">
        <v>88</v>
      </c>
      <c r="D105" s="10"/>
    </row>
    <row r="106" spans="1:4">
      <c r="B106" s="12" t="s">
        <v>20</v>
      </c>
      <c r="C106" s="2">
        <f>$D$7/$A$7</f>
        <v>3.1333333333333333</v>
      </c>
      <c r="D106" s="2" t="s">
        <v>11</v>
      </c>
    </row>
    <row r="107" spans="1:4">
      <c r="C107" s="10"/>
      <c r="D107" s="10"/>
    </row>
    <row r="108" spans="1:4">
      <c r="A108" s="4" t="s">
        <v>89</v>
      </c>
      <c r="C108" s="10"/>
      <c r="D108" s="10"/>
    </row>
    <row r="109" spans="1:4">
      <c r="A109" s="7" t="s">
        <v>90</v>
      </c>
      <c r="C109" s="10"/>
      <c r="D109" s="10"/>
    </row>
    <row r="110" spans="1:4">
      <c r="A110" s="7" t="s">
        <v>91</v>
      </c>
      <c r="B110" s="12" t="s">
        <v>20</v>
      </c>
      <c r="C110" s="10" t="s">
        <v>92</v>
      </c>
      <c r="D110" s="10"/>
    </row>
    <row r="111" spans="1:4">
      <c r="B111" s="12" t="s">
        <v>20</v>
      </c>
      <c r="C111" s="10" t="s">
        <v>93</v>
      </c>
      <c r="D111" s="10"/>
    </row>
    <row r="112" spans="1:4">
      <c r="B112" s="12" t="s">
        <v>20</v>
      </c>
      <c r="C112" s="2">
        <f>$C$106*SQRT($C$41)</f>
        <v>2.1019038988498022</v>
      </c>
      <c r="D112" s="2" t="s">
        <v>11</v>
      </c>
    </row>
    <row r="113" spans="1:4">
      <c r="C113" s="10"/>
      <c r="D113" s="10"/>
    </row>
    <row r="114" spans="1:4">
      <c r="A114" s="4" t="s">
        <v>94</v>
      </c>
      <c r="C114" s="10"/>
      <c r="D114" s="10"/>
    </row>
    <row r="115" spans="1:4">
      <c r="A115" s="7" t="s">
        <v>95</v>
      </c>
      <c r="C115" s="10"/>
      <c r="D115" s="10"/>
    </row>
    <row r="116" spans="1:4">
      <c r="A116" s="7" t="s">
        <v>96</v>
      </c>
      <c r="B116" s="12" t="s">
        <v>20</v>
      </c>
      <c r="C116" s="10" t="s">
        <v>97</v>
      </c>
      <c r="D116" s="10"/>
    </row>
    <row r="117" spans="1:4">
      <c r="B117" s="12" t="s">
        <v>20</v>
      </c>
      <c r="C117" s="10" t="s">
        <v>98</v>
      </c>
      <c r="D117" s="10"/>
    </row>
    <row r="118" spans="1:4">
      <c r="B118" s="12" t="s">
        <v>20</v>
      </c>
      <c r="C118" s="13">
        <f>$C$83*$A$5</f>
        <v>18.666666666666664</v>
      </c>
      <c r="D118" s="13" t="s">
        <v>4</v>
      </c>
    </row>
    <row r="119" spans="1:4">
      <c r="C119" s="11"/>
      <c r="D119" s="10"/>
    </row>
    <row r="120" spans="1:4">
      <c r="A120" s="4" t="s">
        <v>99</v>
      </c>
      <c r="C120" s="10"/>
      <c r="D120" s="10"/>
    </row>
    <row r="121" spans="1:4">
      <c r="A121" s="7" t="s">
        <v>100</v>
      </c>
      <c r="C121" s="10"/>
      <c r="D121" s="10"/>
    </row>
    <row r="122" spans="1:4">
      <c r="A122" s="7" t="s">
        <v>101</v>
      </c>
      <c r="B122" s="12" t="s">
        <v>20</v>
      </c>
      <c r="C122" s="10" t="s">
        <v>102</v>
      </c>
      <c r="D122" s="10"/>
    </row>
    <row r="123" spans="1:4">
      <c r="B123" s="12" t="s">
        <v>20</v>
      </c>
      <c r="C123" s="10" t="s">
        <v>103</v>
      </c>
      <c r="D123" s="10"/>
    </row>
    <row r="124" spans="1:4">
      <c r="B124" s="12" t="s">
        <v>20</v>
      </c>
      <c r="C124" s="11">
        <f>$C$35*0.9</f>
        <v>9</v>
      </c>
      <c r="D124" s="10" t="s">
        <v>24</v>
      </c>
    </row>
    <row r="125" spans="1:4">
      <c r="B125" s="12" t="s">
        <v>20</v>
      </c>
      <c r="C125" s="13">
        <f>$C$124/(1000000)</f>
        <v>9.0000000000000002E-6</v>
      </c>
      <c r="D125" s="2" t="s">
        <v>23</v>
      </c>
    </row>
    <row r="126" spans="1:4">
      <c r="B126" s="12"/>
      <c r="C126" s="10"/>
      <c r="D126" s="10"/>
    </row>
    <row r="127" spans="1:4">
      <c r="A127" s="4" t="s">
        <v>104</v>
      </c>
      <c r="C127" s="10"/>
      <c r="D127" s="10"/>
    </row>
    <row r="128" spans="1:4">
      <c r="A128" s="7" t="s">
        <v>105</v>
      </c>
      <c r="B128" s="12" t="s">
        <v>20</v>
      </c>
      <c r="C128" s="10" t="s">
        <v>106</v>
      </c>
      <c r="D128" s="10"/>
    </row>
    <row r="129" spans="1:4">
      <c r="B129" s="12" t="s">
        <v>20</v>
      </c>
      <c r="C129" s="10" t="s">
        <v>107</v>
      </c>
      <c r="D129" s="10"/>
    </row>
    <row r="130" spans="1:4">
      <c r="B130" s="12" t="s">
        <v>20</v>
      </c>
      <c r="C130" s="2">
        <f>0.15*$A$9</f>
        <v>0.44999999999999996</v>
      </c>
      <c r="D130" s="2" t="s">
        <v>11</v>
      </c>
    </row>
    <row r="131" spans="1:4">
      <c r="C131" s="10"/>
      <c r="D131" s="10"/>
    </row>
    <row r="132" spans="1:4">
      <c r="A132" s="4" t="s">
        <v>108</v>
      </c>
      <c r="C132" s="10"/>
      <c r="D132" s="10"/>
    </row>
    <row r="133" spans="1:4">
      <c r="A133" s="7" t="s">
        <v>109</v>
      </c>
      <c r="B133" s="12" t="s">
        <v>20</v>
      </c>
      <c r="C133" s="10" t="s">
        <v>110</v>
      </c>
      <c r="D133" s="10"/>
    </row>
    <row r="134" spans="1:4">
      <c r="B134" s="12" t="s">
        <v>20</v>
      </c>
      <c r="C134" s="10" t="s">
        <v>111</v>
      </c>
      <c r="D134" s="10"/>
    </row>
    <row r="135" spans="1:4">
      <c r="B135" s="12" t="s">
        <v>20</v>
      </c>
      <c r="C135" s="13">
        <f>($C$83*$D$3-$A$7)*($C$125/$C$130)</f>
        <v>1.0666666666666665E-4</v>
      </c>
      <c r="D135" s="2" t="s">
        <v>112</v>
      </c>
    </row>
    <row r="136" spans="1:4">
      <c r="C136" s="10"/>
      <c r="D136" s="10"/>
    </row>
    <row r="137" spans="1:4">
      <c r="A137" s="4" t="s">
        <v>113</v>
      </c>
      <c r="C137" s="10"/>
      <c r="D137" s="10"/>
    </row>
    <row r="138" spans="1:4">
      <c r="A138" s="7" t="s">
        <v>114</v>
      </c>
      <c r="C138" s="10"/>
      <c r="D138" s="10"/>
    </row>
    <row r="139" spans="1:4">
      <c r="A139" s="7" t="s">
        <v>115</v>
      </c>
      <c r="B139" s="12" t="s">
        <v>20</v>
      </c>
      <c r="C139" s="10" t="s">
        <v>116</v>
      </c>
      <c r="D139" s="10"/>
    </row>
    <row r="140" spans="1:4">
      <c r="B140" s="12" t="s">
        <v>20</v>
      </c>
      <c r="C140" s="10" t="s">
        <v>117</v>
      </c>
      <c r="D140" s="10"/>
    </row>
    <row r="141" spans="1:4">
      <c r="B141" s="12" t="s">
        <v>20</v>
      </c>
      <c r="C141" s="2">
        <f>$C$130/2</f>
        <v>0.22499999999999998</v>
      </c>
      <c r="D141" s="2" t="s">
        <v>11</v>
      </c>
    </row>
    <row r="142" spans="1:4">
      <c r="C142" s="10"/>
      <c r="D142" s="10"/>
    </row>
    <row r="143" spans="1:4">
      <c r="A143" s="4" t="s">
        <v>118</v>
      </c>
      <c r="C143" s="10"/>
      <c r="D143" s="10"/>
    </row>
    <row r="144" spans="1:4">
      <c r="A144" s="7" t="s">
        <v>119</v>
      </c>
      <c r="C144" s="10"/>
      <c r="D144" s="10"/>
    </row>
    <row r="145" spans="1:4">
      <c r="A145" s="7" t="s">
        <v>120</v>
      </c>
      <c r="B145" s="12" t="s">
        <v>20</v>
      </c>
      <c r="C145" s="10" t="s">
        <v>121</v>
      </c>
      <c r="D145" s="10"/>
    </row>
    <row r="146" spans="1:4">
      <c r="B146" s="12" t="s">
        <v>20</v>
      </c>
      <c r="C146" s="10" t="s">
        <v>122</v>
      </c>
      <c r="D146" s="10"/>
    </row>
    <row r="147" spans="1:4">
      <c r="B147" s="12" t="s">
        <v>20</v>
      </c>
      <c r="C147" s="2">
        <f>0.001*$A$7</f>
        <v>9.0000000000000011E-3</v>
      </c>
      <c r="D147" s="2" t="s">
        <v>4</v>
      </c>
    </row>
    <row r="148" spans="1:4">
      <c r="C148" s="10"/>
      <c r="D148" s="10"/>
    </row>
    <row r="149" spans="1:4">
      <c r="A149" s="4" t="s">
        <v>123</v>
      </c>
      <c r="C149" s="10"/>
      <c r="D149" s="10"/>
    </row>
    <row r="150" spans="1:4">
      <c r="A150" s="7" t="s">
        <v>124</v>
      </c>
      <c r="C150" s="10"/>
      <c r="D150" s="10"/>
    </row>
    <row r="151" spans="1:4">
      <c r="A151" s="7" t="s">
        <v>125</v>
      </c>
      <c r="B151" s="12" t="s">
        <v>20</v>
      </c>
      <c r="C151" s="10" t="s">
        <v>126</v>
      </c>
      <c r="D151" s="10"/>
    </row>
    <row r="152" spans="1:4">
      <c r="B152" s="12" t="s">
        <v>20</v>
      </c>
      <c r="C152" s="10" t="s">
        <v>127</v>
      </c>
      <c r="D152" s="10"/>
    </row>
    <row r="153" spans="1:4">
      <c r="B153" s="12" t="s">
        <v>20</v>
      </c>
      <c r="C153" s="13">
        <f>(1/8)*($C$130/$C$147)*$C$28</f>
        <v>1.2499999999999998E-4</v>
      </c>
      <c r="D153" s="2" t="s">
        <v>128</v>
      </c>
    </row>
    <row r="154" spans="1:4">
      <c r="C154" s="10"/>
      <c r="D154" s="10"/>
    </row>
    <row r="155" spans="1:4">
      <c r="A155" s="4" t="s">
        <v>129</v>
      </c>
      <c r="C155" s="10"/>
      <c r="D155" s="10"/>
    </row>
    <row r="156" spans="1:4">
      <c r="A156" s="7" t="s">
        <v>130</v>
      </c>
      <c r="C156" s="10"/>
      <c r="D156" s="10"/>
    </row>
    <row r="157" spans="1:4">
      <c r="A157" s="7" t="s">
        <v>131</v>
      </c>
      <c r="B157" s="12" t="s">
        <v>20</v>
      </c>
      <c r="C157" s="10" t="s">
        <v>132</v>
      </c>
      <c r="D157" s="10"/>
    </row>
    <row r="158" spans="1:4">
      <c r="B158" s="12" t="s">
        <v>20</v>
      </c>
      <c r="C158" s="10" t="s">
        <v>133</v>
      </c>
      <c r="D158" s="10"/>
    </row>
    <row r="159" spans="1:4">
      <c r="B159" s="12" t="s">
        <v>20</v>
      </c>
      <c r="C159" s="2">
        <f>$C$147/$C$130</f>
        <v>2.0000000000000004E-2</v>
      </c>
      <c r="D159" s="2" t="s">
        <v>134</v>
      </c>
    </row>
    <row r="160" spans="1:4">
      <c r="C160" s="10"/>
      <c r="D160" s="10"/>
    </row>
    <row r="161" spans="1:4">
      <c r="A161" s="4" t="s">
        <v>135</v>
      </c>
      <c r="C161" s="10"/>
      <c r="D161" s="10"/>
    </row>
    <row r="162" spans="1:4">
      <c r="A162" s="7" t="s">
        <v>136</v>
      </c>
      <c r="C162" s="10"/>
      <c r="D162" s="10"/>
    </row>
    <row r="163" spans="1:4">
      <c r="A163" s="7" t="s">
        <v>137</v>
      </c>
      <c r="B163" s="12" t="s">
        <v>20</v>
      </c>
      <c r="C163" s="10" t="s">
        <v>138</v>
      </c>
      <c r="D163" s="10"/>
    </row>
    <row r="164" spans="1:4">
      <c r="B164" s="12" t="s">
        <v>20</v>
      </c>
      <c r="C164" s="10" t="s">
        <v>139</v>
      </c>
      <c r="D164" s="10"/>
    </row>
    <row r="165" spans="1:4">
      <c r="B165" s="12" t="s">
        <v>20</v>
      </c>
      <c r="C165" s="2">
        <f>SQRT($C$65^2-$C$53^2)</f>
        <v>0.78333333333333277</v>
      </c>
      <c r="D165" s="2" t="s">
        <v>11</v>
      </c>
    </row>
    <row r="166" spans="1:4">
      <c r="C166" s="10"/>
      <c r="D166" s="10"/>
    </row>
    <row r="167" spans="1:4">
      <c r="A167" s="4" t="s">
        <v>140</v>
      </c>
      <c r="C167" s="10"/>
      <c r="D167" s="10"/>
    </row>
    <row r="168" spans="1:4">
      <c r="A168" s="7" t="s">
        <v>141</v>
      </c>
      <c r="C168" s="10"/>
      <c r="D168" s="10"/>
    </row>
    <row r="169" spans="1:4">
      <c r="A169" s="7" t="s">
        <v>142</v>
      </c>
      <c r="B169" s="12" t="s">
        <v>20</v>
      </c>
      <c r="C169" s="10" t="s">
        <v>143</v>
      </c>
      <c r="D169" s="10"/>
    </row>
    <row r="170" spans="1:4">
      <c r="B170" s="12" t="s">
        <v>20</v>
      </c>
      <c r="C170" s="10" t="s">
        <v>144</v>
      </c>
      <c r="D170" s="10"/>
    </row>
    <row r="171" spans="1:4">
      <c r="B171" s="12" t="s">
        <v>20</v>
      </c>
      <c r="C171" s="2">
        <f>0.001*$A$5</f>
        <v>2.8000000000000001E-2</v>
      </c>
      <c r="D171" s="2" t="s">
        <v>4</v>
      </c>
    </row>
    <row r="172" spans="1:4">
      <c r="C172" s="10"/>
      <c r="D172" s="10"/>
    </row>
    <row r="173" spans="1:4">
      <c r="A173" s="4" t="s">
        <v>145</v>
      </c>
      <c r="C173" s="10"/>
      <c r="D173" s="10"/>
    </row>
    <row r="174" spans="1:4">
      <c r="A174" s="7" t="s">
        <v>146</v>
      </c>
      <c r="C174" s="10"/>
      <c r="D174" s="10"/>
    </row>
    <row r="175" spans="1:4">
      <c r="A175" s="7" t="s">
        <v>147</v>
      </c>
      <c r="B175" s="12" t="s">
        <v>20</v>
      </c>
      <c r="C175" s="10" t="s">
        <v>148</v>
      </c>
      <c r="D175" s="10"/>
    </row>
    <row r="176" spans="1:4">
      <c r="B176" s="12" t="s">
        <v>20</v>
      </c>
      <c r="C176" s="10" t="s">
        <v>149</v>
      </c>
      <c r="D176" s="10"/>
    </row>
    <row r="177" spans="2:4">
      <c r="B177" s="12" t="s">
        <v>20</v>
      </c>
      <c r="C177" s="2">
        <f>$C$165*($C$124/$C$171)</f>
        <v>251.78571428571411</v>
      </c>
      <c r="D177" s="2" t="s">
        <v>128</v>
      </c>
    </row>
    <row r="178" spans="2:4">
      <c r="B178" s="12"/>
      <c r="C178" s="2"/>
      <c r="D178" s="2"/>
    </row>
    <row r="179" spans="2:4">
      <c r="B179" s="12"/>
      <c r="C179" s="2"/>
      <c r="D179" s="2"/>
    </row>
    <row r="180" spans="2:4">
      <c r="B180" s="12"/>
      <c r="C180" s="2"/>
      <c r="D180" s="2"/>
    </row>
    <row r="181" spans="2:4">
      <c r="B181" s="12"/>
      <c r="C181" s="2"/>
      <c r="D181" s="2"/>
    </row>
    <row r="182" spans="2:4">
      <c r="B182" s="12"/>
      <c r="C182" s="2"/>
      <c r="D182" s="2"/>
    </row>
    <row r="183" spans="2:4">
      <c r="B183" s="12"/>
      <c r="C183" s="2"/>
      <c r="D183" s="2"/>
    </row>
    <row r="184" spans="2:4">
      <c r="B184" s="12"/>
      <c r="C184" s="2"/>
      <c r="D184" s="2"/>
    </row>
    <row r="185" spans="2:4">
      <c r="B185" s="12"/>
      <c r="C185" s="2"/>
      <c r="D185" s="2"/>
    </row>
    <row r="186" spans="2:4">
      <c r="B186" s="12"/>
      <c r="C186" s="2"/>
      <c r="D186" s="2"/>
    </row>
    <row r="187" spans="2:4">
      <c r="B187" s="12"/>
      <c r="C187" s="2"/>
      <c r="D187" s="2"/>
    </row>
    <row r="188" spans="2:4">
      <c r="B188" s="12"/>
      <c r="C188" s="2"/>
      <c r="D188" s="2"/>
    </row>
    <row r="189" spans="2:4">
      <c r="B189" s="12"/>
      <c r="C189" s="2"/>
      <c r="D189" s="2"/>
    </row>
    <row r="190" spans="2:4">
      <c r="B190" s="12"/>
      <c r="C190" s="2"/>
      <c r="D190" s="2"/>
    </row>
    <row r="191" spans="2:4">
      <c r="B191" s="12"/>
      <c r="C191" s="2"/>
      <c r="D191" s="2"/>
    </row>
    <row r="192" spans="2:4">
      <c r="B192" s="12"/>
      <c r="C192" s="2"/>
      <c r="D192" s="2"/>
    </row>
    <row r="193" spans="2:4">
      <c r="B193" s="12"/>
      <c r="C193" s="2"/>
      <c r="D193" s="2"/>
    </row>
    <row r="194" spans="2:4">
      <c r="B194" s="12"/>
      <c r="C194" s="2"/>
      <c r="D194" s="2"/>
    </row>
    <row r="195" spans="2:4">
      <c r="B195" s="12"/>
      <c r="C195" s="2"/>
      <c r="D195" s="2"/>
    </row>
    <row r="196" spans="2:4">
      <c r="B196" s="12"/>
      <c r="C196" s="2"/>
      <c r="D196" s="2"/>
    </row>
    <row r="197" spans="2:4">
      <c r="B197" s="12"/>
      <c r="C197" s="2"/>
      <c r="D197" s="2"/>
    </row>
    <row r="198" spans="2:4">
      <c r="B198" s="12"/>
      <c r="C198" s="2"/>
      <c r="D198" s="2"/>
    </row>
    <row r="199" spans="2:4">
      <c r="B199" s="12"/>
      <c r="C199" s="2"/>
      <c r="D199" s="2"/>
    </row>
    <row r="200" spans="2:4">
      <c r="B200" s="12"/>
      <c r="C200" s="2"/>
      <c r="D200" s="2"/>
    </row>
    <row r="201" spans="2:4">
      <c r="B201" s="12"/>
      <c r="C201" s="2"/>
      <c r="D201" s="2"/>
    </row>
    <row r="202" spans="2:4">
      <c r="B202" s="12"/>
      <c r="C202" s="2"/>
      <c r="D202" s="2"/>
    </row>
    <row r="203" spans="2:4">
      <c r="B203" s="12"/>
      <c r="C203" s="2"/>
      <c r="D203" s="2"/>
    </row>
    <row r="204" spans="2:4">
      <c r="B204" s="12"/>
      <c r="C204" s="2"/>
      <c r="D204" s="2"/>
    </row>
    <row r="205" spans="2:4">
      <c r="B205" s="12"/>
      <c r="C205" s="2"/>
      <c r="D205" s="2"/>
    </row>
    <row r="206" spans="2:4">
      <c r="B206" s="12"/>
      <c r="C206" s="2"/>
      <c r="D206" s="2"/>
    </row>
    <row r="207" spans="2:4">
      <c r="B207" s="12"/>
      <c r="C207" s="2"/>
      <c r="D207" s="2"/>
    </row>
    <row r="208" spans="2:4">
      <c r="B208" s="12"/>
      <c r="C208" s="2"/>
      <c r="D208" s="2"/>
    </row>
    <row r="209" spans="1:4">
      <c r="B209" s="12"/>
      <c r="C209" s="2"/>
      <c r="D209" s="2"/>
    </row>
    <row r="210" spans="1:4">
      <c r="B210" s="12"/>
      <c r="C210" s="2"/>
      <c r="D210" s="2"/>
    </row>
    <row r="211" spans="1:4">
      <c r="B211" s="12"/>
      <c r="C211" s="2"/>
      <c r="D211" s="2"/>
    </row>
    <row r="212" spans="1:4">
      <c r="B212" s="12"/>
      <c r="C212" s="2"/>
      <c r="D212" s="2"/>
    </row>
    <row r="213" spans="1:4">
      <c r="B213" s="12"/>
      <c r="C213" s="2"/>
      <c r="D213" s="2"/>
    </row>
    <row r="214" spans="1:4">
      <c r="A214" s="30" t="s">
        <v>150</v>
      </c>
      <c r="B214" s="31"/>
      <c r="C214" s="32"/>
      <c r="D214" s="10"/>
    </row>
    <row r="215" spans="1:4">
      <c r="A215" s="16" t="s">
        <v>151</v>
      </c>
      <c r="B215" s="17"/>
      <c r="C215" s="10"/>
      <c r="D215" s="10"/>
    </row>
    <row r="216" spans="1:4">
      <c r="A216" s="7" t="s">
        <v>152</v>
      </c>
      <c r="C216" s="10"/>
      <c r="D216" s="10"/>
    </row>
    <row r="217" spans="1:4">
      <c r="A217" s="7" t="s">
        <v>153</v>
      </c>
      <c r="C217" s="10"/>
      <c r="D217" s="10"/>
    </row>
    <row r="218" spans="1:4">
      <c r="A218" s="5" t="s">
        <v>154</v>
      </c>
      <c r="B218" s="5">
        <v>4</v>
      </c>
      <c r="C218" s="10"/>
      <c r="D218" s="10"/>
    </row>
    <row r="219" spans="1:4">
      <c r="A219" s="10" t="s">
        <v>155</v>
      </c>
      <c r="C219" s="10"/>
      <c r="D219" s="10"/>
    </row>
    <row r="220" spans="1:4">
      <c r="A220" s="5" t="s">
        <v>277</v>
      </c>
      <c r="B220" s="5">
        <v>0.05</v>
      </c>
      <c r="C220" s="10" t="s">
        <v>19</v>
      </c>
      <c r="D220" s="10"/>
    </row>
    <row r="221" spans="1:4">
      <c r="A221" s="10" t="s">
        <v>156</v>
      </c>
      <c r="C221" s="10"/>
      <c r="D221" s="10"/>
    </row>
    <row r="222" spans="1:4">
      <c r="A222" s="5" t="s">
        <v>157</v>
      </c>
      <c r="B222" s="5">
        <v>5.0000000000000001E-4</v>
      </c>
      <c r="C222" s="10"/>
      <c r="D222" s="10"/>
    </row>
    <row r="223" spans="1:4">
      <c r="A223" s="10" t="s">
        <v>158</v>
      </c>
      <c r="C223" s="10"/>
      <c r="D223" s="10"/>
    </row>
    <row r="224" spans="1:4">
      <c r="A224" s="5" t="s">
        <v>278</v>
      </c>
      <c r="B224" s="5">
        <f>173*(0.000001)</f>
        <v>1.73E-4</v>
      </c>
      <c r="C224" s="10" t="s">
        <v>279</v>
      </c>
      <c r="D224" s="10"/>
    </row>
    <row r="225" spans="1:4">
      <c r="A225" s="10" t="s">
        <v>159</v>
      </c>
      <c r="C225" s="10"/>
      <c r="D225" s="10"/>
    </row>
    <row r="226" spans="1:4">
      <c r="A226" s="5" t="s">
        <v>160</v>
      </c>
      <c r="B226" s="5">
        <f>PI()*15.2</f>
        <v>47.752208334564855</v>
      </c>
      <c r="C226" s="10"/>
      <c r="D226" s="10"/>
    </row>
    <row r="227" spans="1:4">
      <c r="A227" s="5" t="s">
        <v>161</v>
      </c>
      <c r="B227" s="5">
        <v>0.2</v>
      </c>
      <c r="C227" s="10"/>
      <c r="D227" s="10"/>
    </row>
    <row r="228" spans="1:4">
      <c r="A228" s="10" t="s">
        <v>162</v>
      </c>
      <c r="B228" s="5">
        <v>0.98</v>
      </c>
      <c r="C228" s="10"/>
      <c r="D228" s="10"/>
    </row>
    <row r="229" spans="1:4">
      <c r="B229" s="7"/>
      <c r="C229" s="10"/>
      <c r="D229" s="10"/>
    </row>
    <row r="230" spans="1:4">
      <c r="A230" s="4" t="s">
        <v>163</v>
      </c>
      <c r="C230" s="10"/>
      <c r="D230" s="10"/>
    </row>
    <row r="231" spans="1:4">
      <c r="A231" s="7" t="s">
        <v>164</v>
      </c>
      <c r="C231" s="10"/>
      <c r="D231" s="10"/>
    </row>
    <row r="232" spans="1:4">
      <c r="A232" s="7" t="s">
        <v>280</v>
      </c>
      <c r="B232" s="5" t="s">
        <v>20</v>
      </c>
      <c r="C232" s="10" t="s">
        <v>281</v>
      </c>
      <c r="D232" s="10"/>
    </row>
    <row r="233" spans="1:4">
      <c r="B233" s="5" t="s">
        <v>20</v>
      </c>
      <c r="C233" s="10" t="s">
        <v>165</v>
      </c>
      <c r="D233" s="10"/>
    </row>
    <row r="234" spans="1:4">
      <c r="B234" s="5" t="s">
        <v>20</v>
      </c>
      <c r="C234" s="2">
        <f>((1/B228)+1)*A$7*A$9</f>
        <v>54.551020408163254</v>
      </c>
      <c r="D234" s="2" t="s">
        <v>7</v>
      </c>
    </row>
    <row r="235" spans="1:4">
      <c r="C235" s="10"/>
      <c r="D235" s="10"/>
    </row>
    <row r="236" spans="1:4">
      <c r="A236" s="4" t="s">
        <v>166</v>
      </c>
      <c r="C236" s="10"/>
      <c r="D236" s="10"/>
    </row>
    <row r="237" spans="1:4">
      <c r="A237" s="10" t="s">
        <v>167</v>
      </c>
      <c r="C237" s="10"/>
      <c r="D237" s="10"/>
    </row>
    <row r="238" spans="1:4">
      <c r="A238" s="7" t="s">
        <v>282</v>
      </c>
      <c r="B238" s="5" t="s">
        <v>20</v>
      </c>
      <c r="C238" s="10" t="s">
        <v>283</v>
      </c>
      <c r="D238" s="10"/>
    </row>
    <row r="239" spans="1:4">
      <c r="B239" s="5" t="s">
        <v>20</v>
      </c>
      <c r="C239" s="10" t="s">
        <v>284</v>
      </c>
      <c r="D239" s="10"/>
    </row>
    <row r="240" spans="1:4">
      <c r="B240" s="5" t="s">
        <v>20</v>
      </c>
      <c r="C240" s="2">
        <f>0.145*(B$218^2)*(A$17^2)*(B$220^2)*(0.0001)</f>
        <v>1450.0000000000005</v>
      </c>
      <c r="D240" s="2"/>
    </row>
    <row r="241" spans="1:4">
      <c r="C241" s="10"/>
      <c r="D241" s="10"/>
    </row>
    <row r="242" spans="1:4">
      <c r="C242" s="10"/>
      <c r="D242" s="10"/>
    </row>
    <row r="243" spans="1:4">
      <c r="A243" s="4" t="s">
        <v>168</v>
      </c>
      <c r="C243" s="10"/>
      <c r="D243" s="10"/>
    </row>
    <row r="244" spans="1:4">
      <c r="A244" s="7" t="s">
        <v>169</v>
      </c>
      <c r="C244" s="10"/>
      <c r="D244" s="10"/>
    </row>
    <row r="245" spans="1:4">
      <c r="A245" s="7" t="s">
        <v>285</v>
      </c>
      <c r="B245" s="5" t="s">
        <v>20</v>
      </c>
      <c r="C245" s="10" t="s">
        <v>170</v>
      </c>
      <c r="D245" s="10"/>
    </row>
    <row r="246" spans="1:4">
      <c r="B246" s="5" t="s">
        <v>20</v>
      </c>
      <c r="C246" s="10" t="s">
        <v>171</v>
      </c>
      <c r="D246" s="10"/>
    </row>
    <row r="247" spans="1:4">
      <c r="B247" s="5" t="s">
        <v>20</v>
      </c>
      <c r="C247" s="10">
        <f>C$234/(2*C$240*B$222)</f>
        <v>37.621393384940163</v>
      </c>
      <c r="D247" s="10" t="s">
        <v>286</v>
      </c>
    </row>
    <row r="248" spans="1:4">
      <c r="B248" s="5" t="s">
        <v>20</v>
      </c>
      <c r="C248" s="2">
        <f>$C$247/1000</f>
        <v>3.7621393384940166E-2</v>
      </c>
      <c r="D248" s="2" t="s">
        <v>287</v>
      </c>
    </row>
    <row r="249" spans="1:4">
      <c r="C249" s="10"/>
      <c r="D249" s="10"/>
    </row>
    <row r="250" spans="1:4">
      <c r="A250" s="4" t="s">
        <v>172</v>
      </c>
      <c r="C250" s="10"/>
      <c r="D250" s="10"/>
    </row>
    <row r="251" spans="1:4">
      <c r="A251" s="7" t="s">
        <v>173</v>
      </c>
      <c r="C251" s="10"/>
      <c r="D251" s="10"/>
    </row>
    <row r="252" spans="1:4">
      <c r="A252" s="7" t="s">
        <v>288</v>
      </c>
      <c r="B252" s="5" t="s">
        <v>20</v>
      </c>
      <c r="C252" s="10" t="s">
        <v>174</v>
      </c>
      <c r="D252" s="10"/>
    </row>
    <row r="253" spans="1:4">
      <c r="B253" s="5" t="s">
        <v>20</v>
      </c>
      <c r="C253" s="2">
        <f>A$3*C$41*C$28/(B$227*B$224)</f>
        <v>3.9017341040462425</v>
      </c>
      <c r="D253" s="2" t="s">
        <v>175</v>
      </c>
    </row>
    <row r="254" spans="1:4">
      <c r="C254" s="2"/>
      <c r="D254" s="2"/>
    </row>
    <row r="255" spans="1:4">
      <c r="A255" s="4" t="s">
        <v>176</v>
      </c>
      <c r="C255" s="10"/>
      <c r="D255" s="10"/>
    </row>
    <row r="256" spans="1:4">
      <c r="A256" s="7" t="s">
        <v>177</v>
      </c>
      <c r="C256" s="10"/>
      <c r="D256" s="10"/>
    </row>
    <row r="257" spans="1:8">
      <c r="A257" s="7" t="s">
        <v>289</v>
      </c>
      <c r="B257" s="5" t="s">
        <v>20</v>
      </c>
      <c r="C257" s="10" t="s">
        <v>290</v>
      </c>
      <c r="D257" s="10"/>
    </row>
    <row r="258" spans="1:8">
      <c r="B258" s="5" t="s">
        <v>20</v>
      </c>
      <c r="C258" s="2">
        <f>C$83*C$253</f>
        <v>2.6011560693641615</v>
      </c>
      <c r="D258" s="2" t="s">
        <v>175</v>
      </c>
    </row>
    <row r="259" spans="1:8">
      <c r="C259" s="10"/>
      <c r="D259" s="10"/>
    </row>
    <row r="260" spans="1:8">
      <c r="A260" s="7" t="s">
        <v>178</v>
      </c>
      <c r="C260" s="10"/>
      <c r="D260" s="10"/>
    </row>
    <row r="261" spans="1:8">
      <c r="A261" s="7" t="s">
        <v>291</v>
      </c>
      <c r="B261" s="5" t="s">
        <v>20</v>
      </c>
      <c r="C261" s="10" t="s">
        <v>292</v>
      </c>
      <c r="D261" s="10"/>
    </row>
    <row r="262" spans="1:8">
      <c r="B262" s="5" t="s">
        <v>20</v>
      </c>
      <c r="C262" s="2">
        <f>C$88*C$253</f>
        <v>5.2023121387283231</v>
      </c>
      <c r="D262" s="2" t="s">
        <v>175</v>
      </c>
    </row>
    <row r="263" spans="1:8">
      <c r="A263" s="23" t="s">
        <v>179</v>
      </c>
      <c r="B263" s="24"/>
      <c r="C263" s="25"/>
      <c r="D263" s="25"/>
      <c r="E263" s="23"/>
      <c r="F263" s="23"/>
      <c r="G263" s="23"/>
      <c r="H263" s="23"/>
    </row>
    <row r="264" spans="1:8">
      <c r="A264" s="23" t="s">
        <v>180</v>
      </c>
      <c r="B264" s="24"/>
      <c r="C264" s="25"/>
      <c r="D264" s="25"/>
      <c r="E264" s="23"/>
      <c r="F264" s="23"/>
      <c r="G264" s="23"/>
      <c r="H264" s="23"/>
    </row>
    <row r="265" spans="1:8">
      <c r="A265" s="23"/>
      <c r="B265" s="24"/>
      <c r="C265" s="25"/>
      <c r="D265" s="25"/>
      <c r="E265" s="23"/>
      <c r="F265" s="23"/>
      <c r="G265" s="23"/>
      <c r="H265" s="23"/>
    </row>
    <row r="266" spans="1:8">
      <c r="A266" s="26" t="s">
        <v>181</v>
      </c>
      <c r="B266" s="24"/>
      <c r="C266" s="25"/>
      <c r="D266" s="25"/>
      <c r="E266" s="23"/>
      <c r="F266" s="23"/>
      <c r="G266" s="23"/>
      <c r="H266" s="23"/>
    </row>
    <row r="267" spans="1:8">
      <c r="A267" s="25" t="s">
        <v>182</v>
      </c>
      <c r="B267" s="24"/>
      <c r="C267" s="25"/>
      <c r="D267" s="25"/>
      <c r="E267" s="23"/>
      <c r="F267" s="23"/>
      <c r="G267" s="23"/>
      <c r="H267" s="23"/>
    </row>
    <row r="268" spans="1:8">
      <c r="A268" s="23" t="s">
        <v>183</v>
      </c>
      <c r="B268" s="27" t="s">
        <v>20</v>
      </c>
      <c r="C268" s="25" t="s">
        <v>184</v>
      </c>
      <c r="D268" s="25"/>
      <c r="E268" s="23"/>
      <c r="F268" s="23"/>
      <c r="G268" s="23"/>
      <c r="H268" s="23"/>
    </row>
    <row r="269" spans="1:8">
      <c r="A269" s="25"/>
      <c r="B269" s="24" t="s">
        <v>20</v>
      </c>
      <c r="C269" s="25" t="s">
        <v>185</v>
      </c>
      <c r="D269" s="25"/>
      <c r="E269" s="23"/>
      <c r="F269" s="23"/>
      <c r="G269" s="23"/>
      <c r="H269" s="23"/>
    </row>
    <row r="270" spans="1:8">
      <c r="A270" s="23"/>
      <c r="B270" s="24" t="s">
        <v>20</v>
      </c>
      <c r="C270" s="28">
        <f>2*6.62/SQRT($A$17)</f>
        <v>5.9211080044194432E-2</v>
      </c>
      <c r="D270" s="28" t="s">
        <v>186</v>
      </c>
      <c r="E270" s="23"/>
      <c r="F270" s="25"/>
      <c r="G270" s="23"/>
      <c r="H270" s="23"/>
    </row>
    <row r="271" spans="1:8">
      <c r="A271" s="23" t="s">
        <v>187</v>
      </c>
      <c r="B271" s="24"/>
      <c r="C271" s="29"/>
      <c r="D271" s="28"/>
      <c r="E271" s="23"/>
      <c r="F271" s="25"/>
      <c r="G271" s="23"/>
      <c r="H271" s="23"/>
    </row>
    <row r="272" spans="1:8">
      <c r="A272" s="23"/>
      <c r="B272" s="24"/>
      <c r="C272" s="29"/>
      <c r="D272" s="28"/>
      <c r="E272" s="23"/>
      <c r="F272" s="25"/>
      <c r="G272" s="23"/>
      <c r="H272" s="23"/>
    </row>
    <row r="273" spans="1:11">
      <c r="A273" s="26" t="s">
        <v>188</v>
      </c>
      <c r="B273" s="24"/>
      <c r="C273" s="25"/>
      <c r="D273" s="25"/>
      <c r="E273" s="23"/>
      <c r="F273" s="23"/>
      <c r="G273" s="23"/>
      <c r="H273" s="23"/>
    </row>
    <row r="274" spans="1:11">
      <c r="A274" s="23" t="s">
        <v>189</v>
      </c>
      <c r="B274" s="24"/>
      <c r="C274" s="25"/>
      <c r="D274" s="25"/>
      <c r="E274" s="23"/>
      <c r="F274" s="23"/>
      <c r="G274" s="27"/>
      <c r="H274" s="23"/>
    </row>
    <row r="275" spans="1:11">
      <c r="A275" s="23" t="s">
        <v>293</v>
      </c>
      <c r="B275" s="27" t="s">
        <v>20</v>
      </c>
      <c r="C275" s="25" t="s">
        <v>294</v>
      </c>
      <c r="D275" s="25"/>
      <c r="E275" s="23"/>
      <c r="F275" s="23"/>
      <c r="G275" s="23"/>
      <c r="H275" s="23"/>
    </row>
    <row r="276" spans="1:11">
      <c r="A276" s="23"/>
      <c r="B276" s="27" t="s">
        <v>20</v>
      </c>
      <c r="C276" s="28">
        <f>PI()*(C$270^2)/4</f>
        <v>2.7535682617596106E-3</v>
      </c>
      <c r="D276" s="28" t="s">
        <v>287</v>
      </c>
      <c r="E276" s="23"/>
      <c r="F276" s="23"/>
      <c r="G276" s="23"/>
      <c r="H276" s="23"/>
    </row>
    <row r="277" spans="1:11">
      <c r="A277" s="23"/>
      <c r="B277" s="27"/>
      <c r="C277" s="25"/>
      <c r="D277" s="25"/>
      <c r="E277" s="23"/>
      <c r="F277" s="23"/>
      <c r="G277" s="23"/>
      <c r="H277" s="23"/>
    </row>
    <row r="278" spans="1:11">
      <c r="A278" s="23" t="s">
        <v>295</v>
      </c>
      <c r="B278" s="24" t="s">
        <v>20</v>
      </c>
      <c r="C278" s="25" t="s">
        <v>296</v>
      </c>
      <c r="D278" s="25"/>
      <c r="E278" s="23"/>
      <c r="F278" s="23"/>
      <c r="G278" s="23"/>
      <c r="H278" s="23"/>
    </row>
    <row r="279" spans="1:11">
      <c r="A279" s="23"/>
      <c r="B279" s="24" t="s">
        <v>20</v>
      </c>
      <c r="C279" s="28">
        <f>PI()*(0.09^2)/4</f>
        <v>6.3617251235193305E-3</v>
      </c>
      <c r="D279" s="28" t="s">
        <v>287</v>
      </c>
      <c r="E279" s="23"/>
      <c r="F279" s="23"/>
      <c r="G279" s="23"/>
      <c r="H279" s="23"/>
    </row>
    <row r="280" spans="1:11">
      <c r="A280" s="23"/>
      <c r="B280" s="24"/>
      <c r="C280" s="28"/>
      <c r="D280" s="28"/>
      <c r="E280" s="23"/>
      <c r="F280" s="23"/>
      <c r="G280" s="23"/>
      <c r="H280" s="23"/>
    </row>
    <row r="281" spans="1:11">
      <c r="A281" s="23" t="s">
        <v>190</v>
      </c>
      <c r="B281" s="24"/>
      <c r="C281" s="25"/>
      <c r="D281" s="25"/>
      <c r="E281" s="23"/>
      <c r="F281" s="23"/>
      <c r="G281" s="23"/>
      <c r="H281" s="23"/>
    </row>
    <row r="282" spans="1:11">
      <c r="A282" s="23" t="s">
        <v>191</v>
      </c>
      <c r="B282" s="24" t="s">
        <v>20</v>
      </c>
      <c r="C282" s="25">
        <v>500</v>
      </c>
      <c r="D282" s="25" t="s">
        <v>297</v>
      </c>
      <c r="E282" s="23"/>
      <c r="F282" s="23"/>
      <c r="G282" s="23"/>
      <c r="H282" s="23"/>
    </row>
    <row r="283" spans="1:11">
      <c r="A283" s="23"/>
      <c r="B283" s="24"/>
      <c r="C283" s="25"/>
      <c r="D283" s="25"/>
      <c r="E283" s="23"/>
      <c r="F283" s="23"/>
      <c r="G283" s="23"/>
      <c r="H283" s="23"/>
    </row>
    <row r="284" spans="1:11">
      <c r="A284" s="23"/>
      <c r="B284" s="24"/>
      <c r="C284" s="25"/>
      <c r="D284" s="25"/>
      <c r="E284" s="23"/>
      <c r="F284" s="23"/>
      <c r="G284" s="23"/>
      <c r="H284" s="23"/>
    </row>
    <row r="285" spans="1:11">
      <c r="A285" s="26" t="s">
        <v>192</v>
      </c>
      <c r="B285" s="24"/>
      <c r="C285" s="25"/>
      <c r="D285" s="25"/>
      <c r="E285" s="23"/>
      <c r="F285" s="23"/>
      <c r="G285" s="23"/>
      <c r="H285" s="23"/>
    </row>
    <row r="286" spans="1:11">
      <c r="A286" s="23" t="s">
        <v>298</v>
      </c>
      <c r="B286" s="24" t="s">
        <v>20</v>
      </c>
      <c r="C286" s="25" t="s">
        <v>193</v>
      </c>
      <c r="D286" s="25"/>
      <c r="E286" s="23"/>
      <c r="F286" s="23"/>
      <c r="G286" s="23"/>
      <c r="H286" s="23"/>
    </row>
    <row r="287" spans="1:11">
      <c r="A287" s="23"/>
      <c r="B287" s="24" t="s">
        <v>20</v>
      </c>
      <c r="C287" s="25" t="s">
        <v>194</v>
      </c>
      <c r="D287" s="25"/>
      <c r="E287" s="23"/>
      <c r="F287" s="23"/>
      <c r="G287" s="23"/>
      <c r="H287" s="23"/>
    </row>
    <row r="288" spans="1:11">
      <c r="A288" s="23"/>
      <c r="B288" s="24" t="s">
        <v>20</v>
      </c>
      <c r="C288" s="28">
        <f>C53/C282</f>
        <v>4.7000000000000002E-3</v>
      </c>
      <c r="D288" s="28" t="s">
        <v>287</v>
      </c>
      <c r="E288" s="23"/>
      <c r="F288" s="23"/>
      <c r="G288" s="23"/>
      <c r="H288" s="23"/>
      <c r="K288" s="19"/>
    </row>
    <row r="289" spans="1:11">
      <c r="B289" s="3"/>
      <c r="C289" s="2"/>
      <c r="D289" s="10"/>
      <c r="K289" s="19"/>
    </row>
    <row r="290" spans="1:11">
      <c r="A290" s="4" t="s">
        <v>195</v>
      </c>
      <c r="B290" s="3"/>
      <c r="C290" s="2"/>
      <c r="D290" s="10"/>
    </row>
    <row r="291" spans="1:11">
      <c r="A291" s="7" t="s">
        <v>196</v>
      </c>
      <c r="C291" s="10"/>
      <c r="D291" s="10"/>
    </row>
    <row r="292" spans="1:11">
      <c r="A292" s="7" t="s">
        <v>299</v>
      </c>
      <c r="B292" s="5" t="str">
        <f>$B$293</f>
        <v>=</v>
      </c>
      <c r="C292" s="10" t="s">
        <v>300</v>
      </c>
      <c r="D292" s="10"/>
    </row>
    <row r="293" spans="1:11">
      <c r="B293" s="5" t="s">
        <v>20</v>
      </c>
      <c r="C293" s="2">
        <f>C288/C279</f>
        <v>0.73879331608089693</v>
      </c>
      <c r="D293" s="10"/>
    </row>
    <row r="294" spans="1:11">
      <c r="C294" s="10"/>
      <c r="D294" s="10"/>
    </row>
    <row r="295" spans="1:11">
      <c r="A295" s="4" t="s">
        <v>197</v>
      </c>
      <c r="C295" s="10"/>
      <c r="D295" s="10"/>
    </row>
    <row r="296" spans="1:11">
      <c r="A296" s="7" t="s">
        <v>198</v>
      </c>
      <c r="C296" s="10"/>
      <c r="D296" s="10"/>
    </row>
    <row r="297" spans="1:11">
      <c r="A297" s="7" t="s">
        <v>301</v>
      </c>
      <c r="B297" s="5" t="s">
        <v>20</v>
      </c>
      <c r="C297" s="10" t="s">
        <v>199</v>
      </c>
      <c r="D297" s="10"/>
    </row>
    <row r="298" spans="1:11">
      <c r="B298" s="5" t="s">
        <v>20</v>
      </c>
      <c r="C298" s="10" t="s">
        <v>200</v>
      </c>
      <c r="D298" s="10"/>
    </row>
    <row r="299" spans="1:11">
      <c r="B299" s="5" t="s">
        <v>20</v>
      </c>
      <c r="C299" s="2">
        <f>A9/C282</f>
        <v>6.0000000000000001E-3</v>
      </c>
      <c r="D299" s="2" t="s">
        <v>302</v>
      </c>
    </row>
    <row r="300" spans="1:11">
      <c r="C300" s="10"/>
      <c r="D300" s="10"/>
    </row>
    <row r="301" spans="1:11">
      <c r="A301" s="4" t="s">
        <v>201</v>
      </c>
      <c r="C301" s="10"/>
      <c r="D301" s="10"/>
    </row>
    <row r="302" spans="1:11">
      <c r="A302" s="7" t="s">
        <v>202</v>
      </c>
      <c r="C302" s="10"/>
      <c r="D302" s="10"/>
    </row>
    <row r="303" spans="1:11">
      <c r="A303" s="7" t="s">
        <v>303</v>
      </c>
      <c r="B303" s="5" t="s">
        <v>20</v>
      </c>
      <c r="C303" s="10" t="s">
        <v>304</v>
      </c>
      <c r="D303" s="10"/>
    </row>
    <row r="304" spans="1:11">
      <c r="B304" s="5" t="s">
        <v>20</v>
      </c>
      <c r="C304" s="2">
        <f>C299/C279</f>
        <v>0.94314040350752804</v>
      </c>
      <c r="D304" s="10"/>
    </row>
    <row r="305" spans="1:7">
      <c r="C305" s="2"/>
      <c r="D305" s="10"/>
    </row>
    <row r="306" spans="1:7">
      <c r="A306" s="4" t="s">
        <v>203</v>
      </c>
      <c r="C306" s="10"/>
      <c r="D306" s="10"/>
    </row>
    <row r="307" spans="1:7">
      <c r="A307" s="10" t="s">
        <v>204</v>
      </c>
      <c r="C307" s="10"/>
      <c r="D307" s="10"/>
      <c r="E307" s="8"/>
      <c r="F307" s="8"/>
      <c r="G307" s="8"/>
    </row>
    <row r="308" spans="1:7">
      <c r="A308" s="10"/>
      <c r="B308" s="12" t="s">
        <v>20</v>
      </c>
      <c r="C308" s="7">
        <v>1.6779999999999999E-8</v>
      </c>
      <c r="D308" s="5" t="s">
        <v>205</v>
      </c>
      <c r="E308" s="12"/>
      <c r="G308" s="5"/>
    </row>
    <row r="309" spans="1:7">
      <c r="A309" s="9"/>
      <c r="C309" s="10"/>
      <c r="D309" s="10"/>
    </row>
    <row r="310" spans="1:7">
      <c r="A310" s="7" t="s">
        <v>206</v>
      </c>
      <c r="C310" s="10"/>
      <c r="D310" s="10"/>
    </row>
    <row r="311" spans="1:7">
      <c r="A311" s="7" t="s">
        <v>207</v>
      </c>
      <c r="B311" s="5" t="s">
        <v>20</v>
      </c>
      <c r="C311" s="10">
        <f>C308*(0.01)/(PI()*(0.08*(0.01)/2)^2)</f>
        <v>3.3382749313525044E-4</v>
      </c>
      <c r="D311" s="10" t="s">
        <v>134</v>
      </c>
    </row>
    <row r="312" spans="1:7">
      <c r="C312" s="10"/>
      <c r="D312" s="10"/>
    </row>
    <row r="313" spans="1:7">
      <c r="A313" s="7" t="s">
        <v>208</v>
      </c>
      <c r="C313" s="10"/>
      <c r="D313" s="10"/>
    </row>
    <row r="314" spans="1:7">
      <c r="A314" s="7" t="s">
        <v>305</v>
      </c>
      <c r="B314" s="5" t="s">
        <v>20</v>
      </c>
      <c r="C314" s="10" t="s">
        <v>209</v>
      </c>
      <c r="D314" s="10"/>
    </row>
    <row r="315" spans="1:7">
      <c r="B315" s="5" t="s">
        <v>20</v>
      </c>
      <c r="C315" s="2">
        <f>C311/C293</f>
        <v>4.5185505319148927E-4</v>
      </c>
      <c r="D315" s="2" t="s">
        <v>205</v>
      </c>
    </row>
    <row r="316" spans="1:7">
      <c r="C316" s="10"/>
      <c r="D316" s="10"/>
    </row>
    <row r="317" spans="1:7">
      <c r="A317" s="4" t="s">
        <v>210</v>
      </c>
      <c r="C317" s="10"/>
      <c r="D317" s="10"/>
    </row>
    <row r="318" spans="1:7">
      <c r="A318" s="7" t="s">
        <v>211</v>
      </c>
      <c r="C318" s="10"/>
      <c r="D318" s="10"/>
    </row>
    <row r="319" spans="1:7">
      <c r="A319" s="7" t="s">
        <v>306</v>
      </c>
      <c r="B319" s="5" t="s">
        <v>20</v>
      </c>
      <c r="C319" s="10" t="s">
        <v>212</v>
      </c>
      <c r="D319" s="10"/>
    </row>
    <row r="320" spans="1:7">
      <c r="B320" s="5" t="s">
        <v>20</v>
      </c>
      <c r="C320" s="10" t="s">
        <v>307</v>
      </c>
      <c r="D320" s="10"/>
    </row>
    <row r="321" spans="1:4">
      <c r="B321" s="5" t="s">
        <v>20</v>
      </c>
      <c r="C321" s="2">
        <f>C253*B226*C315</f>
        <v>8.4188015780303285E-2</v>
      </c>
      <c r="D321" s="2" t="s">
        <v>134</v>
      </c>
    </row>
    <row r="322" spans="1:4">
      <c r="C322" s="10"/>
      <c r="D322" s="10"/>
    </row>
    <row r="323" spans="1:4">
      <c r="A323" s="4" t="s">
        <v>213</v>
      </c>
      <c r="C323" s="10"/>
      <c r="D323" s="10"/>
    </row>
    <row r="324" spans="1:4">
      <c r="A324" s="7" t="s">
        <v>214</v>
      </c>
      <c r="C324" s="10"/>
      <c r="D324" s="10"/>
    </row>
    <row r="325" spans="1:4">
      <c r="A325" s="7" t="s">
        <v>308</v>
      </c>
      <c r="B325" s="5" t="s">
        <v>20</v>
      </c>
      <c r="C325" s="10" t="s">
        <v>209</v>
      </c>
      <c r="D325" s="10"/>
    </row>
    <row r="326" spans="1:4">
      <c r="B326" s="5" t="s">
        <v>20</v>
      </c>
      <c r="C326" s="2">
        <f>C311/C304</f>
        <v>3.5395312499999994E-4</v>
      </c>
      <c r="D326" s="2" t="s">
        <v>205</v>
      </c>
    </row>
    <row r="327" spans="1:4">
      <c r="C327" s="10"/>
      <c r="D327" s="10"/>
    </row>
    <row r="328" spans="1:4">
      <c r="A328" s="4" t="s">
        <v>215</v>
      </c>
      <c r="C328" s="10"/>
      <c r="D328" s="10"/>
    </row>
    <row r="329" spans="1:4">
      <c r="A329" s="7" t="s">
        <v>216</v>
      </c>
      <c r="C329" s="10"/>
      <c r="D329" s="10"/>
    </row>
    <row r="330" spans="1:4">
      <c r="A330" s="7" t="s">
        <v>309</v>
      </c>
      <c r="B330" s="12" t="s">
        <v>20</v>
      </c>
      <c r="C330" s="10" t="s">
        <v>217</v>
      </c>
      <c r="D330" s="10"/>
    </row>
    <row r="331" spans="1:4">
      <c r="B331" s="5" t="s">
        <v>20</v>
      </c>
      <c r="C331" s="10" t="s">
        <v>310</v>
      </c>
      <c r="D331" s="10"/>
    </row>
    <row r="332" spans="1:4">
      <c r="B332" s="5" t="s">
        <v>20</v>
      </c>
      <c r="C332" s="2">
        <f>C258*B226*C326</f>
        <v>4.3964852685269493E-2</v>
      </c>
      <c r="D332" s="2" t="s">
        <v>134</v>
      </c>
    </row>
    <row r="333" spans="1:4">
      <c r="C333" s="10"/>
      <c r="D333" s="10"/>
    </row>
    <row r="334" spans="1:4">
      <c r="A334" s="4" t="s">
        <v>218</v>
      </c>
      <c r="C334" s="10"/>
      <c r="D334" s="10"/>
    </row>
    <row r="335" spans="1:4">
      <c r="A335" s="7" t="s">
        <v>219</v>
      </c>
      <c r="C335" s="10"/>
      <c r="D335" s="10"/>
    </row>
    <row r="336" spans="1:4">
      <c r="A336" s="7" t="s">
        <v>311</v>
      </c>
      <c r="B336" s="12" t="s">
        <v>20</v>
      </c>
      <c r="C336" s="10" t="s">
        <v>220</v>
      </c>
      <c r="D336" s="10"/>
    </row>
    <row r="337" spans="1:4">
      <c r="B337" s="12" t="s">
        <v>20</v>
      </c>
      <c r="C337" s="11" t="s">
        <v>312</v>
      </c>
      <c r="D337" s="10"/>
    </row>
    <row r="338" spans="1:4">
      <c r="B338" s="12" t="s">
        <v>20</v>
      </c>
      <c r="C338" s="13">
        <f>C321*(C53^2)+C332*(C106^2)</f>
        <v>0.89656547084343741</v>
      </c>
      <c r="D338" s="2" t="s">
        <v>7</v>
      </c>
    </row>
    <row r="339" spans="1:4">
      <c r="B339" s="12"/>
      <c r="C339" s="11"/>
      <c r="D339" s="10"/>
    </row>
    <row r="340" spans="1:4">
      <c r="A340" s="4" t="s">
        <v>221</v>
      </c>
      <c r="B340" s="12"/>
      <c r="C340" s="10"/>
      <c r="D340" s="10"/>
    </row>
    <row r="341" spans="1:4">
      <c r="A341" s="7" t="s">
        <v>222</v>
      </c>
      <c r="C341" s="10"/>
      <c r="D341" s="10"/>
    </row>
    <row r="342" spans="1:4">
      <c r="A342" s="7" t="s">
        <v>157</v>
      </c>
      <c r="B342" s="12" t="s">
        <v>20</v>
      </c>
      <c r="C342" s="10" t="s">
        <v>223</v>
      </c>
      <c r="D342" s="10"/>
    </row>
    <row r="343" spans="1:4">
      <c r="B343" s="5" t="s">
        <v>20</v>
      </c>
      <c r="C343" s="11" t="s">
        <v>313</v>
      </c>
      <c r="D343" s="10"/>
    </row>
    <row r="344" spans="1:4">
      <c r="B344" s="5" t="s">
        <v>20</v>
      </c>
      <c r="C344" s="13">
        <f>C338/D7*100</f>
        <v>3.1793101802958774</v>
      </c>
      <c r="D344" s="2" t="s">
        <v>224</v>
      </c>
    </row>
    <row r="345" spans="1:4">
      <c r="C345" s="11"/>
      <c r="D345" s="10"/>
    </row>
    <row r="346" spans="1:4">
      <c r="A346" s="4" t="s">
        <v>225</v>
      </c>
      <c r="C346" s="10"/>
      <c r="D346" s="10"/>
    </row>
    <row r="347" spans="1:4">
      <c r="A347" s="7" t="s">
        <v>226</v>
      </c>
      <c r="C347" s="10"/>
      <c r="D347" s="10"/>
    </row>
    <row r="348" spans="1:4">
      <c r="A348" s="10" t="s">
        <v>314</v>
      </c>
      <c r="B348" s="12">
        <v>1.7799999999999999E-5</v>
      </c>
      <c r="C348" s="10" t="s">
        <v>315</v>
      </c>
      <c r="D348" s="10" t="s">
        <v>227</v>
      </c>
    </row>
    <row r="349" spans="1:4">
      <c r="B349" s="12"/>
      <c r="C349" s="10"/>
      <c r="D349" s="10"/>
    </row>
    <row r="350" spans="1:4">
      <c r="A350" s="7" t="s">
        <v>228</v>
      </c>
      <c r="C350" s="10"/>
      <c r="D350" s="10"/>
    </row>
    <row r="351" spans="1:4">
      <c r="A351" s="7" t="s">
        <v>316</v>
      </c>
      <c r="B351" s="12" t="s">
        <v>20</v>
      </c>
      <c r="C351" s="10" t="s">
        <v>317</v>
      </c>
      <c r="D351" s="10"/>
    </row>
    <row r="352" spans="1:4">
      <c r="B352" s="5" t="s">
        <v>20</v>
      </c>
      <c r="C352" s="13">
        <f>28.1*(1000)*$B$348</f>
        <v>0.50017999999999996</v>
      </c>
      <c r="D352" s="2" t="s">
        <v>7</v>
      </c>
    </row>
    <row r="353" spans="1:4">
      <c r="C353" s="13"/>
      <c r="D353" s="2"/>
    </row>
    <row r="354" spans="1:4">
      <c r="C354" s="13"/>
      <c r="D354" s="2"/>
    </row>
    <row r="355" spans="1:4">
      <c r="C355" s="13"/>
      <c r="D355" s="2"/>
    </row>
    <row r="356" spans="1:4">
      <c r="A356" s="4" t="s">
        <v>229</v>
      </c>
      <c r="C356" s="10"/>
      <c r="D356" s="2"/>
    </row>
    <row r="357" spans="1:4">
      <c r="A357" s="7" t="s">
        <v>230</v>
      </c>
      <c r="C357" s="10"/>
      <c r="D357" s="10"/>
    </row>
    <row r="358" spans="1:4">
      <c r="A358" s="7" t="s">
        <v>318</v>
      </c>
      <c r="B358" s="5">
        <v>11</v>
      </c>
      <c r="C358" s="10" t="s">
        <v>231</v>
      </c>
      <c r="D358" s="10" t="s">
        <v>227</v>
      </c>
    </row>
    <row r="359" spans="1:4">
      <c r="C359" s="10"/>
      <c r="D359" s="10"/>
    </row>
    <row r="360" spans="1:4">
      <c r="A360" s="4" t="s">
        <v>232</v>
      </c>
      <c r="C360" s="10"/>
      <c r="D360" s="10"/>
    </row>
    <row r="361" spans="1:4">
      <c r="A361" s="7" t="s">
        <v>233</v>
      </c>
      <c r="C361" s="10"/>
      <c r="D361" s="10"/>
    </row>
    <row r="362" spans="1:4">
      <c r="A362" s="7" t="s">
        <v>234</v>
      </c>
      <c r="B362" s="5" t="s">
        <v>20</v>
      </c>
      <c r="C362" s="10" t="s">
        <v>235</v>
      </c>
      <c r="D362" s="10"/>
    </row>
    <row r="363" spans="1:4">
      <c r="B363" s="5" t="s">
        <v>20</v>
      </c>
      <c r="C363" s="10" t="s">
        <v>319</v>
      </c>
      <c r="D363" s="10"/>
    </row>
    <row r="364" spans="1:4">
      <c r="B364" s="5" t="s">
        <v>20</v>
      </c>
      <c r="C364" s="20">
        <f>B358*(C352+C338)</f>
        <v>15.364200179277809</v>
      </c>
      <c r="D364" s="2" t="s">
        <v>236</v>
      </c>
    </row>
    <row r="365" spans="1:4">
      <c r="C365" s="20"/>
      <c r="D365" s="2"/>
    </row>
    <row r="366" spans="1:4">
      <c r="C366" s="20"/>
      <c r="D366" s="2"/>
    </row>
    <row r="367" spans="1:4">
      <c r="C367" s="20"/>
      <c r="D367" s="2"/>
    </row>
    <row r="368" spans="1:4">
      <c r="C368" s="20"/>
      <c r="D368" s="2"/>
    </row>
    <row r="369" spans="3:4">
      <c r="C369" s="20"/>
      <c r="D369" s="2"/>
    </row>
    <row r="370" spans="3:4">
      <c r="C370" s="20"/>
      <c r="D370" s="2"/>
    </row>
    <row r="371" spans="3:4">
      <c r="C371" s="20"/>
      <c r="D371" s="2"/>
    </row>
    <row r="372" spans="3:4">
      <c r="C372" s="20"/>
      <c r="D372" s="2"/>
    </row>
    <row r="373" spans="3:4">
      <c r="C373" s="20"/>
      <c r="D373" s="2"/>
    </row>
    <row r="374" spans="3:4">
      <c r="C374" s="20"/>
      <c r="D374" s="2"/>
    </row>
    <row r="375" spans="3:4">
      <c r="C375" s="20"/>
      <c r="D375" s="2"/>
    </row>
    <row r="376" spans="3:4">
      <c r="C376" s="20"/>
      <c r="D376" s="2"/>
    </row>
    <row r="377" spans="3:4">
      <c r="C377" s="20"/>
      <c r="D377" s="2"/>
    </row>
    <row r="378" spans="3:4">
      <c r="C378" s="20"/>
      <c r="D378" s="2"/>
    </row>
    <row r="379" spans="3:4">
      <c r="C379" s="20"/>
      <c r="D379" s="2"/>
    </row>
    <row r="380" spans="3:4">
      <c r="C380" s="20"/>
      <c r="D380" s="2"/>
    </row>
    <row r="381" spans="3:4">
      <c r="C381" s="20"/>
      <c r="D381" s="2"/>
    </row>
    <row r="382" spans="3:4">
      <c r="C382" s="20"/>
      <c r="D382" s="2"/>
    </row>
    <row r="383" spans="3:4">
      <c r="C383" s="20"/>
      <c r="D383" s="2"/>
    </row>
    <row r="384" spans="3:4">
      <c r="C384" s="20"/>
      <c r="D384" s="2"/>
    </row>
    <row r="385" spans="3:4">
      <c r="C385" s="20"/>
      <c r="D385" s="2"/>
    </row>
    <row r="386" spans="3:4">
      <c r="C386" s="20"/>
      <c r="D386" s="2"/>
    </row>
    <row r="387" spans="3:4">
      <c r="C387" s="20"/>
      <c r="D387" s="2"/>
    </row>
    <row r="388" spans="3:4">
      <c r="C388" s="20"/>
      <c r="D388" s="2"/>
    </row>
    <row r="389" spans="3:4">
      <c r="C389" s="20"/>
      <c r="D389" s="2"/>
    </row>
    <row r="390" spans="3:4">
      <c r="C390" s="20"/>
      <c r="D390" s="2"/>
    </row>
    <row r="391" spans="3:4">
      <c r="C391" s="20"/>
      <c r="D391" s="2"/>
    </row>
    <row r="392" spans="3:4">
      <c r="C392" s="20"/>
      <c r="D392" s="2"/>
    </row>
    <row r="393" spans="3:4">
      <c r="C393" s="20"/>
      <c r="D393" s="2"/>
    </row>
    <row r="394" spans="3:4">
      <c r="C394" s="20"/>
      <c r="D394" s="2"/>
    </row>
    <row r="395" spans="3:4">
      <c r="C395" s="20"/>
      <c r="D395" s="2"/>
    </row>
    <row r="396" spans="3:4">
      <c r="C396" s="20"/>
      <c r="D396" s="2"/>
    </row>
    <row r="397" spans="3:4">
      <c r="C397" s="20"/>
      <c r="D397" s="2"/>
    </row>
    <row r="398" spans="3:4">
      <c r="C398" s="20"/>
      <c r="D398" s="2"/>
    </row>
    <row r="399" spans="3:4">
      <c r="C399" s="20"/>
      <c r="D399" s="2"/>
    </row>
    <row r="400" spans="3:4">
      <c r="C400" s="20"/>
      <c r="D400" s="2"/>
    </row>
    <row r="401" spans="3:4">
      <c r="C401" s="20"/>
      <c r="D401" s="2"/>
    </row>
    <row r="402" spans="3:4">
      <c r="C402" s="20"/>
      <c r="D402" s="2"/>
    </row>
    <row r="403" spans="3:4">
      <c r="C403" s="20"/>
      <c r="D403" s="2"/>
    </row>
    <row r="404" spans="3:4">
      <c r="C404" s="20"/>
      <c r="D404" s="2"/>
    </row>
    <row r="405" spans="3:4">
      <c r="C405" s="20"/>
      <c r="D405" s="2"/>
    </row>
    <row r="406" spans="3:4">
      <c r="C406" s="20"/>
      <c r="D406" s="2"/>
    </row>
    <row r="407" spans="3:4">
      <c r="C407" s="20"/>
      <c r="D407" s="2"/>
    </row>
    <row r="408" spans="3:4">
      <c r="C408" s="20"/>
      <c r="D408" s="2"/>
    </row>
    <row r="409" spans="3:4">
      <c r="C409" s="20"/>
      <c r="D409" s="2"/>
    </row>
    <row r="410" spans="3:4">
      <c r="C410" s="20"/>
      <c r="D410" s="2"/>
    </row>
    <row r="411" spans="3:4">
      <c r="C411" s="20"/>
      <c r="D411" s="2"/>
    </row>
    <row r="412" spans="3:4">
      <c r="C412" s="20"/>
      <c r="D412" s="2"/>
    </row>
    <row r="413" spans="3:4">
      <c r="C413" s="20"/>
      <c r="D413" s="2"/>
    </row>
    <row r="414" spans="3:4">
      <c r="C414" s="20"/>
      <c r="D414" s="2"/>
    </row>
    <row r="415" spans="3:4">
      <c r="C415" s="20"/>
      <c r="D415" s="2"/>
    </row>
    <row r="416" spans="3:4">
      <c r="C416" s="20"/>
      <c r="D416" s="2"/>
    </row>
    <row r="417" spans="1:7">
      <c r="C417" s="20"/>
      <c r="D417" s="2"/>
    </row>
    <row r="418" spans="1:7">
      <c r="C418" s="20"/>
      <c r="D418" s="2"/>
    </row>
    <row r="419" spans="1:7">
      <c r="C419" s="20"/>
      <c r="D419" s="2"/>
    </row>
    <row r="420" spans="1:7">
      <c r="C420" s="20"/>
      <c r="D420" s="2"/>
    </row>
    <row r="421" spans="1:7">
      <c r="C421" s="20"/>
      <c r="D421" s="2"/>
    </row>
    <row r="422" spans="1:7">
      <c r="C422" s="20"/>
      <c r="D422" s="2"/>
    </row>
    <row r="423" spans="1:7">
      <c r="C423" s="20"/>
      <c r="D423" s="2"/>
    </row>
    <row r="424" spans="1:7">
      <c r="C424" s="20"/>
      <c r="D424" s="2"/>
    </row>
    <row r="425" spans="1:7">
      <c r="C425" s="20"/>
      <c r="D425" s="2"/>
    </row>
    <row r="426" spans="1:7">
      <c r="C426" s="20"/>
      <c r="D426" s="2"/>
    </row>
    <row r="427" spans="1:7">
      <c r="A427" s="33" t="s">
        <v>237</v>
      </c>
      <c r="B427" s="34"/>
      <c r="C427" s="32"/>
      <c r="D427" s="10"/>
    </row>
    <row r="428" spans="1:7">
      <c r="A428" s="4" t="s">
        <v>238</v>
      </c>
      <c r="C428" s="10"/>
      <c r="D428" s="10"/>
    </row>
    <row r="429" spans="1:7">
      <c r="C429" s="10"/>
      <c r="D429" s="10"/>
    </row>
    <row r="430" spans="1:7">
      <c r="A430" s="3" t="s">
        <v>152</v>
      </c>
      <c r="B430" s="3"/>
      <c r="C430" s="2"/>
      <c r="D430" s="2"/>
      <c r="E430" s="1" t="s">
        <v>239</v>
      </c>
      <c r="F430" s="1" t="s">
        <v>240</v>
      </c>
    </row>
    <row r="431" spans="1:7">
      <c r="A431" s="7" t="s">
        <v>241</v>
      </c>
      <c r="C431" s="10"/>
      <c r="D431" s="10"/>
      <c r="E431" s="5" t="s">
        <v>109</v>
      </c>
      <c r="F431" s="5">
        <f>C135</f>
        <v>1.0666666666666665E-4</v>
      </c>
      <c r="G431" s="5" t="s">
        <v>112</v>
      </c>
    </row>
    <row r="432" spans="1:7">
      <c r="A432" s="7" t="s">
        <v>242</v>
      </c>
      <c r="C432" s="10"/>
      <c r="D432" s="10"/>
      <c r="E432" s="5" t="s">
        <v>86</v>
      </c>
      <c r="F432" s="5">
        <f>C106</f>
        <v>3.1333333333333333</v>
      </c>
      <c r="G432" s="5" t="s">
        <v>11</v>
      </c>
    </row>
    <row r="433" spans="1:7">
      <c r="A433" s="7" t="s">
        <v>243</v>
      </c>
      <c r="C433" s="10"/>
      <c r="D433" s="10"/>
      <c r="E433" s="5" t="s">
        <v>105</v>
      </c>
      <c r="F433" s="5">
        <f>C130</f>
        <v>0.44999999999999996</v>
      </c>
      <c r="G433" s="5" t="s">
        <v>11</v>
      </c>
    </row>
    <row r="434" spans="1:7">
      <c r="A434" s="7" t="s">
        <v>244</v>
      </c>
      <c r="C434" s="10"/>
      <c r="D434" s="10"/>
      <c r="E434" s="5" t="s">
        <v>277</v>
      </c>
      <c r="F434" s="5">
        <v>0.2</v>
      </c>
      <c r="G434" s="5" t="s">
        <v>19</v>
      </c>
    </row>
    <row r="435" spans="1:7">
      <c r="C435" s="10"/>
      <c r="D435" s="10"/>
    </row>
    <row r="436" spans="1:7">
      <c r="A436" s="4" t="s">
        <v>245</v>
      </c>
      <c r="C436" s="10"/>
      <c r="D436" s="10"/>
    </row>
    <row r="437" spans="1:7">
      <c r="A437" s="10" t="s">
        <v>246</v>
      </c>
      <c r="C437" s="10"/>
      <c r="D437" s="10"/>
    </row>
    <row r="438" spans="1:7">
      <c r="A438" s="7" t="s">
        <v>320</v>
      </c>
      <c r="B438" s="5" t="s">
        <v>20</v>
      </c>
      <c r="C438" s="10" t="s">
        <v>247</v>
      </c>
      <c r="D438" s="10"/>
    </row>
    <row r="439" spans="1:7">
      <c r="B439" s="5" t="s">
        <v>20</v>
      </c>
      <c r="C439" s="10" t="s">
        <v>248</v>
      </c>
      <c r="D439" s="10"/>
    </row>
    <row r="440" spans="1:7">
      <c r="B440" s="5" t="s">
        <v>20</v>
      </c>
      <c r="C440" s="2">
        <f>$C$106 + $C$130 / 2</f>
        <v>3.3583333333333334</v>
      </c>
      <c r="D440" s="2" t="s">
        <v>11</v>
      </c>
    </row>
    <row r="441" spans="1:7">
      <c r="C441" s="10"/>
      <c r="D441" s="10"/>
    </row>
    <row r="442" spans="1:7">
      <c r="A442" s="4" t="s">
        <v>249</v>
      </c>
      <c r="C442" s="10"/>
      <c r="D442" s="10"/>
    </row>
    <row r="443" spans="1:7">
      <c r="A443" s="7" t="s">
        <v>321</v>
      </c>
      <c r="B443" s="5" t="s">
        <v>20</v>
      </c>
      <c r="C443" s="10" t="s">
        <v>322</v>
      </c>
      <c r="D443" s="10"/>
    </row>
    <row r="444" spans="1:7">
      <c r="B444" s="5" t="s">
        <v>20</v>
      </c>
      <c r="C444" s="10">
        <f>$C$135*$C$440*$C$440</f>
        <v>1.2030296296296295E-3</v>
      </c>
      <c r="D444" s="10" t="s">
        <v>323</v>
      </c>
    </row>
    <row r="445" spans="1:7">
      <c r="B445" s="5" t="s">
        <v>20</v>
      </c>
      <c r="C445" s="2">
        <f>$C$444*1000</f>
        <v>1.2030296296296294</v>
      </c>
      <c r="D445" s="2" t="s">
        <v>324</v>
      </c>
    </row>
    <row r="446" spans="1:7">
      <c r="C446" s="10"/>
      <c r="D446" s="10"/>
    </row>
    <row r="447" spans="1:7">
      <c r="A447" s="7" t="s">
        <v>226</v>
      </c>
      <c r="C447" s="10"/>
      <c r="D447" s="10"/>
    </row>
    <row r="448" spans="1:7">
      <c r="A448" s="7" t="s">
        <v>325</v>
      </c>
      <c r="B448" s="5" t="s">
        <v>20</v>
      </c>
      <c r="C448" s="21">
        <v>9.7100000000000002E-5</v>
      </c>
      <c r="D448" s="10"/>
      <c r="E448" s="7" t="s">
        <v>227</v>
      </c>
    </row>
    <row r="449" spans="1:4">
      <c r="C449" s="10"/>
      <c r="D449" s="10"/>
    </row>
    <row r="450" spans="1:4">
      <c r="A450" s="7" t="s">
        <v>250</v>
      </c>
      <c r="C450" s="10"/>
      <c r="D450" s="10"/>
    </row>
    <row r="451" spans="1:4">
      <c r="A451" s="7" t="s">
        <v>251</v>
      </c>
      <c r="B451" s="5" t="s">
        <v>20</v>
      </c>
      <c r="C451" s="10" t="s">
        <v>252</v>
      </c>
      <c r="D451" s="10"/>
    </row>
    <row r="452" spans="1:4">
      <c r="B452" s="5" t="s">
        <v>20</v>
      </c>
      <c r="C452" s="10" t="s">
        <v>326</v>
      </c>
      <c r="D452" s="10"/>
    </row>
    <row r="453" spans="1:4">
      <c r="B453" s="5" t="s">
        <v>20</v>
      </c>
      <c r="C453" s="2">
        <f>(F431*C440)/(F434*C448)</f>
        <v>18.446046458404847</v>
      </c>
      <c r="D453" s="2" t="s">
        <v>175</v>
      </c>
    </row>
    <row r="454" spans="1:4">
      <c r="C454" s="2"/>
      <c r="D454" s="2"/>
    </row>
    <row r="455" spans="1:4">
      <c r="A455" s="4" t="s">
        <v>253</v>
      </c>
      <c r="C455" s="2"/>
      <c r="D455" s="2"/>
    </row>
    <row r="456" spans="1:4">
      <c r="A456" s="7" t="s">
        <v>254</v>
      </c>
      <c r="C456" s="2"/>
      <c r="D456" s="2"/>
    </row>
    <row r="457" spans="1:4">
      <c r="A457" s="7" t="s">
        <v>327</v>
      </c>
      <c r="B457" s="5" t="s">
        <v>20</v>
      </c>
      <c r="C457" s="10" t="s">
        <v>328</v>
      </c>
      <c r="D457" s="2"/>
    </row>
    <row r="458" spans="1:4">
      <c r="B458" s="5" t="s">
        <v>20</v>
      </c>
      <c r="C458" s="10">
        <f>F431/(C453^2)</f>
        <v>3.134888706906638E-7</v>
      </c>
      <c r="D458" s="10" t="s">
        <v>112</v>
      </c>
    </row>
    <row r="459" spans="1:4">
      <c r="B459" s="5" t="s">
        <v>20</v>
      </c>
      <c r="C459" s="2">
        <f>C458*1000000000</f>
        <v>313.48887069066382</v>
      </c>
      <c r="D459" s="2" t="s">
        <v>255</v>
      </c>
    </row>
    <row r="460" spans="1:4">
      <c r="A460" s="7" t="s">
        <v>329</v>
      </c>
      <c r="C460" s="2"/>
      <c r="D460" s="2"/>
    </row>
    <row r="461" spans="1:4">
      <c r="C461" s="10"/>
      <c r="D461" s="10"/>
    </row>
    <row r="462" spans="1:4">
      <c r="A462" s="4" t="s">
        <v>256</v>
      </c>
      <c r="C462" s="10"/>
      <c r="D462" s="10"/>
    </row>
    <row r="463" spans="1:4">
      <c r="A463" s="7" t="s">
        <v>257</v>
      </c>
      <c r="C463" s="10"/>
      <c r="D463" s="10"/>
    </row>
    <row r="464" spans="1:4">
      <c r="A464" s="7" t="s">
        <v>207</v>
      </c>
      <c r="B464" s="5" t="s">
        <v>20</v>
      </c>
      <c r="C464" s="10" t="s">
        <v>258</v>
      </c>
      <c r="D464" s="10"/>
    </row>
    <row r="465" spans="1:5">
      <c r="B465" s="5" t="s">
        <v>20</v>
      </c>
      <c r="C465" s="10" t="s">
        <v>330</v>
      </c>
      <c r="D465" s="10"/>
    </row>
    <row r="466" spans="1:5">
      <c r="B466" s="5" t="s">
        <v>20</v>
      </c>
      <c r="C466" s="2">
        <v>0.38</v>
      </c>
      <c r="D466" s="2" t="s">
        <v>134</v>
      </c>
      <c r="E466" s="18"/>
    </row>
    <row r="467" spans="1:5">
      <c r="C467" s="10"/>
      <c r="D467" s="10"/>
      <c r="E467" s="18"/>
    </row>
    <row r="468" spans="1:5">
      <c r="A468" s="4" t="s">
        <v>259</v>
      </c>
      <c r="C468" s="10"/>
      <c r="D468" s="10"/>
    </row>
    <row r="469" spans="1:5">
      <c r="A469" s="7" t="s">
        <v>260</v>
      </c>
      <c r="C469" s="10"/>
      <c r="D469" s="10"/>
    </row>
    <row r="470" spans="1:5">
      <c r="A470" s="7" t="s">
        <v>331</v>
      </c>
      <c r="B470" s="22" t="s">
        <v>20</v>
      </c>
      <c r="C470" s="10" t="s">
        <v>332</v>
      </c>
      <c r="D470" s="10"/>
    </row>
    <row r="471" spans="1:5">
      <c r="B471" s="5" t="s">
        <v>20</v>
      </c>
      <c r="C471" s="10" t="s">
        <v>333</v>
      </c>
      <c r="D471" s="10"/>
    </row>
    <row r="472" spans="1:5">
      <c r="B472" s="5" t="s">
        <v>20</v>
      </c>
      <c r="C472" s="2">
        <f>C466*F432^2</f>
        <v>3.7307555555555556</v>
      </c>
      <c r="D472" s="2" t="s">
        <v>334</v>
      </c>
    </row>
    <row r="473" spans="1:5">
      <c r="C473" s="10"/>
      <c r="D473" s="10"/>
    </row>
    <row r="474" spans="1:5">
      <c r="C474" s="10"/>
      <c r="D474" s="10"/>
    </row>
    <row r="475" spans="1:5">
      <c r="A475" s="4" t="s">
        <v>261</v>
      </c>
      <c r="C475" s="10"/>
      <c r="D475" s="10"/>
    </row>
    <row r="476" spans="1:5">
      <c r="A476" s="7" t="s">
        <v>262</v>
      </c>
      <c r="C476" s="10"/>
      <c r="D476" s="10"/>
    </row>
    <row r="477" spans="1:5">
      <c r="A477" s="7" t="s">
        <v>335</v>
      </c>
      <c r="B477" s="5" t="s">
        <v>20</v>
      </c>
      <c r="C477" s="21" t="s">
        <v>336</v>
      </c>
      <c r="D477" s="10"/>
    </row>
    <row r="478" spans="1:5">
      <c r="B478" s="5" t="s">
        <v>20</v>
      </c>
      <c r="C478" s="2">
        <f>0.002047</f>
        <v>2.0470000000000002E-3</v>
      </c>
      <c r="D478" s="2" t="s">
        <v>263</v>
      </c>
      <c r="E478" s="8"/>
    </row>
    <row r="479" spans="1:5">
      <c r="A479" s="10" t="s">
        <v>342</v>
      </c>
      <c r="C479" s="10"/>
      <c r="D479" s="10"/>
      <c r="E479" s="8"/>
    </row>
    <row r="480" spans="1:5">
      <c r="A480" s="7" t="s">
        <v>341</v>
      </c>
      <c r="C480" s="10"/>
      <c r="D480" s="10"/>
    </row>
    <row r="481" spans="1:5">
      <c r="C481" s="10"/>
      <c r="D481" s="10"/>
    </row>
    <row r="482" spans="1:5">
      <c r="A482" s="4" t="s">
        <v>264</v>
      </c>
      <c r="C482" s="10"/>
      <c r="D482" s="10"/>
    </row>
    <row r="483" spans="1:5">
      <c r="A483" s="7" t="s">
        <v>337</v>
      </c>
      <c r="B483" s="5" t="s">
        <v>20</v>
      </c>
      <c r="C483" s="2">
        <f>0.4 * PI() * C453 *(F433/2) * (310) * 0.0001 / (C492/10)</f>
        <v>2.9860916628453069E-2</v>
      </c>
      <c r="D483" s="2" t="s">
        <v>19</v>
      </c>
    </row>
    <row r="484" spans="1:5">
      <c r="C484" s="10"/>
      <c r="D484" s="10"/>
    </row>
    <row r="485" spans="1:5">
      <c r="A485" s="4" t="s">
        <v>265</v>
      </c>
      <c r="C485" s="10"/>
      <c r="D485" s="10"/>
    </row>
    <row r="486" spans="1:5">
      <c r="A486" s="7" t="s">
        <v>266</v>
      </c>
      <c r="C486" s="10" t="s">
        <v>20</v>
      </c>
      <c r="D486" s="10">
        <v>25.6</v>
      </c>
      <c r="E486" s="5" t="s">
        <v>267</v>
      </c>
    </row>
    <row r="487" spans="1:5">
      <c r="A487" s="7" t="s">
        <v>268</v>
      </c>
      <c r="C487" s="10" t="s">
        <v>20</v>
      </c>
      <c r="D487" s="10">
        <v>11.1</v>
      </c>
      <c r="E487" s="5" t="s">
        <v>267</v>
      </c>
    </row>
    <row r="488" spans="1:5">
      <c r="C488" s="10"/>
      <c r="D488" s="10"/>
    </row>
    <row r="489" spans="1:5">
      <c r="A489" s="7" t="s">
        <v>269</v>
      </c>
      <c r="C489" s="10"/>
      <c r="D489" s="10"/>
    </row>
    <row r="490" spans="1:5">
      <c r="A490" s="8"/>
      <c r="C490" s="10"/>
      <c r="D490" s="10"/>
    </row>
    <row r="491" spans="1:5">
      <c r="A491" s="7" t="s">
        <v>270</v>
      </c>
      <c r="B491" s="5" t="s">
        <v>20</v>
      </c>
      <c r="C491" s="10" t="s">
        <v>271</v>
      </c>
      <c r="D491" s="10"/>
    </row>
    <row r="492" spans="1:5">
      <c r="B492" s="5" t="s">
        <v>20</v>
      </c>
      <c r="C492" s="10">
        <f>PI() * (D486-D487)/(LOG((D486/D487), 2.7))</f>
        <v>54.144486482953177</v>
      </c>
      <c r="D492" s="10" t="s">
        <v>267</v>
      </c>
    </row>
    <row r="493" spans="1:5">
      <c r="A493" s="7" t="s">
        <v>343</v>
      </c>
      <c r="C493" s="10"/>
      <c r="D493" s="10"/>
    </row>
    <row r="494" spans="1:5">
      <c r="A494" s="7" t="s">
        <v>344</v>
      </c>
      <c r="C494" s="10"/>
      <c r="D494" s="10"/>
    </row>
    <row r="495" spans="1:5">
      <c r="C495" s="10"/>
      <c r="D495" s="10"/>
    </row>
    <row r="496" spans="1:5">
      <c r="A496" s="7" t="s">
        <v>272</v>
      </c>
      <c r="C496" s="10"/>
      <c r="D496" s="10"/>
    </row>
    <row r="497" spans="1:5">
      <c r="A497" s="7" t="s">
        <v>7</v>
      </c>
      <c r="B497" s="5" t="s">
        <v>20</v>
      </c>
      <c r="C497" s="10">
        <v>40</v>
      </c>
      <c r="D497" s="10" t="s">
        <v>273</v>
      </c>
      <c r="E497" s="7" t="s">
        <v>227</v>
      </c>
    </row>
    <row r="498" spans="1:5">
      <c r="C498" s="10"/>
      <c r="D498" s="10"/>
    </row>
    <row r="499" spans="1:5">
      <c r="A499" s="4" t="s">
        <v>274</v>
      </c>
      <c r="C499" s="10"/>
      <c r="D499" s="10"/>
    </row>
    <row r="500" spans="1:5">
      <c r="A500" s="7" t="s">
        <v>275</v>
      </c>
      <c r="C500" s="10"/>
      <c r="D500" s="10"/>
    </row>
    <row r="501" spans="1:5">
      <c r="A501" s="10" t="s">
        <v>338</v>
      </c>
      <c r="B501" s="5" t="s">
        <v>20</v>
      </c>
      <c r="C501" s="10" t="s">
        <v>339</v>
      </c>
      <c r="D501" s="10"/>
    </row>
    <row r="502" spans="1:5">
      <c r="B502" s="5" t="s">
        <v>20</v>
      </c>
      <c r="C502" s="13">
        <f>C478*C497</f>
        <v>8.1880000000000008E-2</v>
      </c>
      <c r="D502" s="2" t="s">
        <v>7</v>
      </c>
    </row>
  </sheetData>
  <pageMargins left="0.7" right="0.7" top="0.75" bottom="0.75" header="0.51180555555555496" footer="0.51180555555555496"/>
  <pageSetup paperSize="9" scale="68" firstPageNumber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Push-pull Converter Design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Frank-Desktop</dc:creator>
  <cp:lastModifiedBy>Frank Lan</cp:lastModifiedBy>
  <cp:revision>0</cp:revision>
  <cp:lastPrinted>2014-09-15T03:22:40Z</cp:lastPrinted>
  <dcterms:created xsi:type="dcterms:W3CDTF">2006-09-16T00:00:00Z</dcterms:created>
  <dcterms:modified xsi:type="dcterms:W3CDTF">2014-09-15T03:39:15Z</dcterms:modified>
  <dc:language>en-AU</dc:language>
</cp:coreProperties>
</file>