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Google Drive/_BTS/_2020/_SNIR2/Projets/Projets 2020/Alfox 2020/"/>
    </mc:Choice>
  </mc:AlternateContent>
  <xr:revisionPtr revIDLastSave="0" documentId="13_ncr:1_{326239C8-95F7-584B-AAD0-28515E89DB46}" xr6:coauthVersionLast="45" xr6:coauthVersionMax="45" xr10:uidLastSave="{00000000-0000-0000-0000-000000000000}"/>
  <bookViews>
    <workbookView xWindow="0" yWindow="460" windowWidth="28800" windowHeight="16940" xr2:uid="{A23D41AB-6879-1F4E-A0A2-9D6A4BE3744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" i="1" l="1"/>
  <c r="V16" i="1"/>
  <c r="U19" i="1"/>
  <c r="U20" i="1"/>
  <c r="U21" i="1"/>
  <c r="U23" i="1"/>
  <c r="U24" i="1"/>
  <c r="U25" i="1"/>
  <c r="U26" i="1"/>
  <c r="U27" i="1"/>
  <c r="U22" i="1"/>
  <c r="V23" i="1" l="1"/>
  <c r="V24" i="1"/>
  <c r="V25" i="1"/>
  <c r="V26" i="1"/>
  <c r="V27" i="1"/>
  <c r="V22" i="1"/>
  <c r="V21" i="1"/>
  <c r="X24" i="1" s="1"/>
  <c r="V20" i="1"/>
  <c r="W22" i="1" l="1"/>
  <c r="X26" i="1"/>
  <c r="X20" i="1"/>
  <c r="X22" i="1"/>
  <c r="W20" i="1"/>
  <c r="W24" i="1"/>
  <c r="W26" i="1"/>
  <c r="O30" i="1"/>
  <c r="H31" i="1"/>
  <c r="D28" i="1" l="1"/>
  <c r="D29" i="1"/>
  <c r="D30" i="1"/>
  <c r="D31" i="1"/>
  <c r="D32" i="1"/>
  <c r="D33" i="1"/>
  <c r="D34" i="1"/>
  <c r="D35" i="1"/>
  <c r="D36" i="1"/>
  <c r="D27" i="1"/>
  <c r="C36" i="1"/>
  <c r="C33" i="1"/>
  <c r="C34" i="1"/>
  <c r="C35" i="1"/>
  <c r="C28" i="1"/>
  <c r="C29" i="1"/>
  <c r="C30" i="1"/>
  <c r="C31" i="1"/>
  <c r="C32" i="1"/>
  <c r="C27" i="1"/>
  <c r="C22" i="1" l="1"/>
  <c r="P7" i="1" l="1"/>
  <c r="P8" i="1"/>
  <c r="P9" i="1"/>
  <c r="P6" i="1"/>
  <c r="F7" i="1"/>
  <c r="F8" i="1"/>
  <c r="F9" i="1"/>
  <c r="F10" i="1"/>
  <c r="F11" i="1"/>
  <c r="F12" i="1"/>
  <c r="F13" i="1"/>
  <c r="F14" i="1"/>
  <c r="F15" i="1"/>
  <c r="F17" i="1"/>
  <c r="F6" i="1"/>
  <c r="E7" i="1"/>
  <c r="E8" i="1"/>
  <c r="E9" i="1"/>
  <c r="E10" i="1"/>
  <c r="E11" i="1"/>
  <c r="E12" i="1"/>
  <c r="E13" i="1"/>
  <c r="E14" i="1"/>
  <c r="E15" i="1"/>
  <c r="E17" i="1"/>
  <c r="E18" i="1"/>
  <c r="E6" i="1"/>
  <c r="O7" i="1"/>
  <c r="O8" i="1"/>
  <c r="O9" i="1"/>
  <c r="O6" i="1"/>
  <c r="E22" i="1" l="1"/>
  <c r="J27" i="1"/>
  <c r="J28" i="1" s="1"/>
  <c r="J29" i="1" s="1"/>
  <c r="E30" i="1"/>
  <c r="E29" i="1"/>
  <c r="E28" i="1"/>
  <c r="E27" i="1"/>
  <c r="N14" i="1"/>
  <c r="O14" i="1"/>
  <c r="N15" i="1"/>
  <c r="O15" i="1"/>
  <c r="N13" i="1"/>
  <c r="O13" i="1"/>
  <c r="O18" i="1"/>
  <c r="N18" i="1"/>
  <c r="O17" i="1"/>
  <c r="N17" i="1"/>
  <c r="O12" i="1"/>
  <c r="N12" i="1"/>
  <c r="I14" i="1"/>
  <c r="J14" i="1"/>
  <c r="H14" i="1"/>
  <c r="H21" i="1"/>
  <c r="H22" i="1" s="1"/>
  <c r="I22" i="1" s="1"/>
  <c r="D18" i="1"/>
  <c r="F18" i="1" s="1"/>
  <c r="J3" i="1"/>
  <c r="I5" i="1" s="1"/>
  <c r="I6" i="1" s="1"/>
  <c r="I7" i="1" s="1"/>
  <c r="I8" i="1" s="1"/>
  <c r="I9" i="1" s="1"/>
  <c r="I10" i="1" s="1"/>
  <c r="H6" i="1"/>
  <c r="H7" i="1" s="1"/>
  <c r="H8" i="1" s="1"/>
  <c r="H9" i="1" s="1"/>
  <c r="H10" i="1" s="1"/>
</calcChain>
</file>

<file path=xl/sharedStrings.xml><?xml version="1.0" encoding="utf-8"?>
<sst xmlns="http://schemas.openxmlformats.org/spreadsheetml/2006/main" count="88" uniqueCount="76">
  <si>
    <t xml:space="preserve">Strasbourg </t>
  </si>
  <si>
    <t>Lille</t>
  </si>
  <si>
    <t>Bretagne</t>
  </si>
  <si>
    <t>Andorre</t>
  </si>
  <si>
    <t>Portugal</t>
  </si>
  <si>
    <t>Londres</t>
  </si>
  <si>
    <t>Berlin</t>
  </si>
  <si>
    <t>Bordeaux</t>
  </si>
  <si>
    <t>Corrèze</t>
  </si>
  <si>
    <t>Hérault</t>
  </si>
  <si>
    <t>circ Terre</t>
  </si>
  <si>
    <t>1/2 circ</t>
  </si>
  <si>
    <t>12.3456</t>
  </si>
  <si>
    <t>10m</t>
  </si>
  <si>
    <t>lat</t>
  </si>
  <si>
    <t>offsetLat</t>
  </si>
  <si>
    <t>offsetLng</t>
  </si>
  <si>
    <t>lng</t>
  </si>
  <si>
    <t>lat offset</t>
  </si>
  <si>
    <t>lng offset</t>
  </si>
  <si>
    <t>Maxi</t>
  </si>
  <si>
    <t>Mini</t>
  </si>
  <si>
    <t>km</t>
  </si>
  <si>
    <t>kilométrage</t>
  </si>
  <si>
    <t>GPS</t>
  </si>
  <si>
    <t>par jour</t>
  </si>
  <si>
    <t>mn</t>
  </si>
  <si>
    <t>"+/-"</t>
  </si>
  <si>
    <t>1 octet</t>
  </si>
  <si>
    <t>12 bits</t>
  </si>
  <si>
    <t>div</t>
  </si>
  <si>
    <t>m</t>
  </si>
  <si>
    <t>1.4148</t>
  </si>
  <si>
    <t>52.2732</t>
  </si>
  <si>
    <t>Erreur</t>
  </si>
  <si>
    <t>6m</t>
  </si>
  <si>
    <t>52.2728</t>
  </si>
  <si>
    <t>1.4144</t>
  </si>
  <si>
    <t>50m</t>
  </si>
  <si>
    <t>libres</t>
  </si>
  <si>
    <t>Libres</t>
  </si>
  <si>
    <t>2 octets</t>
  </si>
  <si>
    <t>Octets Trame</t>
  </si>
  <si>
    <t>Total</t>
  </si>
  <si>
    <t>3 GPS</t>
  </si>
  <si>
    <t>14,3 km</t>
  </si>
  <si>
    <t>nb mn</t>
  </si>
  <si>
    <t>nb GPS</t>
  </si>
  <si>
    <t>nb msg</t>
  </si>
  <si>
    <t>msg libres</t>
  </si>
  <si>
    <t>distance km</t>
  </si>
  <si>
    <t>(latitude - 36)*10000/4</t>
  </si>
  <si>
    <t>VM</t>
  </si>
  <si>
    <t>Lat</t>
  </si>
  <si>
    <t>Long</t>
  </si>
  <si>
    <t>L2</t>
  </si>
  <si>
    <t>G2</t>
  </si>
  <si>
    <t>L3</t>
  </si>
  <si>
    <t>G3</t>
  </si>
  <si>
    <t>L4</t>
  </si>
  <si>
    <t>G4</t>
  </si>
  <si>
    <t>7599749d6cb0</t>
  </si>
  <si>
    <t>Maison</t>
  </si>
  <si>
    <t>001849ee6fa29e5e82478b68</t>
  </si>
  <si>
    <t>82478b68</t>
  </si>
  <si>
    <t>8B</t>
  </si>
  <si>
    <t>02985fac</t>
  </si>
  <si>
    <t>0b13de5</t>
  </si>
  <si>
    <t>18</t>
  </si>
  <si>
    <t>49EE</t>
  </si>
  <si>
    <t>6FA2</t>
  </si>
  <si>
    <t>9E</t>
  </si>
  <si>
    <t>5E</t>
  </si>
  <si>
    <t>82</t>
  </si>
  <si>
    <t>47</t>
  </si>
  <si>
    <t>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</si>
</sst>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ourier"/>
      <family val="1"/>
    </font>
    <font>
      <sz val="12"/>
      <color rgb="FF58585A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1" xfId="0" applyBorder="1"/>
    <xf numFmtId="1" fontId="0" fillId="0" borderId="5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0" fillId="0" borderId="7" xfId="0" applyBorder="1"/>
    <xf numFmtId="0" fontId="1" fillId="0" borderId="1" xfId="0" applyFont="1" applyBorder="1" applyAlignment="1">
      <alignment horizontal="right"/>
    </xf>
    <xf numFmtId="1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0" fillId="0" borderId="16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4" xfId="0" applyNumberFormat="1" applyBorder="1" applyAlignment="1">
      <alignment horizontal="right"/>
    </xf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0" borderId="9" xfId="0" applyBorder="1"/>
    <xf numFmtId="0" fontId="0" fillId="0" borderId="5" xfId="0" applyBorder="1"/>
    <xf numFmtId="164" fontId="0" fillId="0" borderId="20" xfId="0" applyNumberFormat="1" applyBorder="1" applyAlignment="1">
      <alignment horizontal="right" vertical="center"/>
    </xf>
    <xf numFmtId="164" fontId="0" fillId="0" borderId="21" xfId="0" applyNumberFormat="1" applyBorder="1" applyAlignment="1">
      <alignment horizontal="right" vertical="center"/>
    </xf>
    <xf numFmtId="164" fontId="0" fillId="0" borderId="21" xfId="0" applyNumberFormat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" fontId="0" fillId="0" borderId="6" xfId="0" applyNumberFormat="1" applyBorder="1"/>
    <xf numFmtId="2" fontId="0" fillId="0" borderId="1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1" fontId="0" fillId="0" borderId="1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1" xfId="0" applyNumberFormat="1" applyBorder="1"/>
    <xf numFmtId="1" fontId="0" fillId="0" borderId="23" xfId="0" applyNumberFormat="1" applyBorder="1" applyAlignment="1">
      <alignment horizontal="right"/>
    </xf>
    <xf numFmtId="1" fontId="0" fillId="0" borderId="24" xfId="0" applyNumberFormat="1" applyBorder="1" applyAlignment="1">
      <alignment horizontal="right"/>
    </xf>
    <xf numFmtId="0" fontId="0" fillId="0" borderId="20" xfId="0" applyBorder="1"/>
    <xf numFmtId="0" fontId="0" fillId="0" borderId="22" xfId="0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1" fontId="0" fillId="0" borderId="6" xfId="0" applyNumberFormat="1" applyBorder="1"/>
    <xf numFmtId="0" fontId="0" fillId="0" borderId="3" xfId="0" applyBorder="1"/>
    <xf numFmtId="0" fontId="0" fillId="0" borderId="8" xfId="0" applyBorder="1"/>
    <xf numFmtId="0" fontId="1" fillId="0" borderId="7" xfId="0" applyFont="1" applyBorder="1" applyAlignment="1">
      <alignment horizontal="left"/>
    </xf>
    <xf numFmtId="1" fontId="0" fillId="0" borderId="9" xfId="0" applyNumberFormat="1" applyBorder="1"/>
    <xf numFmtId="49" fontId="0" fillId="0" borderId="0" xfId="0" applyNumberFormat="1" applyAlignment="1">
      <alignment horizontal="right"/>
    </xf>
    <xf numFmtId="49" fontId="4" fillId="0" borderId="0" xfId="0" applyNumberFormat="1" applyFont="1"/>
    <xf numFmtId="49" fontId="4" fillId="0" borderId="0" xfId="0" applyNumberFormat="1" applyFont="1" applyAlignment="1">
      <alignment horizontal="right"/>
    </xf>
    <xf numFmtId="49" fontId="0" fillId="0" borderId="6" xfId="0" applyNumberFormat="1" applyBorder="1" applyAlignment="1">
      <alignment horizontal="right"/>
    </xf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E7D9-5C3A-7845-94F1-8EB449CFE0A9}">
  <dimension ref="B1:X36"/>
  <sheetViews>
    <sheetView tabSelected="1" topLeftCell="L1" zoomScale="130" zoomScaleNormal="130" workbookViewId="0">
      <selection activeCell="V22" sqref="V22"/>
    </sheetView>
  </sheetViews>
  <sheetFormatPr baseColWidth="10" defaultRowHeight="16" x14ac:dyDescent="0.2"/>
  <cols>
    <col min="1" max="1" width="1.33203125" customWidth="1"/>
    <col min="2" max="2" width="9.33203125" customWidth="1"/>
    <col min="3" max="3" width="10.83203125" style="2" customWidth="1"/>
    <col min="4" max="4" width="12.33203125" style="2" customWidth="1"/>
    <col min="5" max="6" width="9.1640625" style="3" customWidth="1"/>
    <col min="7" max="7" width="1.6640625" customWidth="1"/>
    <col min="8" max="8" width="7.5" customWidth="1"/>
    <col min="9" max="9" width="10.1640625" customWidth="1"/>
    <col min="10" max="10" width="11.5" customWidth="1"/>
    <col min="11" max="11" width="3.33203125" style="1" customWidth="1"/>
    <col min="14" max="14" width="9.1640625" customWidth="1"/>
    <col min="15" max="15" width="8.5" customWidth="1"/>
    <col min="16" max="16" width="6.6640625" style="1" customWidth="1"/>
    <col min="17" max="17" width="7.5" customWidth="1"/>
    <col min="18" max="18" width="8.6640625" customWidth="1"/>
    <col min="19" max="19" width="6.83203125" customWidth="1"/>
    <col min="20" max="20" width="8" style="81" customWidth="1"/>
    <col min="21" max="21" width="14.83203125" style="4" customWidth="1"/>
  </cols>
  <sheetData>
    <row r="1" spans="2:24" ht="5" customHeight="1" thickBot="1" x14ac:dyDescent="0.25"/>
    <row r="2" spans="2:24" x14ac:dyDescent="0.2">
      <c r="D2" s="22" t="s">
        <v>30</v>
      </c>
      <c r="E2" s="60" t="s">
        <v>15</v>
      </c>
      <c r="F2" s="61" t="s">
        <v>16</v>
      </c>
      <c r="H2" s="27"/>
      <c r="I2" s="42" t="s">
        <v>10</v>
      </c>
      <c r="J2" s="43" t="s">
        <v>11</v>
      </c>
    </row>
    <row r="3" spans="2:24" ht="17" thickBot="1" x14ac:dyDescent="0.25">
      <c r="D3" s="26">
        <v>4</v>
      </c>
      <c r="E3" s="11">
        <v>-36</v>
      </c>
      <c r="F3" s="6">
        <v>10</v>
      </c>
      <c r="H3" s="29">
        <v>180</v>
      </c>
      <c r="I3" s="44">
        <v>40000000</v>
      </c>
      <c r="J3" s="31">
        <f>I3/2</f>
        <v>20000000</v>
      </c>
    </row>
    <row r="4" spans="2:24" ht="4" customHeight="1" thickBot="1" x14ac:dyDescent="0.25">
      <c r="D4" s="23"/>
      <c r="E4" s="24"/>
      <c r="F4" s="25"/>
    </row>
    <row r="5" spans="2:24" ht="17" thickBot="1" x14ac:dyDescent="0.25">
      <c r="C5" s="12" t="s">
        <v>14</v>
      </c>
      <c r="D5" s="13" t="s">
        <v>17</v>
      </c>
      <c r="E5" s="62" t="s">
        <v>18</v>
      </c>
      <c r="F5" s="63" t="s">
        <v>19</v>
      </c>
      <c r="H5" s="27">
        <v>1</v>
      </c>
      <c r="I5" s="39">
        <f>J3/180</f>
        <v>111111.11111111111</v>
      </c>
      <c r="J5" s="28">
        <v>111</v>
      </c>
      <c r="K5" s="46" t="s">
        <v>22</v>
      </c>
      <c r="O5" s="4" t="s">
        <v>50</v>
      </c>
      <c r="P5" s="4"/>
    </row>
    <row r="6" spans="2:24" x14ac:dyDescent="0.2">
      <c r="B6" s="14" t="s">
        <v>6</v>
      </c>
      <c r="C6" s="18">
        <v>52.273133000000001</v>
      </c>
      <c r="D6" s="32">
        <v>1.4146129999999999</v>
      </c>
      <c r="E6" s="53">
        <f>10000*(C6+$E$3)/$D$3</f>
        <v>40682.832500000004</v>
      </c>
      <c r="F6" s="54">
        <f>10000*(D6+$F$3)/$D$3</f>
        <v>28536.532499999998</v>
      </c>
      <c r="H6" s="9">
        <f t="shared" ref="H6:I10" si="0">H5/10</f>
        <v>0.1</v>
      </c>
      <c r="I6" s="40">
        <f t="shared" si="0"/>
        <v>11111.111111111111</v>
      </c>
      <c r="J6" s="5">
        <v>11</v>
      </c>
      <c r="K6" s="47" t="s">
        <v>22</v>
      </c>
      <c r="M6" s="27">
        <v>43.615929000000001</v>
      </c>
      <c r="N6" s="70">
        <v>1.3112950000000001</v>
      </c>
      <c r="O6" s="53">
        <f>10000*(M6+$E$3)/$D$3</f>
        <v>19039.822500000002</v>
      </c>
      <c r="P6" s="54">
        <f>10000*(N6+$F$3)/$D$3</f>
        <v>28278.237499999999</v>
      </c>
      <c r="U6" s="74" t="s">
        <v>63</v>
      </c>
    </row>
    <row r="7" spans="2:24" x14ac:dyDescent="0.2">
      <c r="B7" s="15" t="s">
        <v>5</v>
      </c>
      <c r="C7" s="19">
        <v>51.595024000000002</v>
      </c>
      <c r="D7" s="33">
        <v>-1.052503</v>
      </c>
      <c r="E7" s="50">
        <f t="shared" ref="E7:E17" si="1">10000*(C7+$E$3)/$D$3</f>
        <v>38987.560000000005</v>
      </c>
      <c r="F7" s="51">
        <f t="shared" ref="F7:F17" si="2">10000*(D7+$F$3)/$D$3</f>
        <v>22368.7425</v>
      </c>
      <c r="H7" s="9">
        <f t="shared" si="0"/>
        <v>0.01</v>
      </c>
      <c r="I7" s="40">
        <f t="shared" si="0"/>
        <v>1111.1111111111111</v>
      </c>
      <c r="J7" s="5">
        <v>1</v>
      </c>
      <c r="K7" s="47" t="s">
        <v>22</v>
      </c>
      <c r="M7" s="9">
        <v>43.589986000000003</v>
      </c>
      <c r="N7" s="57">
        <v>1.1541129999999999</v>
      </c>
      <c r="O7" s="50">
        <f>10000*(M7+$E$3)/$D$3</f>
        <v>18974.965000000007</v>
      </c>
      <c r="P7" s="51">
        <f>10000*(N7+$F$3)/$D$3</f>
        <v>27885.282500000001</v>
      </c>
      <c r="Q7">
        <v>12.981</v>
      </c>
      <c r="U7" s="75" t="s">
        <v>64</v>
      </c>
    </row>
    <row r="8" spans="2:24" x14ac:dyDescent="0.2">
      <c r="B8" s="15" t="s">
        <v>1</v>
      </c>
      <c r="C8" s="19">
        <v>51.004877999999998</v>
      </c>
      <c r="D8" s="33">
        <v>2.4040859999999999</v>
      </c>
      <c r="E8" s="50">
        <f t="shared" si="1"/>
        <v>37512.194999999992</v>
      </c>
      <c r="F8" s="51">
        <f t="shared" si="2"/>
        <v>31010.215</v>
      </c>
      <c r="H8" s="9">
        <f t="shared" si="0"/>
        <v>1E-3</v>
      </c>
      <c r="I8" s="40">
        <f t="shared" si="0"/>
        <v>111.11111111111111</v>
      </c>
      <c r="J8" s="5">
        <v>100</v>
      </c>
      <c r="K8" s="47" t="s">
        <v>31</v>
      </c>
      <c r="M8" s="9">
        <v>43.499321000000002</v>
      </c>
      <c r="N8" s="57">
        <v>1.316157</v>
      </c>
      <c r="O8" s="50">
        <f>10000*(M8+$E$3)/$D$3</f>
        <v>18748.302500000005</v>
      </c>
      <c r="P8" s="51">
        <f>10000*(N8+$F$3)/$D$3</f>
        <v>28290.392500000002</v>
      </c>
      <c r="Q8">
        <v>12.972</v>
      </c>
    </row>
    <row r="9" spans="2:24" ht="17" thickBot="1" x14ac:dyDescent="0.25">
      <c r="B9" s="15" t="s">
        <v>0</v>
      </c>
      <c r="C9" s="19">
        <v>48.826509999999999</v>
      </c>
      <c r="D9" s="33">
        <v>7.8533039999999996</v>
      </c>
      <c r="E9" s="50">
        <f t="shared" si="1"/>
        <v>32066.274999999998</v>
      </c>
      <c r="F9" s="51">
        <f t="shared" si="2"/>
        <v>44633.26</v>
      </c>
      <c r="H9" s="9">
        <f t="shared" si="0"/>
        <v>1E-4</v>
      </c>
      <c r="I9" s="40">
        <f t="shared" si="0"/>
        <v>11.111111111111111</v>
      </c>
      <c r="J9" s="5">
        <v>10</v>
      </c>
      <c r="K9" s="47" t="s">
        <v>31</v>
      </c>
      <c r="M9" s="29">
        <v>43.530233000000003</v>
      </c>
      <c r="N9" s="71">
        <v>1.202021</v>
      </c>
      <c r="O9" s="26">
        <f>10000*(M9+$E$3)/$D$3</f>
        <v>18825.582500000008</v>
      </c>
      <c r="P9" s="52">
        <f>10000*(N9+$F$3)/$D$3</f>
        <v>28005.052500000002</v>
      </c>
      <c r="Q9">
        <v>12.973000000000001</v>
      </c>
      <c r="T9" s="82" t="s">
        <v>61</v>
      </c>
    </row>
    <row r="10" spans="2:24" ht="17" thickBot="1" x14ac:dyDescent="0.25">
      <c r="B10" s="15" t="s">
        <v>2</v>
      </c>
      <c r="C10" s="19">
        <v>48.303044</v>
      </c>
      <c r="D10" s="33">
        <v>-4.4513829999999999</v>
      </c>
      <c r="E10" s="50">
        <f t="shared" si="1"/>
        <v>30757.61</v>
      </c>
      <c r="F10" s="51">
        <f t="shared" si="2"/>
        <v>13871.5425</v>
      </c>
      <c r="H10" s="29">
        <f t="shared" si="0"/>
        <v>1.0000000000000001E-5</v>
      </c>
      <c r="I10" s="41">
        <f t="shared" si="0"/>
        <v>1.1111111111111112</v>
      </c>
      <c r="J10" s="30">
        <v>1</v>
      </c>
      <c r="K10" s="48" t="s">
        <v>31</v>
      </c>
      <c r="N10" s="37"/>
      <c r="O10" s="1"/>
      <c r="U10" s="74">
        <v>0</v>
      </c>
    </row>
    <row r="11" spans="2:24" x14ac:dyDescent="0.2">
      <c r="B11" s="15" t="s">
        <v>8</v>
      </c>
      <c r="C11" s="19">
        <v>45.158557999999999</v>
      </c>
      <c r="D11" s="33">
        <v>1.6072040000000001</v>
      </c>
      <c r="E11" s="50">
        <f t="shared" si="1"/>
        <v>22896.394999999997</v>
      </c>
      <c r="F11" s="51">
        <f t="shared" si="2"/>
        <v>29018.01</v>
      </c>
      <c r="L11" s="36" t="s">
        <v>14</v>
      </c>
      <c r="M11" s="36" t="s">
        <v>17</v>
      </c>
      <c r="N11" s="36" t="s">
        <v>14</v>
      </c>
      <c r="O11" s="36" t="s">
        <v>17</v>
      </c>
      <c r="P11" s="38" t="s">
        <v>34</v>
      </c>
    </row>
    <row r="12" spans="2:24" x14ac:dyDescent="0.2">
      <c r="B12" s="15" t="s">
        <v>7</v>
      </c>
      <c r="C12" s="19">
        <v>44.821995999999999</v>
      </c>
      <c r="D12" s="33">
        <v>-0.49729600000000002</v>
      </c>
      <c r="E12" s="50">
        <f t="shared" si="1"/>
        <v>22054.989999999998</v>
      </c>
      <c r="F12" s="51">
        <f t="shared" si="2"/>
        <v>23756.76</v>
      </c>
      <c r="H12" s="10" t="s">
        <v>41</v>
      </c>
      <c r="I12" s="10" t="s">
        <v>29</v>
      </c>
      <c r="J12" s="10" t="s">
        <v>28</v>
      </c>
      <c r="L12">
        <v>4.0682832500000004</v>
      </c>
      <c r="M12">
        <v>2.8536532499999998</v>
      </c>
      <c r="N12">
        <f>L12*$D$3-$E$3</f>
        <v>52.273133000000001</v>
      </c>
      <c r="O12">
        <f>M12*$D$3-$F$3</f>
        <v>1.4146129999999992</v>
      </c>
    </row>
    <row r="13" spans="2:24" x14ac:dyDescent="0.2">
      <c r="B13" s="16" t="s">
        <v>9</v>
      </c>
      <c r="C13" s="20">
        <v>43.601671000000003</v>
      </c>
      <c r="D13" s="34">
        <v>4.113569</v>
      </c>
      <c r="E13" s="50">
        <f t="shared" si="1"/>
        <v>19004.177500000009</v>
      </c>
      <c r="F13" s="51">
        <f t="shared" si="2"/>
        <v>35283.922500000001</v>
      </c>
      <c r="H13" s="72">
        <v>65536</v>
      </c>
      <c r="I13" s="5">
        <v>4096</v>
      </c>
      <c r="J13" s="5">
        <v>256</v>
      </c>
      <c r="K13" s="49"/>
      <c r="L13">
        <v>40683</v>
      </c>
      <c r="M13">
        <v>28537</v>
      </c>
      <c r="N13">
        <f>$D$3*L13/10000-$E$3</f>
        <v>52.273200000000003</v>
      </c>
      <c r="O13">
        <f>$D$3*M13/10000-$F$3</f>
        <v>1.4147999999999996</v>
      </c>
    </row>
    <row r="14" spans="2:24" x14ac:dyDescent="0.2">
      <c r="B14" s="15" t="s">
        <v>3</v>
      </c>
      <c r="C14" s="19">
        <v>42.553818999999997</v>
      </c>
      <c r="D14" s="33">
        <v>1.563331</v>
      </c>
      <c r="E14" s="50">
        <f t="shared" si="1"/>
        <v>16384.547499999993</v>
      </c>
      <c r="F14" s="51">
        <f t="shared" si="2"/>
        <v>28908.327499999999</v>
      </c>
      <c r="H14" s="5">
        <f>H13/2</f>
        <v>32768</v>
      </c>
      <c r="I14" s="5">
        <f>I13/2</f>
        <v>2048</v>
      </c>
      <c r="J14" s="5">
        <f>J13/2</f>
        <v>128</v>
      </c>
      <c r="L14">
        <v>40684</v>
      </c>
      <c r="M14">
        <v>28538</v>
      </c>
      <c r="N14">
        <f>$D$3*L14/10000-$E$3</f>
        <v>52.273600000000002</v>
      </c>
      <c r="O14">
        <f>$D$3*M14/10000-$F$3</f>
        <v>1.4152000000000005</v>
      </c>
      <c r="R14" t="s">
        <v>33</v>
      </c>
      <c r="S14" t="s">
        <v>32</v>
      </c>
      <c r="V14">
        <v>43.540396000000001</v>
      </c>
      <c r="W14">
        <v>1.6157170000000001</v>
      </c>
      <c r="X14" t="s">
        <v>62</v>
      </c>
    </row>
    <row r="15" spans="2:24" x14ac:dyDescent="0.2">
      <c r="B15" s="15" t="s">
        <v>4</v>
      </c>
      <c r="C15" s="19">
        <v>38.673963999999998</v>
      </c>
      <c r="D15" s="33">
        <v>-8.7518010000000004</v>
      </c>
      <c r="E15" s="50">
        <f t="shared" si="1"/>
        <v>6684.9099999999953</v>
      </c>
      <c r="F15" s="51">
        <f t="shared" si="2"/>
        <v>3120.497499999999</v>
      </c>
      <c r="L15">
        <v>40682</v>
      </c>
      <c r="M15">
        <v>28536</v>
      </c>
      <c r="N15">
        <f>$D$3*L15/10000-$E$3</f>
        <v>52.272800000000004</v>
      </c>
      <c r="O15">
        <f>$D$3*M15/10000-$F$3</f>
        <v>1.4144000000000005</v>
      </c>
      <c r="P15" s="1" t="s">
        <v>38</v>
      </c>
      <c r="R15" t="s">
        <v>36</v>
      </c>
      <c r="S15" t="s">
        <v>37</v>
      </c>
    </row>
    <row r="16" spans="2:24" ht="17" thickBot="1" x14ac:dyDescent="0.25">
      <c r="B16" s="16"/>
      <c r="C16" s="20"/>
      <c r="D16" s="34"/>
      <c r="E16" s="50"/>
      <c r="F16" s="51"/>
      <c r="I16" t="s">
        <v>42</v>
      </c>
      <c r="U16" s="4" t="s">
        <v>66</v>
      </c>
      <c r="V16">
        <f>HEX2DEC(U16)/1000000</f>
        <v>43.540396000000001</v>
      </c>
      <c r="W16">
        <f>HEX2DEC(U17)/1000000  -10</f>
        <v>1.6157170000000001</v>
      </c>
      <c r="X16" t="s">
        <v>62</v>
      </c>
    </row>
    <row r="17" spans="2:24" x14ac:dyDescent="0.2">
      <c r="B17" s="15" t="s">
        <v>20</v>
      </c>
      <c r="C17" s="20">
        <v>62</v>
      </c>
      <c r="D17" s="34">
        <v>16</v>
      </c>
      <c r="E17" s="50">
        <f t="shared" si="1"/>
        <v>65000</v>
      </c>
      <c r="F17" s="51">
        <f t="shared" si="2"/>
        <v>65000</v>
      </c>
      <c r="H17" s="45" t="s">
        <v>43</v>
      </c>
      <c r="I17" s="42" t="s">
        <v>44</v>
      </c>
      <c r="J17" s="43" t="s">
        <v>40</v>
      </c>
      <c r="L17">
        <v>3.8987560000000006</v>
      </c>
      <c r="M17">
        <v>2.2368742500000001</v>
      </c>
      <c r="N17">
        <f>L17*$D$3-$E$3</f>
        <v>51.595024000000002</v>
      </c>
      <c r="O17">
        <f>M17*$D$3-$F$3</f>
        <v>-1.0525029999999997</v>
      </c>
      <c r="T17" s="83"/>
      <c r="U17" s="4" t="s">
        <v>67</v>
      </c>
    </row>
    <row r="18" spans="2:24" ht="17" thickBot="1" x14ac:dyDescent="0.25">
      <c r="B18" s="17" t="s">
        <v>21</v>
      </c>
      <c r="C18" s="21">
        <v>36</v>
      </c>
      <c r="D18" s="35">
        <f>-10</f>
        <v>-10</v>
      </c>
      <c r="E18" s="26">
        <f t="shared" ref="E18" si="3">10000*(C18+$E$3)/$D$3</f>
        <v>0</v>
      </c>
      <c r="F18" s="52">
        <f>10000*(D18+$F$3)/$D$3</f>
        <v>0</v>
      </c>
      <c r="H18" s="29">
        <v>12</v>
      </c>
      <c r="I18" s="30">
        <v>12</v>
      </c>
      <c r="J18" s="31">
        <v>0</v>
      </c>
      <c r="L18">
        <v>38988</v>
      </c>
      <c r="M18">
        <v>22369</v>
      </c>
      <c r="N18">
        <f>L18/10000*$D$3-$E$3</f>
        <v>51.595199999999998</v>
      </c>
      <c r="O18">
        <f>M18/10000*$D$3-$F$3</f>
        <v>-1.0524000000000004</v>
      </c>
      <c r="P18" s="1" t="s">
        <v>35</v>
      </c>
    </row>
    <row r="19" spans="2:24" x14ac:dyDescent="0.2">
      <c r="B19" s="7"/>
      <c r="C19" s="8"/>
      <c r="F19" s="64"/>
      <c r="S19" s="27" t="s">
        <v>52</v>
      </c>
      <c r="T19" s="84" t="s">
        <v>68</v>
      </c>
      <c r="U19" s="76">
        <f t="shared" ref="U19:U21" si="4">HEX2DEC(T19)</f>
        <v>24</v>
      </c>
      <c r="V19" s="28"/>
      <c r="W19" s="28"/>
      <c r="X19" s="77"/>
    </row>
    <row r="20" spans="2:24" x14ac:dyDescent="0.2">
      <c r="D20"/>
      <c r="E20" s="65" t="s">
        <v>22</v>
      </c>
      <c r="F20" s="66" t="s">
        <v>26</v>
      </c>
      <c r="G20" s="59"/>
      <c r="H20" s="58">
        <v>24</v>
      </c>
      <c r="I20" s="55" t="s">
        <v>25</v>
      </c>
      <c r="J20" s="5"/>
      <c r="L20">
        <v>52000</v>
      </c>
      <c r="M20">
        <v>52300</v>
      </c>
      <c r="N20">
        <v>300</v>
      </c>
      <c r="S20" s="9" t="s">
        <v>53</v>
      </c>
      <c r="T20" s="85" t="s">
        <v>69</v>
      </c>
      <c r="U20" s="56">
        <f t="shared" si="4"/>
        <v>18926</v>
      </c>
      <c r="V20" s="5">
        <f>U20*4/10000 +36</f>
        <v>43.570399999999999</v>
      </c>
      <c r="W20" s="5">
        <f>V20</f>
        <v>43.570399999999999</v>
      </c>
      <c r="X20" s="78">
        <f>V21</f>
        <v>1.4312000000000005</v>
      </c>
    </row>
    <row r="21" spans="2:24" x14ac:dyDescent="0.2">
      <c r="C21" s="3">
        <v>100000</v>
      </c>
      <c r="D21"/>
      <c r="E21" s="56">
        <v>200</v>
      </c>
      <c r="F21" s="67">
        <v>60</v>
      </c>
      <c r="G21" s="59"/>
      <c r="H21" s="58">
        <f>H20*60</f>
        <v>1440</v>
      </c>
      <c r="I21" s="5">
        <v>120</v>
      </c>
      <c r="J21" s="5" t="s">
        <v>24</v>
      </c>
      <c r="L21">
        <v>10000</v>
      </c>
      <c r="M21">
        <v>13000</v>
      </c>
      <c r="N21">
        <v>300</v>
      </c>
      <c r="S21" s="9" t="s">
        <v>54</v>
      </c>
      <c r="T21" s="86" t="s">
        <v>70</v>
      </c>
      <c r="U21" s="56">
        <f t="shared" si="4"/>
        <v>28578</v>
      </c>
      <c r="V21" s="5">
        <f>U21*4/10000 -10</f>
        <v>1.4312000000000005</v>
      </c>
      <c r="W21" s="5"/>
      <c r="X21" s="78"/>
    </row>
    <row r="22" spans="2:24" x14ac:dyDescent="0.2">
      <c r="C22" s="3">
        <f>C6*C21</f>
        <v>5227313.3</v>
      </c>
      <c r="D22" s="1" t="s">
        <v>27</v>
      </c>
      <c r="E22" s="56">
        <f>E21*F22/F21</f>
        <v>13.333333333333334</v>
      </c>
      <c r="F22" s="67">
        <v>4</v>
      </c>
      <c r="G22" s="59"/>
      <c r="H22" s="58">
        <f>H21/F21</f>
        <v>24</v>
      </c>
      <c r="I22" s="5">
        <f>I21-H22</f>
        <v>96</v>
      </c>
      <c r="J22" s="5" t="s">
        <v>23</v>
      </c>
      <c r="P22" s="1" t="s">
        <v>39</v>
      </c>
      <c r="S22" s="9" t="s">
        <v>55</v>
      </c>
      <c r="T22" s="86" t="s">
        <v>71</v>
      </c>
      <c r="U22" s="56">
        <f>HEX2DEC(T22)</f>
        <v>158</v>
      </c>
      <c r="V22" s="5">
        <f>U22/1000 -0.127</f>
        <v>3.1E-2</v>
      </c>
      <c r="W22" s="5">
        <f>V20+V22</f>
        <v>43.601399999999998</v>
      </c>
      <c r="X22" s="78">
        <f>V21+V23</f>
        <v>1.3982000000000006</v>
      </c>
    </row>
    <row r="23" spans="2:24" x14ac:dyDescent="0.2">
      <c r="D23"/>
      <c r="E23" s="4"/>
      <c r="F23" s="4"/>
      <c r="G23" s="7"/>
      <c r="L23">
        <v>4</v>
      </c>
      <c r="M23">
        <v>2</v>
      </c>
      <c r="N23">
        <v>2</v>
      </c>
      <c r="O23">
        <v>2</v>
      </c>
      <c r="P23" s="1">
        <v>2</v>
      </c>
      <c r="Q23">
        <v>12</v>
      </c>
      <c r="S23" s="79" t="s">
        <v>56</v>
      </c>
      <c r="T23" s="86" t="s">
        <v>72</v>
      </c>
      <c r="U23" s="56">
        <f t="shared" ref="U23:U27" si="5">HEX2DEC(T23)</f>
        <v>94</v>
      </c>
      <c r="V23" s="5">
        <f t="shared" ref="V23:V27" si="6">U23/1000 -0.127</f>
        <v>-3.3000000000000002E-2</v>
      </c>
      <c r="W23" s="5"/>
      <c r="X23" s="78"/>
    </row>
    <row r="24" spans="2:24" ht="17" thickBot="1" x14ac:dyDescent="0.25">
      <c r="H24" s="1" t="s">
        <v>12</v>
      </c>
      <c r="I24" s="1" t="s">
        <v>13</v>
      </c>
      <c r="J24" s="3"/>
      <c r="S24" s="9" t="s">
        <v>57</v>
      </c>
      <c r="T24" s="86" t="s">
        <v>73</v>
      </c>
      <c r="U24" s="56">
        <f t="shared" si="5"/>
        <v>130</v>
      </c>
      <c r="V24" s="5">
        <f t="shared" si="6"/>
        <v>3.0000000000000027E-3</v>
      </c>
      <c r="W24" s="5">
        <f>V20+V24</f>
        <v>43.573399999999999</v>
      </c>
      <c r="X24" s="78">
        <f>V21+V25</f>
        <v>1.3752000000000004</v>
      </c>
    </row>
    <row r="25" spans="2:24" ht="17" thickBot="1" x14ac:dyDescent="0.25">
      <c r="C25" s="3">
        <v>1000000</v>
      </c>
      <c r="D25" s="3">
        <v>10</v>
      </c>
      <c r="E25" s="68" t="s">
        <v>22</v>
      </c>
      <c r="F25" s="69" t="s">
        <v>26</v>
      </c>
      <c r="L25">
        <v>128</v>
      </c>
      <c r="M25" t="s">
        <v>45</v>
      </c>
      <c r="S25" s="9" t="s">
        <v>58</v>
      </c>
      <c r="T25" s="86" t="s">
        <v>74</v>
      </c>
      <c r="U25" s="56">
        <f t="shared" si="5"/>
        <v>71</v>
      </c>
      <c r="V25" s="5">
        <f t="shared" si="6"/>
        <v>-5.6000000000000008E-2</v>
      </c>
      <c r="W25" s="5"/>
      <c r="X25" s="78"/>
    </row>
    <row r="26" spans="2:24" x14ac:dyDescent="0.2">
      <c r="E26" s="53">
        <v>160</v>
      </c>
      <c r="F26" s="54">
        <v>60</v>
      </c>
      <c r="G26" s="4"/>
      <c r="H26" s="4"/>
      <c r="I26" s="4"/>
      <c r="S26" s="9" t="s">
        <v>59</v>
      </c>
      <c r="T26" s="86" t="s">
        <v>65</v>
      </c>
      <c r="U26" s="56">
        <f t="shared" si="5"/>
        <v>139</v>
      </c>
      <c r="V26" s="5">
        <f t="shared" si="6"/>
        <v>1.2000000000000011E-2</v>
      </c>
      <c r="W26" s="5">
        <f>V20+V26</f>
        <v>43.5824</v>
      </c>
      <c r="X26" s="78">
        <f>V21+V27</f>
        <v>1.4082000000000006</v>
      </c>
    </row>
    <row r="27" spans="2:24" ht="17" thickBot="1" x14ac:dyDescent="0.25">
      <c r="C27" s="3">
        <f>C6*$C$25</f>
        <v>52273133</v>
      </c>
      <c r="D27" s="3">
        <f>(D6+$D$25)*$C$25</f>
        <v>11414613</v>
      </c>
      <c r="E27" s="50">
        <f>$E$26*F27/$F$26</f>
        <v>40</v>
      </c>
      <c r="F27" s="51">
        <v>15</v>
      </c>
      <c r="G27" s="4"/>
      <c r="H27" s="4"/>
      <c r="I27" s="4"/>
      <c r="J27">
        <f>24*60</f>
        <v>1440</v>
      </c>
      <c r="L27" t="s">
        <v>46</v>
      </c>
      <c r="S27" s="29" t="s">
        <v>60</v>
      </c>
      <c r="T27" s="87" t="s">
        <v>75</v>
      </c>
      <c r="U27" s="80">
        <f t="shared" si="5"/>
        <v>104</v>
      </c>
      <c r="V27" s="30">
        <f t="shared" si="6"/>
        <v>-2.3000000000000007E-2</v>
      </c>
      <c r="W27" s="30"/>
      <c r="X27" s="31"/>
    </row>
    <row r="28" spans="2:24" ht="23" x14ac:dyDescent="0.25">
      <c r="C28" s="3">
        <f t="shared" ref="C28:C35" si="7">C7*$C$25</f>
        <v>51595024</v>
      </c>
      <c r="D28" s="3">
        <f t="shared" ref="D28:D36" si="8">(D7+$D$25)*$C$25</f>
        <v>8947497</v>
      </c>
      <c r="E28" s="50">
        <f>$E$26*F28/$F$26</f>
        <v>13.333333333333334</v>
      </c>
      <c r="F28" s="51">
        <v>5</v>
      </c>
      <c r="G28" s="4"/>
      <c r="H28" s="4"/>
      <c r="I28" s="4"/>
      <c r="J28">
        <f>J27/16</f>
        <v>90</v>
      </c>
      <c r="L28" t="s">
        <v>48</v>
      </c>
      <c r="O28" s="73" t="s">
        <v>51</v>
      </c>
    </row>
    <row r="29" spans="2:24" x14ac:dyDescent="0.2">
      <c r="C29" s="3">
        <f t="shared" si="7"/>
        <v>51004878</v>
      </c>
      <c r="D29" s="3">
        <f t="shared" si="8"/>
        <v>12404086</v>
      </c>
      <c r="E29" s="50">
        <f>$E$26*F29/$F$26</f>
        <v>10.666666666666666</v>
      </c>
      <c r="F29" s="51">
        <v>4</v>
      </c>
      <c r="G29" s="4"/>
      <c r="H29" s="4"/>
      <c r="I29" s="4"/>
      <c r="J29">
        <f>J28*4</f>
        <v>360</v>
      </c>
      <c r="L29" t="s">
        <v>47</v>
      </c>
    </row>
    <row r="30" spans="2:24" ht="17" thickBot="1" x14ac:dyDescent="0.25">
      <c r="C30" s="3">
        <f t="shared" si="7"/>
        <v>48826510</v>
      </c>
      <c r="D30" s="3">
        <f t="shared" si="8"/>
        <v>17853304</v>
      </c>
      <c r="E30" s="26">
        <f>$E$26*F30/$F$26</f>
        <v>8</v>
      </c>
      <c r="F30" s="52">
        <v>3</v>
      </c>
      <c r="G30" s="4"/>
      <c r="H30" s="4"/>
      <c r="I30" s="4"/>
      <c r="J30">
        <v>30</v>
      </c>
      <c r="L30" t="s">
        <v>49</v>
      </c>
      <c r="O30">
        <f>65536*4/10000 - 36</f>
        <v>-9.7855999999999987</v>
      </c>
    </row>
    <row r="31" spans="2:24" x14ac:dyDescent="0.2">
      <c r="C31" s="3">
        <f t="shared" si="7"/>
        <v>48303044</v>
      </c>
      <c r="D31" s="3">
        <f t="shared" si="8"/>
        <v>5548617</v>
      </c>
      <c r="H31">
        <f>(65536-36000)/1000</f>
        <v>29.536000000000001</v>
      </c>
    </row>
    <row r="32" spans="2:24" x14ac:dyDescent="0.2">
      <c r="C32" s="3">
        <f t="shared" si="7"/>
        <v>45158558</v>
      </c>
      <c r="D32" s="3">
        <f t="shared" si="8"/>
        <v>11607204</v>
      </c>
    </row>
    <row r="33" spans="3:4" x14ac:dyDescent="0.2">
      <c r="C33" s="3">
        <f>C12*$C$25</f>
        <v>44821996</v>
      </c>
      <c r="D33" s="3">
        <f t="shared" si="8"/>
        <v>9502704</v>
      </c>
    </row>
    <row r="34" spans="3:4" x14ac:dyDescent="0.2">
      <c r="C34" s="3">
        <f t="shared" si="7"/>
        <v>43601671</v>
      </c>
      <c r="D34" s="3">
        <f t="shared" si="8"/>
        <v>14113569</v>
      </c>
    </row>
    <row r="35" spans="3:4" x14ac:dyDescent="0.2">
      <c r="C35" s="3">
        <f t="shared" si="7"/>
        <v>42553819</v>
      </c>
      <c r="D35" s="3">
        <f t="shared" si="8"/>
        <v>11563331</v>
      </c>
    </row>
    <row r="36" spans="3:4" x14ac:dyDescent="0.2">
      <c r="C36" s="3">
        <f>C15*$C$25</f>
        <v>38673964</v>
      </c>
      <c r="D36" s="3">
        <f t="shared" si="8"/>
        <v>1248198.9999999995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dumas</dc:creator>
  <cp:lastModifiedBy>jp dumas</cp:lastModifiedBy>
  <dcterms:created xsi:type="dcterms:W3CDTF">2020-02-02T11:00:36Z</dcterms:created>
  <dcterms:modified xsi:type="dcterms:W3CDTF">2020-06-16T14:58:02Z</dcterms:modified>
</cp:coreProperties>
</file>