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B9BDAFF-3796-4B36-B20B-09CEFD6E203A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3" i="2"/>
  <c r="M4" i="2"/>
  <c r="M5" i="2"/>
  <c r="M3" i="2"/>
  <c r="L4" i="2"/>
  <c r="L5" i="2"/>
  <c r="L3" i="2"/>
  <c r="K4" i="2"/>
  <c r="K5" i="2"/>
  <c r="K3" i="2"/>
  <c r="J12" i="1" l="1"/>
  <c r="I12" i="1"/>
  <c r="J11" i="1"/>
  <c r="I11" i="1"/>
  <c r="J10" i="1"/>
  <c r="I10" i="1"/>
  <c r="J4" i="1"/>
  <c r="J5" i="1"/>
  <c r="J3" i="1"/>
  <c r="I3" i="1"/>
  <c r="I4" i="1"/>
  <c r="I5" i="1"/>
  <c r="E12" i="2" l="1"/>
  <c r="G12" i="2"/>
  <c r="E11" i="2"/>
  <c r="C5" i="2"/>
  <c r="B5" i="2"/>
  <c r="D5" i="2"/>
  <c r="C3" i="2"/>
  <c r="B3" i="2"/>
  <c r="D3" i="2"/>
  <c r="C4" i="2"/>
  <c r="B4" i="2"/>
  <c r="D4" i="2"/>
  <c r="G11" i="2" l="1"/>
  <c r="H11" i="2" s="1"/>
  <c r="I11" i="2" s="1"/>
  <c r="J11" i="2" s="1"/>
  <c r="F12" i="2"/>
  <c r="H12" i="2"/>
  <c r="I12" i="2" s="1"/>
  <c r="J12" i="2" s="1"/>
  <c r="F11" i="2"/>
  <c r="B11" i="1"/>
  <c r="C11" i="1"/>
  <c r="C12" i="1"/>
  <c r="C5" i="1"/>
  <c r="B12" i="1"/>
  <c r="B10" i="1"/>
  <c r="E10" i="1" s="1"/>
  <c r="C10" i="1"/>
  <c r="G12" i="1"/>
  <c r="E12" i="1"/>
  <c r="G11" i="1"/>
  <c r="E11" i="1"/>
  <c r="G10" i="1"/>
  <c r="H11" i="1" l="1"/>
  <c r="H12" i="1"/>
  <c r="H10" i="1"/>
  <c r="F10" i="1"/>
  <c r="F11" i="1"/>
  <c r="F12" i="1"/>
  <c r="B5" i="1"/>
  <c r="B4" i="1"/>
  <c r="C4" i="1"/>
  <c r="C3" i="1"/>
  <c r="B3" i="1"/>
  <c r="E4" i="1" l="1"/>
  <c r="E5" i="1"/>
  <c r="E3" i="1"/>
  <c r="G4" i="1"/>
  <c r="G5" i="1"/>
  <c r="G3" i="1"/>
  <c r="F3" i="1" s="1"/>
  <c r="H5" i="1" l="1"/>
  <c r="F5" i="1"/>
  <c r="F4" i="1"/>
  <c r="H4" i="1"/>
  <c r="H3" i="1"/>
  <c r="B20" i="2"/>
  <c r="B21" i="2" s="1"/>
  <c r="G5" i="2"/>
  <c r="E5" i="2"/>
  <c r="G4" i="2"/>
  <c r="E4" i="2"/>
  <c r="G3" i="2"/>
  <c r="E3" i="2"/>
  <c r="H5" i="2" l="1"/>
  <c r="I5" i="2" s="1"/>
  <c r="J5" i="2" s="1"/>
  <c r="H4" i="2"/>
  <c r="I4" i="2" s="1"/>
  <c r="J4" i="2" s="1"/>
  <c r="H3" i="2"/>
  <c r="I3" i="2" s="1"/>
  <c r="J3" i="2" s="1"/>
  <c r="F4" i="2"/>
  <c r="F3" i="2"/>
  <c r="F5" i="2"/>
</calcChain>
</file>

<file path=xl/sharedStrings.xml><?xml version="1.0" encoding="utf-8"?>
<sst xmlns="http://schemas.openxmlformats.org/spreadsheetml/2006/main" count="86" uniqueCount="45">
  <si>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</si>
  <si>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</si>
  <si>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</si>
  <si>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</si>
  <si>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</si>
  <si>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</si>
  <si>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</si>
  <si>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</si>
  <si>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Q</t>
  </si>
  <si>
    <t>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</si>
  <si>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</si>
  <si>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</si>
  <si>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</si>
  <si>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</si>
  <si>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</si>
  <si>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</si>
  <si>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</si>
  <si>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</si>
  <si>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</si>
  <si>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</si>
  <si>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</si>
  <si>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</si>
  <si>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</si>
  <si>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</si>
  <si>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</si>
  <si>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</si>
  <si>
    <t>solo para núcleo de hierro laminado</t>
  </si>
  <si>
    <t>Nota: no sé cuantos núcleos son,</t>
  </si>
  <si>
    <t xml:space="preserve"> verificar las cuentas y P, Q y S</t>
  </si>
  <si>
    <t>Núcleo 1: maciso (homogeneo) de hierro (207)</t>
  </si>
  <si>
    <t>ohm</t>
  </si>
  <si>
    <t xml:space="preserve">Poca diferencia entre la resistencia </t>
  </si>
  <si>
    <t xml:space="preserve">y la reactancia, por eso cos(phi) </t>
  </si>
  <si>
    <t>da igual en A y C</t>
  </si>
  <si>
    <t>Ohm</t>
  </si>
  <si>
    <t>microF</t>
  </si>
  <si>
    <t>Ejercicio 3</t>
  </si>
  <si>
    <t>Medición</t>
  </si>
  <si>
    <t>phi (rad)</t>
  </si>
  <si>
    <t>phi (grados)</t>
  </si>
  <si>
    <t>Ctes para ejercicio 4</t>
  </si>
  <si>
    <t>C (f)</t>
  </si>
  <si>
    <t>Xc</t>
  </si>
  <si>
    <t>Q'</t>
  </si>
  <si>
    <t>Delta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</si>
</sst>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zoomScaleNormal="100" workbookViewId="0">
      <selection activeCell="I2" sqref="I2:J5"/>
    </sheetView>
  </sheetViews>
  <sheetFormatPr baseColWidth="10" defaultColWidth="9.140625" defaultRowHeight="15" x14ac:dyDescent="0.25"/>
  <cols>
    <col min="1" max="1" width="29" customWidth="1"/>
    <col min="10" max="10" width="13.85546875" customWidth="1"/>
  </cols>
  <sheetData>
    <row r="1" spans="1:17" x14ac:dyDescent="0.25">
      <c r="A1" s="19" t="s">
        <v>29</v>
      </c>
      <c r="B1" s="20"/>
      <c r="C1" s="20"/>
      <c r="D1" s="20"/>
      <c r="E1" s="20"/>
      <c r="F1" s="20"/>
      <c r="G1" s="20"/>
      <c r="H1" s="20"/>
      <c r="I1" s="20"/>
      <c r="J1" s="20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N2" s="30" t="s">
        <v>27</v>
      </c>
      <c r="O2" s="31"/>
      <c r="P2" s="31"/>
      <c r="Q2" s="32"/>
    </row>
    <row r="3" spans="1:17" x14ac:dyDescent="0.25">
      <c r="A3" s="1" t="s">
        <v>5</v>
      </c>
      <c r="B3" s="5">
        <f>29*0.25</f>
        <v>7.25</v>
      </c>
      <c r="C3" s="5">
        <f>0.55/2</f>
        <v>0.27500000000000002</v>
      </c>
      <c r="D3" s="5">
        <v>99.5</v>
      </c>
      <c r="E3" s="6">
        <f>$B3</f>
        <v>7.25</v>
      </c>
      <c r="F3" s="6">
        <f>SQRT($G3^2-$E3^2)</f>
        <v>26.384539151745667</v>
      </c>
      <c r="G3" s="6">
        <f>$C3*$D3</f>
        <v>27.362500000000001</v>
      </c>
      <c r="H3" s="6">
        <f>$E3/$G3</f>
        <v>0.26496116948378257</v>
      </c>
      <c r="I3" s="13">
        <f>ACOS(H3)</f>
        <v>1.3026326744935872</v>
      </c>
      <c r="J3" s="13">
        <f>180*I3/(2*PI())</f>
        <v>37.317677252160657</v>
      </c>
      <c r="N3" s="33" t="s">
        <v>28</v>
      </c>
      <c r="O3" s="34"/>
      <c r="P3" s="34"/>
      <c r="Q3" s="35"/>
    </row>
    <row r="4" spans="1:17" x14ac:dyDescent="0.25">
      <c r="A4" s="1" t="s">
        <v>6</v>
      </c>
      <c r="B4" s="5">
        <f>39.5*0.25</f>
        <v>9.875</v>
      </c>
      <c r="C4" s="5">
        <f>0.91/2</f>
        <v>0.45500000000000002</v>
      </c>
      <c r="D4" s="5">
        <v>98.5</v>
      </c>
      <c r="E4" s="6">
        <f t="shared" ref="E4:E5" si="0">$B4</f>
        <v>9.875</v>
      </c>
      <c r="F4" s="6">
        <f t="shared" ref="F4:F5" si="1">SQRT($G4^2-$E4^2)</f>
        <v>43.716046038611502</v>
      </c>
      <c r="G4" s="6">
        <f t="shared" ref="G4:G5" si="2">$C4*$D4</f>
        <v>44.817500000000003</v>
      </c>
      <c r="H4" s="6">
        <f t="shared" ref="H4:H5" si="3">$E4/$G4</f>
        <v>0.22033803759692083</v>
      </c>
      <c r="I4" s="13">
        <f t="shared" ref="I4:I5" si="4">ACOS(H4)</f>
        <v>1.3486353151827004</v>
      </c>
      <c r="J4" s="13">
        <f t="shared" ref="J4:J5" si="5">180*I4/(2*PI())</f>
        <v>38.635555831132145</v>
      </c>
      <c r="N4" s="36" t="s">
        <v>26</v>
      </c>
      <c r="O4" s="37"/>
      <c r="P4" s="37"/>
      <c r="Q4" s="38"/>
    </row>
    <row r="5" spans="1:17" x14ac:dyDescent="0.25">
      <c r="A5" s="1" t="s">
        <v>7</v>
      </c>
      <c r="B5" s="5">
        <f>93*0.25</f>
        <v>23.25</v>
      </c>
      <c r="C5" s="5">
        <f>0.922</f>
        <v>0.92200000000000004</v>
      </c>
      <c r="D5" s="5">
        <v>96</v>
      </c>
      <c r="E5" s="6">
        <f t="shared" si="0"/>
        <v>23.25</v>
      </c>
      <c r="F5" s="6">
        <f t="shared" si="1"/>
        <v>85.40381516068237</v>
      </c>
      <c r="G5" s="6">
        <f t="shared" si="2"/>
        <v>88.512</v>
      </c>
      <c r="H5" s="6">
        <f t="shared" si="3"/>
        <v>0.26267624728850325</v>
      </c>
      <c r="I5" s="13">
        <f t="shared" si="4"/>
        <v>1.3050015201360681</v>
      </c>
      <c r="J5" s="13">
        <f t="shared" si="5"/>
        <v>37.385539680976713</v>
      </c>
    </row>
    <row r="7" spans="1:17" x14ac:dyDescent="0.25">
      <c r="B7" s="2"/>
      <c r="C7" s="2"/>
      <c r="D7" s="2"/>
      <c r="E7" s="2"/>
      <c r="F7" s="2"/>
      <c r="G7" s="2"/>
      <c r="N7" s="1" t="s">
        <v>11</v>
      </c>
      <c r="O7" s="11">
        <v>22.6</v>
      </c>
      <c r="P7" s="12" t="s">
        <v>30</v>
      </c>
    </row>
    <row r="8" spans="1:17" x14ac:dyDescent="0.25">
      <c r="A8" s="19" t="s">
        <v>29</v>
      </c>
      <c r="B8" s="20"/>
      <c r="C8" s="20"/>
      <c r="D8" s="20"/>
      <c r="E8" s="20"/>
      <c r="F8" s="20"/>
      <c r="G8" s="20"/>
      <c r="H8" s="20"/>
      <c r="I8" s="20"/>
      <c r="J8" s="20"/>
      <c r="K8" s="2"/>
    </row>
    <row r="9" spans="1:17" x14ac:dyDescent="0.25">
      <c r="A9" s="4" t="s">
        <v>0</v>
      </c>
      <c r="B9" s="4" t="s">
        <v>2</v>
      </c>
      <c r="C9" s="4" t="s">
        <v>1</v>
      </c>
      <c r="D9" s="4" t="s">
        <v>4</v>
      </c>
      <c r="E9" s="4" t="s">
        <v>3</v>
      </c>
      <c r="F9" s="4" t="s">
        <v>8</v>
      </c>
      <c r="G9" s="4" t="s">
        <v>9</v>
      </c>
      <c r="H9" s="4" t="s">
        <v>10</v>
      </c>
      <c r="I9" s="4" t="s">
        <v>38</v>
      </c>
      <c r="J9" s="4" t="s">
        <v>39</v>
      </c>
      <c r="K9" s="2"/>
      <c r="N9" s="21" t="s">
        <v>31</v>
      </c>
      <c r="O9" s="22"/>
      <c r="P9" s="22"/>
      <c r="Q9" s="23"/>
    </row>
    <row r="10" spans="1:17" x14ac:dyDescent="0.25">
      <c r="A10" s="1" t="s">
        <v>5</v>
      </c>
      <c r="B10" s="5">
        <f>28.7*0.25</f>
        <v>7.1749999999999998</v>
      </c>
      <c r="C10" s="5">
        <f>0.55/2</f>
        <v>0.27500000000000002</v>
      </c>
      <c r="D10" s="5">
        <v>99</v>
      </c>
      <c r="E10" s="6">
        <f>$B10</f>
        <v>7.1749999999999998</v>
      </c>
      <c r="F10" s="6">
        <f>SQRT($G10^2-$E10^2)</f>
        <v>26.262520823409165</v>
      </c>
      <c r="G10" s="6">
        <f>$C10*$D10</f>
        <v>27.225000000000001</v>
      </c>
      <c r="H10" s="6">
        <f>$E10/$G10</f>
        <v>0.26354453627180896</v>
      </c>
      <c r="I10" s="13">
        <f>ACOS(H10)</f>
        <v>1.3041015202827992</v>
      </c>
      <c r="J10" s="13">
        <f>180*I10/(2*PI())</f>
        <v>37.359756584399364</v>
      </c>
      <c r="K10" s="2"/>
      <c r="N10" s="24" t="s">
        <v>32</v>
      </c>
      <c r="O10" s="25"/>
      <c r="P10" s="25"/>
      <c r="Q10" s="26"/>
    </row>
    <row r="11" spans="1:17" x14ac:dyDescent="0.25">
      <c r="A11" s="1" t="s">
        <v>6</v>
      </c>
      <c r="B11" s="5">
        <f>31*0.25</f>
        <v>7.75</v>
      </c>
      <c r="C11" s="5">
        <f>0.365</f>
        <v>0.36499999999999999</v>
      </c>
      <c r="D11" s="5">
        <v>98.5</v>
      </c>
      <c r="E11" s="6">
        <f>$B11</f>
        <v>7.75</v>
      </c>
      <c r="F11" s="6">
        <f>SQRT($G11^2-$E11^2)</f>
        <v>35.10726073407038</v>
      </c>
      <c r="G11" s="6">
        <f>$C11*$D11</f>
        <v>35.952500000000001</v>
      </c>
      <c r="H11" s="6">
        <f>$E11/$G11</f>
        <v>0.21556220012516514</v>
      </c>
      <c r="I11" s="13">
        <f t="shared" ref="I11:I12" si="6">ACOS(H11)</f>
        <v>1.353528797898006</v>
      </c>
      <c r="J11" s="13">
        <f t="shared" ref="J11:J12" si="7">180*I11/(2*PI())</f>
        <v>38.775743784485755</v>
      </c>
      <c r="N11" s="27" t="s">
        <v>33</v>
      </c>
      <c r="O11" s="28"/>
      <c r="P11" s="28"/>
      <c r="Q11" s="29"/>
    </row>
    <row r="12" spans="1:17" x14ac:dyDescent="0.25">
      <c r="A12" s="1" t="s">
        <v>7</v>
      </c>
      <c r="B12" s="5">
        <f>92*0.25</f>
        <v>23</v>
      </c>
      <c r="C12" s="5">
        <f>0.918</f>
        <v>0.91800000000000004</v>
      </c>
      <c r="D12" s="5">
        <v>95.1</v>
      </c>
      <c r="E12" s="6">
        <f>$B12</f>
        <v>23</v>
      </c>
      <c r="F12" s="6">
        <f>SQRT($G12^2-$E12^2)</f>
        <v>84.217600792470932</v>
      </c>
      <c r="G12" s="6">
        <f>$C12*$D12</f>
        <v>87.3018</v>
      </c>
      <c r="H12" s="6">
        <f>$E12/$G12</f>
        <v>0.2634539035850349</v>
      </c>
      <c r="I12" s="13">
        <f t="shared" si="6"/>
        <v>1.3041954733062036</v>
      </c>
      <c r="J12" s="13">
        <f t="shared" si="7"/>
        <v>37.362448140256141</v>
      </c>
    </row>
  </sheetData>
  <mergeCells count="8">
    <mergeCell ref="A1:J1"/>
    <mergeCell ref="A8:J8"/>
    <mergeCell ref="N9:Q9"/>
    <mergeCell ref="N10:Q10"/>
    <mergeCell ref="N11:Q11"/>
    <mergeCell ref="N2:Q2"/>
    <mergeCell ref="N3:Q3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Q21"/>
  <sheetViews>
    <sheetView tabSelected="1" workbookViewId="0">
      <selection activeCell="N3" sqref="N3"/>
    </sheetView>
  </sheetViews>
  <sheetFormatPr baseColWidth="10" defaultColWidth="9.140625" defaultRowHeight="15" x14ac:dyDescent="0.25"/>
  <cols>
    <col min="1" max="1" width="9.140625" customWidth="1"/>
    <col min="3" max="3" width="16.5703125" customWidth="1"/>
    <col min="5" max="6" width="11.28515625" customWidth="1"/>
    <col min="9" max="9" width="10.42578125" customWidth="1"/>
    <col min="10" max="10" width="12.85546875" customWidth="1"/>
    <col min="11" max="11" width="12" bestFit="1" customWidth="1"/>
    <col min="12" max="12" width="9.140625" customWidth="1"/>
    <col min="14" max="14" width="12.7109375" bestFit="1" customWidth="1"/>
  </cols>
  <sheetData>
    <row r="1" spans="1:17" x14ac:dyDescent="0.25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42" t="s">
        <v>24</v>
      </c>
      <c r="L1" s="39"/>
      <c r="M1" s="39"/>
      <c r="N1" s="39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K2" s="10" t="s">
        <v>43</v>
      </c>
      <c r="L2" s="10" t="s">
        <v>44</v>
      </c>
      <c r="M2" s="10" t="s">
        <v>42</v>
      </c>
      <c r="N2" s="10" t="s">
        <v>41</v>
      </c>
    </row>
    <row r="3" spans="1:17" x14ac:dyDescent="0.25">
      <c r="A3" s="1" t="s">
        <v>11</v>
      </c>
      <c r="B3" s="5">
        <f>0.5*109</f>
        <v>54.5</v>
      </c>
      <c r="C3" s="5">
        <f>0.5*0.795</f>
        <v>0.39750000000000002</v>
      </c>
      <c r="D3" s="5">
        <f>2*69</f>
        <v>138</v>
      </c>
      <c r="E3" s="6">
        <f>B3</f>
        <v>54.5</v>
      </c>
      <c r="F3" s="6">
        <f>SQRT(G3^2-E3^2)</f>
        <v>6.2306520525544231</v>
      </c>
      <c r="G3" s="6">
        <f>C3*D3</f>
        <v>54.855000000000004</v>
      </c>
      <c r="H3" s="6">
        <f>E3/G3</f>
        <v>0.99352839303618623</v>
      </c>
      <c r="I3" s="13">
        <f>ACOS(H3)</f>
        <v>0.11382969136405419</v>
      </c>
      <c r="J3" s="13">
        <f>180*I3/(2*PI())</f>
        <v>3.2609804492185299</v>
      </c>
      <c r="K3" s="45">
        <f>SQRT(1-$B$19^2)*E3/$B$19</f>
        <v>26.395554713662964</v>
      </c>
      <c r="L3" s="45">
        <f>F3-K3</f>
        <v>-20.164902661108542</v>
      </c>
      <c r="M3" s="45">
        <f>D3^2/L3</f>
        <v>-944.41318760886486</v>
      </c>
      <c r="N3" s="46">
        <f>1/(2*PI()*$B$18*M3)</f>
        <v>-3.3704515180448845E-6</v>
      </c>
      <c r="O3" s="1" t="s">
        <v>11</v>
      </c>
      <c r="P3" s="8">
        <v>16.7</v>
      </c>
      <c r="Q3" s="8" t="s">
        <v>34</v>
      </c>
    </row>
    <row r="4" spans="1:17" x14ac:dyDescent="0.25">
      <c r="A4" s="1" t="s">
        <v>12</v>
      </c>
      <c r="B4" s="5">
        <f>0.25*37.5</f>
        <v>9.375</v>
      </c>
      <c r="C4" s="5">
        <f>0.75</f>
        <v>0.75</v>
      </c>
      <c r="D4" s="5">
        <f>2*71</f>
        <v>142</v>
      </c>
      <c r="E4" s="6">
        <f>B4</f>
        <v>9.375</v>
      </c>
      <c r="F4" s="6">
        <f t="shared" ref="F4:F5" si="0">SQRT(G4^2-E4^2)</f>
        <v>106.08656547838656</v>
      </c>
      <c r="G4" s="6">
        <f t="shared" ref="G4:G5" si="1">C4*D4</f>
        <v>106.5</v>
      </c>
      <c r="H4" s="6">
        <f t="shared" ref="H4:H5" si="2">E4/G4</f>
        <v>8.8028169014084501E-2</v>
      </c>
      <c r="I4" s="13">
        <f t="shared" ref="I4:I5" si="3">ACOS(H4)</f>
        <v>1.4826540717377461</v>
      </c>
      <c r="J4" s="13">
        <f t="shared" ref="J4:J5" si="4">180*I4/(2*PI())</f>
        <v>42.474910394229816</v>
      </c>
      <c r="K4" s="45">
        <f t="shared" ref="K4:K5" si="5">SQRT(1-$B$19^2)*E4/$B$19</f>
        <v>4.5405197328548672</v>
      </c>
      <c r="L4" s="45">
        <f t="shared" ref="L4:L5" si="6">F4-K4</f>
        <v>101.5460457455317</v>
      </c>
      <c r="M4" s="45">
        <f t="shared" ref="M4:M5" si="7">D4^2/L4</f>
        <v>198.57001670483334</v>
      </c>
      <c r="N4" s="17">
        <f t="shared" ref="N4:N5" si="8">1/(2*PI()*$B$18*M4)</f>
        <v>1.6030108244234377E-5</v>
      </c>
      <c r="O4" s="1" t="s">
        <v>12</v>
      </c>
      <c r="P4" s="8">
        <v>16</v>
      </c>
      <c r="Q4" s="8" t="s">
        <v>35</v>
      </c>
    </row>
    <row r="5" spans="1:17" x14ac:dyDescent="0.25">
      <c r="A5" s="1" t="s">
        <v>13</v>
      </c>
      <c r="B5" s="5">
        <f>86</f>
        <v>86</v>
      </c>
      <c r="C5" s="5">
        <f>0.873</f>
        <v>0.873</v>
      </c>
      <c r="D5" s="5">
        <f>2*66.5</f>
        <v>133</v>
      </c>
      <c r="E5" s="6">
        <f>B5</f>
        <v>86</v>
      </c>
      <c r="F5" s="6">
        <f t="shared" si="0"/>
        <v>78.008332125485154</v>
      </c>
      <c r="G5" s="6">
        <f t="shared" si="1"/>
        <v>116.10899999999999</v>
      </c>
      <c r="H5" s="6">
        <f t="shared" si="2"/>
        <v>0.74068332342884702</v>
      </c>
      <c r="I5" s="13">
        <f t="shared" si="3"/>
        <v>0.73670946700186102</v>
      </c>
      <c r="J5" s="13">
        <f t="shared" si="4"/>
        <v>21.105171593269514</v>
      </c>
      <c r="K5" s="45">
        <f t="shared" si="5"/>
        <v>41.65170101605532</v>
      </c>
      <c r="L5" s="45">
        <f t="shared" si="6"/>
        <v>36.356631109429834</v>
      </c>
      <c r="M5" s="45">
        <f t="shared" si="7"/>
        <v>486.5412294873492</v>
      </c>
      <c r="N5" s="46">
        <f t="shared" si="8"/>
        <v>6.5423003620717253E-6</v>
      </c>
    </row>
    <row r="7" spans="1:17" x14ac:dyDescent="0.25">
      <c r="A7" s="2"/>
      <c r="B7" s="2"/>
      <c r="C7" s="2"/>
      <c r="D7" s="2"/>
      <c r="E7" s="2"/>
      <c r="F7" s="2"/>
      <c r="G7" s="2"/>
      <c r="H7" s="2"/>
    </row>
    <row r="8" spans="1:17" x14ac:dyDescent="0.25">
      <c r="I8" s="2"/>
      <c r="J8" s="2"/>
      <c r="K8" s="2"/>
    </row>
    <row r="9" spans="1:17" x14ac:dyDescent="0.25">
      <c r="A9" s="40" t="s">
        <v>36</v>
      </c>
      <c r="B9" s="40"/>
      <c r="C9" s="40"/>
      <c r="D9" s="40"/>
      <c r="E9" s="40"/>
      <c r="F9" s="40"/>
      <c r="G9" s="40"/>
      <c r="H9" s="40"/>
      <c r="I9" s="40"/>
      <c r="J9" s="40"/>
      <c r="K9" s="2"/>
      <c r="N9" s="2"/>
    </row>
    <row r="10" spans="1:17" x14ac:dyDescent="0.25">
      <c r="A10" s="4" t="s">
        <v>37</v>
      </c>
      <c r="B10" s="4" t="s">
        <v>2</v>
      </c>
      <c r="C10" s="4" t="s">
        <v>1</v>
      </c>
      <c r="D10" s="4" t="s">
        <v>4</v>
      </c>
      <c r="E10" s="4" t="s">
        <v>3</v>
      </c>
      <c r="F10" s="4" t="s">
        <v>8</v>
      </c>
      <c r="G10" s="4" t="s">
        <v>9</v>
      </c>
      <c r="H10" s="4" t="s">
        <v>10</v>
      </c>
      <c r="I10" s="4" t="s">
        <v>38</v>
      </c>
      <c r="J10" s="4" t="s">
        <v>39</v>
      </c>
    </row>
    <row r="11" spans="1:17" x14ac:dyDescent="0.25">
      <c r="A11" s="1">
        <v>1</v>
      </c>
      <c r="B11" s="5">
        <v>89</v>
      </c>
      <c r="C11" s="5">
        <v>0.73</v>
      </c>
      <c r="D11" s="5">
        <v>134</v>
      </c>
      <c r="E11" s="6">
        <f>B11</f>
        <v>89</v>
      </c>
      <c r="F11" s="6">
        <f t="shared" ref="F11" si="9">SQRT(G11^2-E11^2)</f>
        <v>40.592516551699518</v>
      </c>
      <c r="G11" s="6">
        <f>C11*D11</f>
        <v>97.82</v>
      </c>
      <c r="H11" s="6">
        <f t="shared" ref="H11" si="10">E11/G11</f>
        <v>0.9098343896953589</v>
      </c>
      <c r="I11" s="13">
        <f>ACOS(H11)</f>
        <v>0.42791152805043664</v>
      </c>
      <c r="J11" s="13">
        <f>180*I11/(2*PI())</f>
        <v>12.258762281141978</v>
      </c>
      <c r="K11" s="1" t="s">
        <v>12</v>
      </c>
      <c r="L11" s="8">
        <v>24</v>
      </c>
      <c r="M11" s="8" t="s">
        <v>35</v>
      </c>
    </row>
    <row r="12" spans="1:17" x14ac:dyDescent="0.25">
      <c r="A12" s="1">
        <v>2</v>
      </c>
      <c r="B12" s="5">
        <v>87</v>
      </c>
      <c r="C12" s="5">
        <v>0.88500000000000001</v>
      </c>
      <c r="D12" s="5">
        <v>132</v>
      </c>
      <c r="E12" s="6">
        <f>B12</f>
        <v>87</v>
      </c>
      <c r="F12" s="6">
        <f t="shared" ref="F12" si="11">SQRT(G12^2-E12^2)</f>
        <v>77.960967156648337</v>
      </c>
      <c r="G12" s="6">
        <f>C12*D12</f>
        <v>116.82000000000001</v>
      </c>
      <c r="H12" s="6">
        <f t="shared" ref="H12" si="12">E12/G12</f>
        <v>0.74473549049820231</v>
      </c>
      <c r="I12" s="13">
        <f t="shared" ref="I12" si="13">ACOS(H12)</f>
        <v>0.73065792558985365</v>
      </c>
      <c r="J12" s="13">
        <f t="shared" ref="J12" si="14">180*I12/(2*PI())</f>
        <v>20.93180770204118</v>
      </c>
      <c r="K12" s="1" t="s">
        <v>12</v>
      </c>
      <c r="L12" s="8">
        <v>16</v>
      </c>
      <c r="M12" s="8" t="s">
        <v>35</v>
      </c>
    </row>
    <row r="13" spans="1:17" x14ac:dyDescent="0.25">
      <c r="I13" s="14"/>
      <c r="J13" s="14"/>
    </row>
    <row r="14" spans="1:17" x14ac:dyDescent="0.25">
      <c r="J14" s="15"/>
    </row>
    <row r="16" spans="1:17" x14ac:dyDescent="0.25">
      <c r="A16" s="39" t="s">
        <v>40</v>
      </c>
      <c r="B16" s="39"/>
      <c r="C16" s="39"/>
      <c r="M16" s="41"/>
      <c r="N16" s="41"/>
      <c r="O16" s="16"/>
      <c r="P16" s="16"/>
      <c r="Q16" s="16"/>
    </row>
    <row r="17" spans="1:13" x14ac:dyDescent="0.25">
      <c r="A17" s="9" t="s">
        <v>15</v>
      </c>
      <c r="B17" s="9" t="s">
        <v>16</v>
      </c>
      <c r="C17" s="9" t="s">
        <v>17</v>
      </c>
      <c r="E17" s="18"/>
      <c r="F17" s="43"/>
      <c r="G17" s="18"/>
      <c r="H17" s="18"/>
      <c r="I17" s="44"/>
      <c r="M17" s="16"/>
    </row>
    <row r="18" spans="1:13" x14ac:dyDescent="0.25">
      <c r="A18" s="7" t="s">
        <v>14</v>
      </c>
      <c r="B18" s="3">
        <v>50</v>
      </c>
      <c r="C18" s="8" t="s">
        <v>18</v>
      </c>
      <c r="E18" s="43"/>
      <c r="F18" s="43"/>
      <c r="G18" s="43"/>
      <c r="H18" s="18"/>
      <c r="M18" s="16"/>
    </row>
    <row r="19" spans="1:13" x14ac:dyDescent="0.25">
      <c r="A19" s="8" t="s">
        <v>19</v>
      </c>
      <c r="B19" s="3">
        <v>0.9</v>
      </c>
      <c r="C19" s="8" t="s">
        <v>20</v>
      </c>
      <c r="E19" s="43"/>
      <c r="F19" s="43"/>
      <c r="G19" s="43"/>
      <c r="H19" s="18"/>
      <c r="M19" s="16"/>
    </row>
    <row r="20" spans="1:13" x14ac:dyDescent="0.25">
      <c r="A20" s="8" t="s">
        <v>21</v>
      </c>
      <c r="B20" s="3">
        <f>ACOS(B19)</f>
        <v>0.45102681179626236</v>
      </c>
      <c r="C20" s="8" t="s">
        <v>22</v>
      </c>
      <c r="E20" s="43"/>
      <c r="F20" s="43"/>
      <c r="G20" s="43"/>
      <c r="H20" s="18"/>
    </row>
    <row r="21" spans="1:13" x14ac:dyDescent="0.25">
      <c r="A21" s="8" t="s">
        <v>23</v>
      </c>
      <c r="B21" s="3">
        <f>SIN(B20)</f>
        <v>0.43588989435406728</v>
      </c>
      <c r="C21" s="8" t="s">
        <v>20</v>
      </c>
      <c r="G21" s="18"/>
    </row>
  </sheetData>
  <mergeCells count="5">
    <mergeCell ref="A16:C16"/>
    <mergeCell ref="A1:J1"/>
    <mergeCell ref="A9:J9"/>
    <mergeCell ref="M16:N16"/>
    <mergeCell ref="K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2019-05-04T20:20:52Z</dcterms:modified>
</cp:coreProperties>
</file>