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C4380F6B-1B69-486C-BC28-46CC346517BF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A dado vuelta" sheetId="1" r:id="rId1"/>
    <sheet name="A normal" sheetId="4" r:id="rId2"/>
    <sheet name="Potenci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B5" i="1"/>
  <c r="E3" i="1"/>
  <c r="D3" i="1"/>
  <c r="E4" i="1"/>
  <c r="D4" i="1"/>
  <c r="D6" i="1"/>
  <c r="C6" i="1"/>
  <c r="E10" i="1"/>
  <c r="E11" i="1"/>
  <c r="E12" i="1"/>
  <c r="P11" i="1"/>
  <c r="U4" i="1"/>
  <c r="S4" i="1"/>
  <c r="I4" i="1"/>
  <c r="K4" i="1"/>
  <c r="O4" i="1"/>
  <c r="P4" i="1"/>
  <c r="K11" i="1"/>
  <c r="I11" i="1"/>
  <c r="O11" i="1"/>
  <c r="S11" i="1"/>
  <c r="U11" i="1"/>
  <c r="D11" i="5" l="1"/>
  <c r="D12" i="5"/>
  <c r="D10" i="5"/>
  <c r="D6" i="5"/>
  <c r="F6" i="5" s="1"/>
  <c r="D7" i="5"/>
  <c r="D9" i="5"/>
  <c r="D8" i="5"/>
  <c r="D5" i="5"/>
  <c r="D4" i="5"/>
  <c r="D3" i="5"/>
  <c r="F3" i="5" s="1"/>
  <c r="F4" i="5"/>
  <c r="F5" i="5"/>
  <c r="F7" i="5"/>
  <c r="F8" i="5"/>
  <c r="F9" i="5"/>
  <c r="F10" i="5"/>
  <c r="F11" i="5"/>
  <c r="F12" i="5"/>
  <c r="K13" i="5"/>
  <c r="K12" i="5"/>
  <c r="M12" i="5"/>
  <c r="K11" i="5"/>
  <c r="M11" i="5" s="1"/>
  <c r="K8" i="5"/>
  <c r="M8" i="5" s="1"/>
  <c r="K10" i="5"/>
  <c r="K9" i="5"/>
  <c r="J7" i="5"/>
  <c r="K7" i="5"/>
  <c r="K6" i="5"/>
  <c r="M6" i="5" s="1"/>
  <c r="M9" i="5"/>
  <c r="M10" i="5"/>
  <c r="M13" i="5"/>
  <c r="K5" i="5"/>
  <c r="M5" i="5" s="1"/>
  <c r="K4" i="5"/>
  <c r="K3" i="5"/>
  <c r="M3" i="5" s="1"/>
  <c r="M4" i="5"/>
  <c r="D33" i="1"/>
  <c r="D32" i="1"/>
  <c r="E32" i="1"/>
  <c r="B17" i="1"/>
  <c r="E27" i="1"/>
  <c r="E17" i="1"/>
  <c r="C18" i="1"/>
  <c r="D18" i="1"/>
  <c r="D11" i="1"/>
  <c r="D13" i="1"/>
  <c r="C13" i="1"/>
  <c r="H33" i="4"/>
  <c r="J49" i="4" s="1"/>
  <c r="D33" i="4"/>
  <c r="E32" i="4"/>
  <c r="I33" i="4" s="1"/>
  <c r="K49" i="4" s="1"/>
  <c r="D32" i="4"/>
  <c r="J28" i="4"/>
  <c r="J47" i="4" s="1"/>
  <c r="H28" i="4"/>
  <c r="J46" i="4" s="1"/>
  <c r="D28" i="4"/>
  <c r="E27" i="4"/>
  <c r="I28" i="4" s="1"/>
  <c r="K46" i="4" s="1"/>
  <c r="D27" i="4"/>
  <c r="I23" i="4"/>
  <c r="C49" i="4" s="1"/>
  <c r="E23" i="4"/>
  <c r="J23" i="4" s="1"/>
  <c r="B50" i="4" s="1"/>
  <c r="D23" i="4"/>
  <c r="H23" i="4" s="1"/>
  <c r="B49" i="4" s="1"/>
  <c r="E22" i="4"/>
  <c r="K23" i="4" s="1"/>
  <c r="C50" i="4" s="1"/>
  <c r="D22" i="4"/>
  <c r="D18" i="4"/>
  <c r="H18" i="4" s="1"/>
  <c r="B46" i="4" s="1"/>
  <c r="C18" i="4"/>
  <c r="E17" i="4"/>
  <c r="I18" i="4" s="1"/>
  <c r="C46" i="4" s="1"/>
  <c r="B17" i="4"/>
  <c r="D13" i="4"/>
  <c r="C13" i="4"/>
  <c r="E12" i="4"/>
  <c r="K11" i="4" s="1"/>
  <c r="C12" i="4"/>
  <c r="B12" i="4"/>
  <c r="S11" i="4"/>
  <c r="K43" i="4" s="1"/>
  <c r="N11" i="4"/>
  <c r="G37" i="4" s="1"/>
  <c r="I11" i="4"/>
  <c r="C43" i="4" s="1"/>
  <c r="E11" i="4"/>
  <c r="O11" i="4" s="1"/>
  <c r="F38" i="4" s="1"/>
  <c r="D11" i="4"/>
  <c r="M11" i="4" s="1"/>
  <c r="F37" i="4" s="1"/>
  <c r="E10" i="4"/>
  <c r="P11" i="4" s="1"/>
  <c r="G38" i="4" s="1"/>
  <c r="D10" i="4"/>
  <c r="R9" i="4"/>
  <c r="M9" i="4"/>
  <c r="H9" i="4"/>
  <c r="D6" i="4"/>
  <c r="C6" i="4"/>
  <c r="E5" i="4"/>
  <c r="B5" i="4"/>
  <c r="U4" i="4"/>
  <c r="K41" i="4" s="1"/>
  <c r="P4" i="4"/>
  <c r="C38" i="4" s="1"/>
  <c r="G50" i="4" s="1"/>
  <c r="N4" i="4"/>
  <c r="C37" i="4" s="1"/>
  <c r="G49" i="4" s="1"/>
  <c r="K4" i="4"/>
  <c r="C41" i="4" s="1"/>
  <c r="I4" i="4"/>
  <c r="C40" i="4" s="1"/>
  <c r="G46" i="4" s="1"/>
  <c r="H4" i="4"/>
  <c r="B40" i="4" s="1"/>
  <c r="E4" i="4"/>
  <c r="O4" i="4" s="1"/>
  <c r="B38" i="4" s="1"/>
  <c r="F50" i="4" s="1"/>
  <c r="D4" i="4"/>
  <c r="M4" i="4" s="1"/>
  <c r="B37" i="4" s="1"/>
  <c r="E3" i="4"/>
  <c r="D3" i="4"/>
  <c r="R2" i="4"/>
  <c r="M2" i="4"/>
  <c r="H2" i="4"/>
  <c r="M7" i="5" l="1"/>
  <c r="C47" i="4"/>
  <c r="C44" i="4"/>
  <c r="F43" i="4" a="1"/>
  <c r="T11" i="4"/>
  <c r="J44" i="4" s="1"/>
  <c r="R11" i="4"/>
  <c r="J11" i="4"/>
  <c r="H11" i="4"/>
  <c r="B43" i="4" s="1"/>
  <c r="K18" i="4"/>
  <c r="S4" i="4"/>
  <c r="K40" i="4" s="1"/>
  <c r="T4" i="4"/>
  <c r="J41" i="4" s="1"/>
  <c r="R4" i="4"/>
  <c r="J4" i="4"/>
  <c r="B41" i="4" s="1"/>
  <c r="U11" i="4"/>
  <c r="K44" i="4" s="1"/>
  <c r="J18" i="4"/>
  <c r="K28" i="4"/>
  <c r="K47" i="4" s="1"/>
  <c r="K33" i="4"/>
  <c r="K50" i="4" s="1"/>
  <c r="J33" i="4"/>
  <c r="J50" i="4" s="1"/>
  <c r="F40" i="4" a="1"/>
  <c r="F49" i="4"/>
  <c r="F46" i="4"/>
  <c r="O40" i="4"/>
  <c r="N40" i="4"/>
  <c r="G47" i="4"/>
  <c r="O41" i="4"/>
  <c r="K33" i="1"/>
  <c r="I33" i="1"/>
  <c r="K28" i="1"/>
  <c r="I28" i="1"/>
  <c r="G41" i="4" l="1"/>
  <c r="G40" i="4"/>
  <c r="F41" i="4"/>
  <c r="F40" i="4"/>
  <c r="N41" i="4"/>
  <c r="M33" i="4"/>
  <c r="B44" i="4"/>
  <c r="N44" i="4" s="1"/>
  <c r="B47" i="4"/>
  <c r="O44" i="4"/>
  <c r="W4" i="4"/>
  <c r="J40" i="4"/>
  <c r="M28" i="4"/>
  <c r="N43" i="4"/>
  <c r="N46" i="4" s="1" a="1"/>
  <c r="O43" i="4"/>
  <c r="J43" i="4"/>
  <c r="W11" i="4"/>
  <c r="F44" i="4"/>
  <c r="F43" i="4"/>
  <c r="G44" i="4"/>
  <c r="G43" i="4"/>
  <c r="R4" i="1"/>
  <c r="T4" i="1"/>
  <c r="E22" i="1"/>
  <c r="E23" i="1"/>
  <c r="O47" i="4" l="1"/>
  <c r="O46" i="4"/>
  <c r="N47" i="4"/>
  <c r="N46" i="4"/>
  <c r="N49" i="4" a="1"/>
  <c r="F47" i="4"/>
  <c r="W4" i="1"/>
  <c r="O50" i="4" l="1"/>
  <c r="O49" i="4"/>
  <c r="N50" i="4"/>
  <c r="N49" i="4"/>
  <c r="H28" i="1"/>
  <c r="J46" i="1" l="1"/>
  <c r="K49" i="1" l="1"/>
  <c r="H33" i="1"/>
  <c r="K50" i="1"/>
  <c r="D28" i="1"/>
  <c r="D27" i="1"/>
  <c r="D22" i="1"/>
  <c r="D23" i="1"/>
  <c r="K47" i="1" l="1"/>
  <c r="J49" i="1"/>
  <c r="J18" i="1"/>
  <c r="H18" i="1" l="1"/>
  <c r="B46" i="1" s="1"/>
  <c r="C41" i="1"/>
  <c r="H4" i="1"/>
  <c r="B40" i="1" s="1"/>
  <c r="B12" i="1"/>
  <c r="C12" i="1"/>
  <c r="D10" i="1"/>
  <c r="C47" i="1" l="1"/>
  <c r="C43" i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C40" i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G38" i="1"/>
  <c r="F38" i="1"/>
  <c r="N11" i="1"/>
  <c r="G37" i="1" s="1"/>
  <c r="B38" i="1"/>
  <c r="N4" i="1"/>
  <c r="C37" i="1" s="1"/>
  <c r="G49" i="1" s="1"/>
  <c r="K43" i="1"/>
  <c r="R11" i="1"/>
  <c r="J43" i="1" s="1"/>
  <c r="M11" i="1"/>
  <c r="F37" i="1" s="1"/>
  <c r="C38" i="1"/>
  <c r="J33" i="1"/>
  <c r="J28" i="1"/>
  <c r="J47" i="1" s="1"/>
  <c r="K18" i="1"/>
  <c r="I18" i="1"/>
  <c r="C46" i="1" s="1"/>
  <c r="F43" i="1" l="1" a="1"/>
  <c r="G44" i="1" s="1"/>
  <c r="K44" i="1"/>
  <c r="W11" i="1"/>
  <c r="K46" i="1"/>
  <c r="M28" i="1"/>
  <c r="J50" i="1"/>
  <c r="M33" i="1"/>
  <c r="O43" i="1"/>
  <c r="F47" i="1"/>
  <c r="N44" i="1"/>
  <c r="N43" i="1"/>
  <c r="O44" i="1"/>
  <c r="G47" i="1"/>
  <c r="F50" i="1"/>
  <c r="F40" i="1" a="1"/>
  <c r="G41" i="1" s="1"/>
  <c r="G50" i="1"/>
  <c r="F49" i="1"/>
  <c r="F43" i="1" l="1"/>
  <c r="G43" i="1"/>
  <c r="F44" i="1"/>
  <c r="N46" i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<sst xmlns="http://schemas.openxmlformats.org/spreadsheetml/2006/main" count="304" uniqueCount="54">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</sst>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abSelected="1" topLeftCell="A26" zoomScale="90" zoomScaleNormal="90" workbookViewId="0">
      <selection activeCell="M34" sqref="M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64" t="s">
        <v>27</v>
      </c>
      <c r="B1" s="65"/>
      <c r="C1" s="65"/>
      <c r="D1" s="65"/>
      <c r="E1" s="66"/>
      <c r="H1" s="58" t="s">
        <v>24</v>
      </c>
      <c r="I1" s="58"/>
      <c r="J1" s="58"/>
      <c r="K1" s="58"/>
      <c r="L1" s="5"/>
      <c r="M1" s="45" t="s">
        <v>25</v>
      </c>
      <c r="N1" s="45"/>
      <c r="O1" s="45"/>
      <c r="P1" s="45"/>
      <c r="R1" s="41" t="s">
        <v>26</v>
      </c>
      <c r="S1" s="41"/>
      <c r="T1" s="41"/>
      <c r="U1" s="41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42" t="str">
        <f>$A$1</f>
        <v>Cuadripolo "B" - Nro. De serie: 9608 (15 V - 50 mA) (T)</v>
      </c>
      <c r="I2" s="42"/>
      <c r="J2" s="42"/>
      <c r="K2" s="42"/>
      <c r="L2" s="4"/>
      <c r="M2" s="42" t="str">
        <f>$A$1</f>
        <v>Cuadripolo "B" - Nro. De serie: 9608 (15 V - 50 mA) (T)</v>
      </c>
      <c r="N2" s="42"/>
      <c r="O2" s="42"/>
      <c r="P2" s="42"/>
      <c r="R2" s="42" t="str">
        <f>$A$1</f>
        <v>Cuadripolo "B" - Nro. De serie: 9608 (15 V - 50 mA) (T)</v>
      </c>
      <c r="S2" s="42"/>
      <c r="T2" s="42"/>
      <c r="U2" s="42"/>
    </row>
    <row r="3" spans="1:23" ht="18" x14ac:dyDescent="0.35">
      <c r="A3" s="12" t="s">
        <v>4</v>
      </c>
      <c r="B3" s="12">
        <v>0</v>
      </c>
      <c r="C3" s="12">
        <v>3.093</v>
      </c>
      <c r="D3" s="12">
        <f>0.5*23.5</f>
        <v>11.75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3.093</v>
      </c>
      <c r="C4" s="12">
        <v>0</v>
      </c>
      <c r="D4" s="12">
        <f>34*0.5</f>
        <v>17</v>
      </c>
      <c r="E4" s="12">
        <f>0.5*23.1</f>
        <v>11.55</v>
      </c>
      <c r="F4" s="32"/>
      <c r="G4" s="32"/>
      <c r="H4" s="12">
        <f>B6/D6*1000</f>
        <v>372.65060240963857</v>
      </c>
      <c r="I4" s="12">
        <f>B5/E5*1000</f>
        <v>305.3237410071942</v>
      </c>
      <c r="J4" s="12">
        <f>C6/D6*1000</f>
        <v>267.10843373493975</v>
      </c>
      <c r="K4" s="12">
        <f>C5/E5*1000</f>
        <v>445.03597122302159</v>
      </c>
      <c r="M4" s="7">
        <f>D4/B4/1000</f>
        <v>5.4962819269317818E-3</v>
      </c>
      <c r="N4" s="7">
        <f>D3/C3/1000</f>
        <v>3.7989007436146135E-3</v>
      </c>
      <c r="O4" s="7">
        <f>E4/B4/1000</f>
        <v>3.7342386032977693E-3</v>
      </c>
      <c r="P4" s="7">
        <f>E3/C3/1000</f>
        <v>5.1729712253475585E-3</v>
      </c>
      <c r="Q4" s="23"/>
      <c r="R4" s="7">
        <f>B6/C6</f>
        <v>1.3951285520974288</v>
      </c>
      <c r="S4" s="7">
        <f>-B4/E4*1000</f>
        <v>-267.79220779220776</v>
      </c>
      <c r="T4" s="7">
        <f>D6/C6/1000</f>
        <v>3.7437979251240417E-3</v>
      </c>
      <c r="U4" s="7">
        <f>-D4/E4</f>
        <v>-1.4718614718614718</v>
      </c>
      <c r="W4" s="12">
        <f>R4*U4-S4*T4</f>
        <v>-1.050876052229232</v>
      </c>
    </row>
    <row r="5" spans="1:23" ht="18" x14ac:dyDescent="0.35">
      <c r="A5" s="12" t="s">
        <v>6</v>
      </c>
      <c r="B5" s="12">
        <f>2.122</f>
        <v>2.1219999999999999</v>
      </c>
      <c r="C5" s="12">
        <v>3.093</v>
      </c>
      <c r="D5" s="12">
        <v>0</v>
      </c>
      <c r="E5" s="12">
        <f>0.1*69.5</f>
        <v>6.95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3.093</v>
      </c>
      <c r="C6" s="12">
        <f>2.217</f>
        <v>2.2170000000000001</v>
      </c>
      <c r="D6" s="12">
        <f>83*0.1</f>
        <v>8.3000000000000007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67" t="s">
        <v>28</v>
      </c>
      <c r="B8" s="68"/>
      <c r="C8" s="68"/>
      <c r="D8" s="68"/>
      <c r="E8" s="69"/>
      <c r="F8" s="32"/>
      <c r="G8" s="32"/>
      <c r="H8" s="46" t="s">
        <v>24</v>
      </c>
      <c r="I8" s="46"/>
      <c r="J8" s="46"/>
      <c r="K8" s="46"/>
      <c r="M8" s="47" t="s">
        <v>25</v>
      </c>
      <c r="N8" s="47"/>
      <c r="O8" s="47"/>
      <c r="P8" s="47"/>
      <c r="Q8" s="23"/>
      <c r="R8" s="43" t="s">
        <v>26</v>
      </c>
      <c r="S8" s="43"/>
      <c r="T8" s="43"/>
      <c r="U8" s="43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59" t="str">
        <f>$A$8</f>
        <v>Cuadripolo "A" - Nro. De serie: 9603 (15 V - 50 mA) (Pi)</v>
      </c>
      <c r="I9" s="59"/>
      <c r="J9" s="59"/>
      <c r="K9" s="59"/>
      <c r="M9" s="44" t="str">
        <f>$A$8</f>
        <v>Cuadripolo "A" - Nro. De serie: 9603 (15 V - 50 mA) (Pi)</v>
      </c>
      <c r="N9" s="44"/>
      <c r="O9" s="44"/>
      <c r="P9" s="44"/>
      <c r="Q9" s="23"/>
      <c r="R9" s="44" t="str">
        <f>$A$8</f>
        <v>Cuadripolo "A" - Nro. De serie: 9603 (15 V - 50 mA) (Pi)</v>
      </c>
      <c r="S9" s="44"/>
      <c r="T9" s="44"/>
      <c r="U9" s="44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70*0.5</f>
        <v>35</v>
      </c>
      <c r="E11" s="12">
        <f>59*0.5</f>
        <v>29.5</v>
      </c>
      <c r="F11" s="32"/>
      <c r="G11" s="32"/>
      <c r="H11" s="12">
        <f>B13/D13*1000</f>
        <v>222.69090909090909</v>
      </c>
      <c r="I11" s="12">
        <f>B12/E12*1000</f>
        <v>157.35384615384615</v>
      </c>
      <c r="J11" s="12">
        <f>C13/D13*1000</f>
        <v>160.58181818181819</v>
      </c>
      <c r="K11" s="12">
        <f>C12/E12*1000</f>
        <v>187.69230769230768</v>
      </c>
      <c r="M11" s="7">
        <f>D11/B11/1000</f>
        <v>1.1475409836065575E-2</v>
      </c>
      <c r="N11" s="7">
        <f>D10/C10/1000</f>
        <v>1.3606557377049182E-2</v>
      </c>
      <c r="O11" s="7">
        <f>E11/B11/1000</f>
        <v>9.6721311475409834E-3</v>
      </c>
      <c r="P11" s="7">
        <f>E10/C10/1000</f>
        <v>9.8360655737704927E-3</v>
      </c>
      <c r="Q11" s="23"/>
      <c r="R11" s="7">
        <f>D13/C13</f>
        <v>6.2273550724637676</v>
      </c>
      <c r="S11" s="7">
        <f>-B11/E11*1000</f>
        <v>-103.38983050847457</v>
      </c>
      <c r="T11" s="7">
        <f>D13/C13/1000</f>
        <v>6.227355072463768E-3</v>
      </c>
      <c r="U11" s="7">
        <f>-D11/E11</f>
        <v>-1.1864406779661016</v>
      </c>
      <c r="W11" s="12">
        <f>R11*U11-S11*T11</f>
        <v>-6.7445421886514367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3.0619999999999998</v>
      </c>
      <c r="C13" s="12">
        <f>2.208</f>
        <v>2.2080000000000002</v>
      </c>
      <c r="D13" s="12">
        <f>27.5*0.5</f>
        <v>13.75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55" t="s">
        <v>12</v>
      </c>
      <c r="B15" s="56"/>
      <c r="C15" s="56"/>
      <c r="D15" s="56"/>
      <c r="E15" s="57"/>
      <c r="F15" s="32"/>
      <c r="G15" s="32"/>
      <c r="H15" s="60" t="s">
        <v>24</v>
      </c>
      <c r="I15" s="61"/>
      <c r="J15" s="61"/>
      <c r="K15" s="62"/>
      <c r="N15" s="51" t="s">
        <v>52</v>
      </c>
      <c r="O15" s="51"/>
      <c r="P15" s="51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55" t="s">
        <v>12</v>
      </c>
      <c r="I16" s="56"/>
      <c r="J16" s="56"/>
      <c r="K16" s="57"/>
      <c r="N16" s="48" t="s">
        <v>29</v>
      </c>
      <c r="O16" s="49"/>
      <c r="P16" s="50"/>
    </row>
    <row r="17" spans="1:16" ht="18" x14ac:dyDescent="0.35">
      <c r="A17" s="12" t="s">
        <v>6</v>
      </c>
      <c r="B17" s="37">
        <f>2.158</f>
        <v>2.1579999999999999</v>
      </c>
      <c r="C17" s="12">
        <v>3.0619999999999998</v>
      </c>
      <c r="D17" s="12">
        <v>0</v>
      </c>
      <c r="E17" s="12">
        <f>52.9*0.1</f>
        <v>5.29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48" t="s">
        <v>31</v>
      </c>
      <c r="O17" s="49"/>
      <c r="P17" s="50"/>
    </row>
    <row r="18" spans="1:16" ht="18" x14ac:dyDescent="0.35">
      <c r="A18" s="12" t="s">
        <v>7</v>
      </c>
      <c r="B18" s="12">
        <v>3.0619999999999998</v>
      </c>
      <c r="C18" s="12">
        <f>2.212</f>
        <v>2.2120000000000002</v>
      </c>
      <c r="D18" s="12">
        <f>51.5*0.1</f>
        <v>5.15</v>
      </c>
      <c r="E18" s="12">
        <v>0</v>
      </c>
      <c r="F18" s="32"/>
      <c r="G18" s="32"/>
      <c r="H18" s="12">
        <f>B18/D18*1000</f>
        <v>594.56310679611647</v>
      </c>
      <c r="I18" s="12">
        <f>B18/E17*1000</f>
        <v>578.82797731568996</v>
      </c>
      <c r="J18" s="12">
        <f>C18/D18*1000</f>
        <v>429.51456310679612</v>
      </c>
      <c r="K18" s="12">
        <f>C18/E17*1000</f>
        <v>418.1474480151229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55" t="s">
        <v>13</v>
      </c>
      <c r="B20" s="56"/>
      <c r="C20" s="56"/>
      <c r="D20" s="56"/>
      <c r="E20" s="57"/>
      <c r="F20" s="32"/>
      <c r="G20" s="32"/>
      <c r="H20" s="63" t="s">
        <v>25</v>
      </c>
      <c r="I20" s="63"/>
      <c r="J20" s="63"/>
      <c r="K20" s="63"/>
      <c r="N20" s="48" t="s">
        <v>30</v>
      </c>
      <c r="O20" s="49"/>
      <c r="P20" s="50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59" t="s">
        <v>13</v>
      </c>
      <c r="I21" s="59"/>
      <c r="J21" s="59"/>
      <c r="K21" s="59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55" t="s">
        <v>18</v>
      </c>
      <c r="B25" s="56"/>
      <c r="C25" s="56"/>
      <c r="D25" s="56"/>
      <c r="E25" s="57"/>
      <c r="F25" s="32"/>
      <c r="G25" s="32"/>
      <c r="H25" s="40" t="s">
        <v>26</v>
      </c>
      <c r="I25" s="40"/>
      <c r="J25" s="40"/>
      <c r="K25" s="40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59" t="s">
        <v>18</v>
      </c>
      <c r="I26" s="59"/>
      <c r="J26" s="59"/>
      <c r="K26" s="59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55" t="s">
        <v>23</v>
      </c>
      <c r="B30" s="56"/>
      <c r="C30" s="56"/>
      <c r="D30" s="56"/>
      <c r="E30" s="57"/>
      <c r="F30" s="32"/>
      <c r="G30" s="32"/>
      <c r="H30" s="40" t="s">
        <v>26</v>
      </c>
      <c r="I30" s="40"/>
      <c r="J30" s="40"/>
      <c r="K30" s="40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59" t="s">
        <v>23</v>
      </c>
      <c r="I31" s="59"/>
      <c r="J31" s="59"/>
      <c r="K31" s="59"/>
      <c r="M31" s="11"/>
    </row>
    <row r="32" spans="1:16" ht="18" x14ac:dyDescent="0.35">
      <c r="A32" s="12" t="s">
        <v>5</v>
      </c>
      <c r="B32" s="12">
        <v>3.0619999999999998</v>
      </c>
      <c r="C32" s="12">
        <v>0</v>
      </c>
      <c r="D32" s="12">
        <f>28*0.5</f>
        <v>14</v>
      </c>
      <c r="E32" s="12">
        <f>0.1*65</f>
        <v>6.5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3.0619999999999998</v>
      </c>
      <c r="C33" s="12">
        <v>0.85399999999999998</v>
      </c>
      <c r="D33" s="12">
        <f>24.5*0.5</f>
        <v>12.25</v>
      </c>
      <c r="E33" s="12">
        <v>0</v>
      </c>
      <c r="F33" s="32"/>
      <c r="G33" s="32"/>
      <c r="H33" s="12">
        <f>B33/C33</f>
        <v>3.5854800936768148</v>
      </c>
      <c r="I33" s="12">
        <f>-B32/E32*1000</f>
        <v>-471.07692307692304</v>
      </c>
      <c r="J33" s="12">
        <f>E32/B33/1000</f>
        <v>2.122795558458524E-3</v>
      </c>
      <c r="K33" s="12">
        <f>-D32/E32</f>
        <v>-2.1538461538461537</v>
      </c>
      <c r="M33" s="12">
        <f>H33*K33-I33*J33</f>
        <v>-6.7225725094577546</v>
      </c>
    </row>
    <row r="35" spans="1:15" x14ac:dyDescent="0.25">
      <c r="A35" s="52" t="s">
        <v>35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4"/>
    </row>
    <row r="37" spans="1:15" ht="18" x14ac:dyDescent="0.35">
      <c r="A37" s="18" t="s">
        <v>45</v>
      </c>
      <c r="B37" s="17">
        <f>M4</f>
        <v>5.4962819269317818E-3</v>
      </c>
      <c r="C37" s="13">
        <f>N4</f>
        <v>3.7989007436146135E-3</v>
      </c>
      <c r="D37" s="21"/>
      <c r="E37" s="22" t="s">
        <v>44</v>
      </c>
      <c r="F37" s="17">
        <f>M11</f>
        <v>1.1475409836065575E-2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3.7342386032977693E-3</v>
      </c>
      <c r="C38" s="13">
        <f>P4</f>
        <v>5.1729712253475585E-3</v>
      </c>
      <c r="D38" s="24"/>
      <c r="E38" s="25" t="s">
        <v>37</v>
      </c>
      <c r="F38" s="17">
        <f>O11</f>
        <v>9.6721311475409834E-3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372.65060240963857</v>
      </c>
      <c r="C40" s="13">
        <f>I4</f>
        <v>305.3237410071942</v>
      </c>
      <c r="D40" s="21"/>
      <c r="E40" s="28" t="s">
        <v>38</v>
      </c>
      <c r="F40" s="20">
        <f t="array" ref="F40:G41">MINVERSE(B37:C38)</f>
        <v>363.11473906264325</v>
      </c>
      <c r="G40" s="16">
        <v>-266.66238649912867</v>
      </c>
      <c r="H40" s="23"/>
      <c r="I40" s="22" t="s">
        <v>47</v>
      </c>
      <c r="J40" s="17">
        <f>R4</f>
        <v>1.3951285520974288</v>
      </c>
      <c r="K40" s="13">
        <f>S4</f>
        <v>-267.79220779220776</v>
      </c>
      <c r="L40" s="23"/>
      <c r="M40" s="28" t="s">
        <v>47</v>
      </c>
      <c r="N40" s="20">
        <f>B40/B41</f>
        <v>1.395128552097429</v>
      </c>
      <c r="O40" s="16">
        <f>MDETERM(B40:C41)/B41</f>
        <v>315.55864915645299</v>
      </c>
    </row>
    <row r="41" spans="1:15" ht="18" x14ac:dyDescent="0.35">
      <c r="A41" s="19" t="s">
        <v>37</v>
      </c>
      <c r="B41" s="17">
        <f>J4</f>
        <v>267.10843373493975</v>
      </c>
      <c r="C41" s="13">
        <f>K4</f>
        <v>445.03597122302159</v>
      </c>
      <c r="D41" s="24"/>
      <c r="E41" s="29" t="s">
        <v>48</v>
      </c>
      <c r="F41" s="20">
        <v>-262.12345226084568</v>
      </c>
      <c r="G41" s="16">
        <v>385.80941025405861</v>
      </c>
      <c r="H41" s="23"/>
      <c r="I41" s="25" t="s">
        <v>37</v>
      </c>
      <c r="J41" s="17">
        <f>T4</f>
        <v>3.7437979251240417E-3</v>
      </c>
      <c r="K41" s="13">
        <f>U4</f>
        <v>-1.4718614718614718</v>
      </c>
      <c r="L41" s="23"/>
      <c r="M41" s="29" t="s">
        <v>50</v>
      </c>
      <c r="N41" s="20">
        <f>1/B41</f>
        <v>3.7437979251240417E-3</v>
      </c>
      <c r="O41" s="16">
        <f>C41/B41</f>
        <v>1.666124745670311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222.69090909090909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-525.10760401721677</v>
      </c>
      <c r="G43" s="16">
        <v>726.39885222381656</v>
      </c>
      <c r="H43" s="23"/>
      <c r="I43" s="22" t="s">
        <v>46</v>
      </c>
      <c r="J43" s="17">
        <f>R11</f>
        <v>6.2273550724637676</v>
      </c>
      <c r="K43" s="13">
        <f>S11</f>
        <v>-103.38983050847457</v>
      </c>
      <c r="L43" s="23"/>
      <c r="M43" s="28" t="s">
        <v>46</v>
      </c>
      <c r="N43" s="20">
        <f>B43/B44</f>
        <v>1.3867753623188406</v>
      </c>
      <c r="O43" s="16">
        <f>MDETERM(B43:C44)/B44</f>
        <v>102.93322185061309</v>
      </c>
    </row>
    <row r="44" spans="1:15" ht="18" x14ac:dyDescent="0.35">
      <c r="A44" s="19" t="s">
        <v>37</v>
      </c>
      <c r="B44" s="17">
        <f>J11</f>
        <v>160.58181818181819</v>
      </c>
      <c r="C44" s="13">
        <f>K11</f>
        <v>187.69230769230768</v>
      </c>
      <c r="D44" s="21"/>
      <c r="E44" s="29" t="s">
        <v>49</v>
      </c>
      <c r="F44" s="20">
        <v>516.35581061692983</v>
      </c>
      <c r="G44" s="16">
        <v>-612.62553802008631</v>
      </c>
      <c r="H44" s="23"/>
      <c r="I44" s="25" t="s">
        <v>37</v>
      </c>
      <c r="J44" s="17">
        <f>T11</f>
        <v>6.227355072463768E-3</v>
      </c>
      <c r="K44" s="13">
        <f>U11</f>
        <v>-1.1864406779661016</v>
      </c>
      <c r="L44" s="23"/>
      <c r="M44" s="29" t="s">
        <v>51</v>
      </c>
      <c r="N44" s="20">
        <f>1/B44</f>
        <v>6.227355072463768E-3</v>
      </c>
      <c r="O44" s="16">
        <f>C44/B44</f>
        <v>1.1688266443701225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594.56310679611647</v>
      </c>
      <c r="C46" s="13">
        <f>I18</f>
        <v>578.82797731568996</v>
      </c>
      <c r="D46" s="23"/>
      <c r="E46" s="28" t="s">
        <v>39</v>
      </c>
      <c r="F46" s="20">
        <f>B40+B43</f>
        <v>595.34151150054765</v>
      </c>
      <c r="G46" s="16">
        <f>C40+C43</f>
        <v>462.67758716104038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2.3200910857069297</v>
      </c>
      <c r="O46" s="16">
        <v>609.10854809366242</v>
      </c>
    </row>
    <row r="47" spans="1:15" x14ac:dyDescent="0.25">
      <c r="A47" s="19" t="s">
        <v>37</v>
      </c>
      <c r="B47" s="17">
        <f>J11</f>
        <v>160.58181818181819</v>
      </c>
      <c r="C47" s="13">
        <f>K11</f>
        <v>187.69230769230768</v>
      </c>
      <c r="D47" s="23"/>
      <c r="E47" s="30" t="s">
        <v>41</v>
      </c>
      <c r="F47" s="20">
        <f>B41+B44</f>
        <v>427.69025191675792</v>
      </c>
      <c r="G47" s="16">
        <f>C41+C44</f>
        <v>632.72827891532927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1.3063811631665517E-2</v>
      </c>
      <c r="O47" s="16">
        <v>3.9125067500681054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1.6971691762997357E-2</v>
      </c>
      <c r="G49" s="16">
        <f>C37+G37</f>
        <v>1.7405458120663797E-2</v>
      </c>
      <c r="H49" s="23"/>
      <c r="I49" s="22" t="s">
        <v>43</v>
      </c>
      <c r="J49" s="17">
        <f>H33</f>
        <v>3.5854800936768148</v>
      </c>
      <c r="K49" s="13">
        <f>I33</f>
        <v>-471.07692307692304</v>
      </c>
      <c r="L49" s="23"/>
      <c r="M49" s="28" t="s">
        <v>43</v>
      </c>
      <c r="N49" s="20">
        <f t="array" ref="N49:O50">MMULT(N40:O41,N43:O44)</f>
        <v>3.8998256578005237</v>
      </c>
      <c r="O49" s="16">
        <v>512.43843375867505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1.3406369750838754E-2</v>
      </c>
      <c r="G50" s="16">
        <f>C38+G38</f>
        <v>1.5009036799118051E-2</v>
      </c>
      <c r="H50" s="23"/>
      <c r="I50" s="25" t="s">
        <v>37</v>
      </c>
      <c r="J50" s="17">
        <f>J33</f>
        <v>2.122795558458524E-3</v>
      </c>
      <c r="K50" s="13">
        <f>K33</f>
        <v>-2.1538461538461537</v>
      </c>
      <c r="L50" s="23"/>
      <c r="M50" s="30" t="s">
        <v>41</v>
      </c>
      <c r="N50" s="20">
        <v>1.5567357110369833E-2</v>
      </c>
      <c r="O50" s="16">
        <v>2.3327721779745114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sortState xmlns:xlrd2="http://schemas.microsoft.com/office/spreadsheetml/2017/richdata2" ref="M17:P24">
    <sortCondition ref="O17:O24"/>
  </sortState>
  <mergeCells count="31"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0E1-5DAC-4D5C-9C52-9D1F4F90BAE0}">
  <dimension ref="A1:W51"/>
  <sheetViews>
    <sheetView topLeftCell="A4" zoomScale="90" zoomScaleNormal="90" workbookViewId="0">
      <selection activeCell="K34" sqref="K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64" t="s">
        <v>27</v>
      </c>
      <c r="B1" s="65"/>
      <c r="C1" s="65"/>
      <c r="D1" s="65"/>
      <c r="E1" s="66"/>
      <c r="H1" s="58" t="s">
        <v>24</v>
      </c>
      <c r="I1" s="58"/>
      <c r="J1" s="58"/>
      <c r="K1" s="58"/>
      <c r="L1" s="5"/>
      <c r="M1" s="45" t="s">
        <v>25</v>
      </c>
      <c r="N1" s="45"/>
      <c r="O1" s="45"/>
      <c r="P1" s="45"/>
      <c r="R1" s="41" t="s">
        <v>26</v>
      </c>
      <c r="S1" s="41"/>
      <c r="T1" s="41"/>
      <c r="U1" s="41"/>
    </row>
    <row r="2" spans="1:23" ht="18" x14ac:dyDescent="0.35">
      <c r="A2" s="3"/>
      <c r="B2" s="2" t="s">
        <v>0</v>
      </c>
      <c r="C2" s="8" t="s">
        <v>1</v>
      </c>
      <c r="D2" s="8" t="s">
        <v>2</v>
      </c>
      <c r="E2" s="8" t="s">
        <v>3</v>
      </c>
      <c r="H2" s="42" t="str">
        <f>$A$1</f>
        <v>Cuadripolo "B" - Nro. De serie: 9608 (15 V - 50 mA) (T)</v>
      </c>
      <c r="I2" s="42"/>
      <c r="J2" s="42"/>
      <c r="K2" s="42"/>
      <c r="L2" s="4"/>
      <c r="M2" s="42" t="str">
        <f>$A$1</f>
        <v>Cuadripolo "B" - Nro. De serie: 9608 (15 V - 50 mA) (T)</v>
      </c>
      <c r="N2" s="42"/>
      <c r="O2" s="42"/>
      <c r="P2" s="42"/>
      <c r="R2" s="42" t="str">
        <f>$A$1</f>
        <v>Cuadripolo "B" - Nro. De serie: 9608 (15 V - 50 mA) (T)</v>
      </c>
      <c r="S2" s="42"/>
      <c r="T2" s="42"/>
      <c r="U2" s="42"/>
    </row>
    <row r="3" spans="1:23" ht="18" x14ac:dyDescent="0.35">
      <c r="A3" s="12" t="s">
        <v>4</v>
      </c>
      <c r="B3" s="12">
        <v>0</v>
      </c>
      <c r="C3" s="12">
        <v>3.05</v>
      </c>
      <c r="D3" s="12">
        <f>0.5*23</f>
        <v>11.5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3.05</v>
      </c>
      <c r="C4" s="12">
        <v>0</v>
      </c>
      <c r="D4" s="12">
        <f>33.5*0.5</f>
        <v>16.75</v>
      </c>
      <c r="E4" s="12">
        <f>0.5*23</f>
        <v>11.5</v>
      </c>
      <c r="F4" s="32"/>
      <c r="G4" s="32"/>
      <c r="H4" s="12">
        <f>B6/D6*1000</f>
        <v>371.95121951219505</v>
      </c>
      <c r="I4" s="12">
        <f>B5/E5*1000</f>
        <v>310.29411764705878</v>
      </c>
      <c r="J4" s="12">
        <f>C6/D6*1000</f>
        <v>266.46341463414632</v>
      </c>
      <c r="K4" s="12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3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2">
        <f>R4*U4-S4*T4</f>
        <v>1.037807183364839</v>
      </c>
    </row>
    <row r="5" spans="1:23" ht="18" x14ac:dyDescent="0.35">
      <c r="A5" s="12" t="s">
        <v>6</v>
      </c>
      <c r="B5" s="12">
        <f>2.11</f>
        <v>2.11</v>
      </c>
      <c r="C5" s="12">
        <v>3.05</v>
      </c>
      <c r="D5" s="12">
        <v>0</v>
      </c>
      <c r="E5" s="12">
        <f>0.1*68</f>
        <v>6.8000000000000007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3.05</v>
      </c>
      <c r="C6" s="12">
        <f>2.185</f>
        <v>2.1850000000000001</v>
      </c>
      <c r="D6" s="12">
        <f>82*0.1</f>
        <v>8.2000000000000011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67" t="s">
        <v>28</v>
      </c>
      <c r="B8" s="68"/>
      <c r="C8" s="68"/>
      <c r="D8" s="68"/>
      <c r="E8" s="69"/>
      <c r="F8" s="32"/>
      <c r="G8" s="32"/>
      <c r="H8" s="46" t="s">
        <v>24</v>
      </c>
      <c r="I8" s="46"/>
      <c r="J8" s="46"/>
      <c r="K8" s="46"/>
      <c r="M8" s="47" t="s">
        <v>25</v>
      </c>
      <c r="N8" s="47"/>
      <c r="O8" s="47"/>
      <c r="P8" s="47"/>
      <c r="Q8" s="23"/>
      <c r="R8" s="43" t="s">
        <v>26</v>
      </c>
      <c r="S8" s="43"/>
      <c r="T8" s="43"/>
      <c r="U8" s="43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59" t="str">
        <f>$A$8</f>
        <v>Cuadripolo "A" - Nro. De serie: 9603 (15 V - 50 mA) (Pi)</v>
      </c>
      <c r="I9" s="59"/>
      <c r="J9" s="59"/>
      <c r="K9" s="59"/>
      <c r="M9" s="44" t="str">
        <f>$A$8</f>
        <v>Cuadripolo "A" - Nro. De serie: 9603 (15 V - 50 mA) (Pi)</v>
      </c>
      <c r="N9" s="44"/>
      <c r="O9" s="44"/>
      <c r="P9" s="44"/>
      <c r="Q9" s="23"/>
      <c r="R9" s="44" t="str">
        <f>$A$8</f>
        <v>Cuadripolo "A" - Nro. De serie: 9603 (15 V - 50 mA) (Pi)</v>
      </c>
      <c r="S9" s="44"/>
      <c r="T9" s="44"/>
      <c r="U9" s="44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72*0.5</f>
        <v>36</v>
      </c>
      <c r="E11" s="12">
        <f>60.5*0.5</f>
        <v>30.25</v>
      </c>
      <c r="F11" s="32"/>
      <c r="G11" s="32"/>
      <c r="H11" s="12">
        <f>B13/D13*1000</f>
        <v>217.85714285714283</v>
      </c>
      <c r="I11" s="12">
        <f>B12/E12*1000</f>
        <v>157.35384615384615</v>
      </c>
      <c r="J11" s="12">
        <f>C13/D13*1000</f>
        <v>157.35714285714283</v>
      </c>
      <c r="K11" s="12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3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  <c r="W11" s="12">
        <f>R11*U11-S11*T11</f>
        <v>-6.9221910017519317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3.05</v>
      </c>
      <c r="C13" s="12">
        <f>2.203</f>
        <v>2.2029999999999998</v>
      </c>
      <c r="D13" s="12">
        <f>28*0.5</f>
        <v>14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55" t="s">
        <v>12</v>
      </c>
      <c r="B15" s="56"/>
      <c r="C15" s="56"/>
      <c r="D15" s="56"/>
      <c r="E15" s="57"/>
      <c r="F15" s="32"/>
      <c r="G15" s="32"/>
      <c r="H15" s="60" t="s">
        <v>24</v>
      </c>
      <c r="I15" s="61"/>
      <c r="J15" s="61"/>
      <c r="K15" s="62"/>
      <c r="N15" s="51" t="s">
        <v>52</v>
      </c>
      <c r="O15" s="51"/>
      <c r="P15" s="51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55" t="s">
        <v>12</v>
      </c>
      <c r="I16" s="56"/>
      <c r="J16" s="56"/>
      <c r="K16" s="57"/>
      <c r="N16" s="48" t="s">
        <v>29</v>
      </c>
      <c r="O16" s="49"/>
      <c r="P16" s="50"/>
    </row>
    <row r="17" spans="1:16" ht="18" x14ac:dyDescent="0.35">
      <c r="A17" s="12" t="s">
        <v>6</v>
      </c>
      <c r="B17" s="37">
        <f>2.158</f>
        <v>2.1579999999999999</v>
      </c>
      <c r="C17" s="12">
        <v>3.09</v>
      </c>
      <c r="D17" s="12">
        <v>0</v>
      </c>
      <c r="E17" s="12">
        <f>51*0.1</f>
        <v>5.1000000000000005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48" t="s">
        <v>31</v>
      </c>
      <c r="O17" s="49"/>
      <c r="P17" s="50"/>
    </row>
    <row r="18" spans="1:16" ht="18" x14ac:dyDescent="0.35">
      <c r="A18" s="12" t="s">
        <v>7</v>
      </c>
      <c r="B18" s="12">
        <v>3.09</v>
      </c>
      <c r="C18" s="12">
        <f>2.351</f>
        <v>2.351</v>
      </c>
      <c r="D18" s="12">
        <f>55*0.1</f>
        <v>5.5</v>
      </c>
      <c r="E18" s="12">
        <v>0</v>
      </c>
      <c r="F18" s="32"/>
      <c r="G18" s="32"/>
      <c r="H18" s="12">
        <f>B18/D18*1000</f>
        <v>561.81818181818176</v>
      </c>
      <c r="I18" s="12">
        <f>B18/E17*1000</f>
        <v>605.88235294117646</v>
      </c>
      <c r="J18" s="12">
        <f>C18/D18*1000</f>
        <v>427.4545454545455</v>
      </c>
      <c r="K18" s="12">
        <f>C18/E17*1000</f>
        <v>460.98039215686271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55" t="s">
        <v>13</v>
      </c>
      <c r="B20" s="56"/>
      <c r="C20" s="56"/>
      <c r="D20" s="56"/>
      <c r="E20" s="57"/>
      <c r="F20" s="32"/>
      <c r="G20" s="32"/>
      <c r="H20" s="63" t="s">
        <v>25</v>
      </c>
      <c r="I20" s="63"/>
      <c r="J20" s="63"/>
      <c r="K20" s="63"/>
      <c r="N20" s="48" t="s">
        <v>30</v>
      </c>
      <c r="O20" s="49"/>
      <c r="P20" s="50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59" t="s">
        <v>13</v>
      </c>
      <c r="I21" s="59"/>
      <c r="J21" s="59"/>
      <c r="K21" s="59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55" t="s">
        <v>18</v>
      </c>
      <c r="B25" s="56"/>
      <c r="C25" s="56"/>
      <c r="D25" s="56"/>
      <c r="E25" s="57"/>
      <c r="F25" s="32"/>
      <c r="G25" s="32"/>
      <c r="H25" s="40" t="s">
        <v>26</v>
      </c>
      <c r="I25" s="40"/>
      <c r="J25" s="40"/>
      <c r="K25" s="40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59" t="s">
        <v>18</v>
      </c>
      <c r="I26" s="59"/>
      <c r="J26" s="59"/>
      <c r="K26" s="59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55" t="s">
        <v>23</v>
      </c>
      <c r="B30" s="56"/>
      <c r="C30" s="56"/>
      <c r="D30" s="56"/>
      <c r="E30" s="57"/>
      <c r="F30" s="32"/>
      <c r="G30" s="32"/>
      <c r="H30" s="40" t="s">
        <v>26</v>
      </c>
      <c r="I30" s="40"/>
      <c r="J30" s="40"/>
      <c r="K30" s="40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59" t="s">
        <v>23</v>
      </c>
      <c r="I31" s="59"/>
      <c r="J31" s="59"/>
      <c r="K31" s="59"/>
      <c r="M31" s="11"/>
    </row>
    <row r="32" spans="1:16" ht="18" x14ac:dyDescent="0.35">
      <c r="A32" s="12" t="s">
        <v>5</v>
      </c>
      <c r="B32" s="12">
        <v>3.09</v>
      </c>
      <c r="C32" s="12">
        <v>0</v>
      </c>
      <c r="D32" s="12">
        <f>29*0.5</f>
        <v>14.5</v>
      </c>
      <c r="E32" s="12">
        <f>0.1*66</f>
        <v>6.6000000000000005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3.09</v>
      </c>
      <c r="C33" s="12">
        <v>0.86899999999999999</v>
      </c>
      <c r="D33" s="12">
        <f>25*0.5</f>
        <v>12.5</v>
      </c>
      <c r="E33" s="12">
        <v>0</v>
      </c>
      <c r="F33" s="32"/>
      <c r="G33" s="32"/>
      <c r="H33" s="12">
        <f>B33/C33</f>
        <v>3.5558112773302644</v>
      </c>
      <c r="I33" s="12">
        <f>-B32/E32*1000</f>
        <v>-468.18181818181813</v>
      </c>
      <c r="J33" s="12">
        <f>E32/B33/1000</f>
        <v>2.1359223300970879E-3</v>
      </c>
      <c r="K33" s="12">
        <f>-D32/E32</f>
        <v>-2.1969696969696968</v>
      </c>
      <c r="M33" s="12">
        <f>H33*K33-I33*J33</f>
        <v>-6.8120096244377013</v>
      </c>
    </row>
    <row r="35" spans="1:15" x14ac:dyDescent="0.25">
      <c r="A35" s="52" t="s">
        <v>35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4"/>
    </row>
    <row r="37" spans="1:15" ht="18" x14ac:dyDescent="0.35">
      <c r="A37" s="18" t="s">
        <v>45</v>
      </c>
      <c r="B37" s="17">
        <f>M4</f>
        <v>5.4918032786885245E-3</v>
      </c>
      <c r="C37" s="13">
        <f>N4</f>
        <v>3.7704918032786887E-3</v>
      </c>
      <c r="D37" s="21"/>
      <c r="E37" s="22" t="s">
        <v>44</v>
      </c>
      <c r="F37" s="17">
        <f>M11</f>
        <v>1.180327868852459E-2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3.7704918032786887E-3</v>
      </c>
      <c r="C38" s="13">
        <f>P4</f>
        <v>5.2459016393442632E-3</v>
      </c>
      <c r="D38" s="24"/>
      <c r="E38" s="25" t="s">
        <v>37</v>
      </c>
      <c r="F38" s="17">
        <f>O11</f>
        <v>9.9180327868852464E-3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371.95121951219505</v>
      </c>
      <c r="C40" s="13">
        <f>I4</f>
        <v>310.29411764705878</v>
      </c>
      <c r="D40" s="21"/>
      <c r="E40" s="28" t="s">
        <v>38</v>
      </c>
      <c r="F40" s="20">
        <f t="array" ref="F40:G41">MINVERSE(B37:C38)</f>
        <v>359.48434622467772</v>
      </c>
      <c r="G40" s="16">
        <v>-258.37937384898709</v>
      </c>
      <c r="H40" s="23"/>
      <c r="I40" s="22" t="s">
        <v>47</v>
      </c>
      <c r="J40" s="17">
        <f>R4</f>
        <v>1.3958810068649885</v>
      </c>
      <c r="K40" s="13">
        <f>S4</f>
        <v>265.21739130434781</v>
      </c>
      <c r="L40" s="23"/>
      <c r="M40" s="28" t="s">
        <v>47</v>
      </c>
      <c r="N40" s="20">
        <f>B40/B41</f>
        <v>1.3958810068649885</v>
      </c>
      <c r="O40" s="16">
        <f>MDETERM(B40:C41)/B41</f>
        <v>315.79956925561976</v>
      </c>
    </row>
    <row r="41" spans="1:15" ht="18" x14ac:dyDescent="0.35">
      <c r="A41" s="19" t="s">
        <v>37</v>
      </c>
      <c r="B41" s="17">
        <f>J4</f>
        <v>266.46341463414632</v>
      </c>
      <c r="C41" s="13">
        <f>K4</f>
        <v>448.5294117647058</v>
      </c>
      <c r="D41" s="24"/>
      <c r="E41" s="29" t="s">
        <v>48</v>
      </c>
      <c r="F41" s="20">
        <v>-258.37937384898709</v>
      </c>
      <c r="G41" s="16">
        <v>376.33517495395944</v>
      </c>
      <c r="H41" s="23"/>
      <c r="I41" s="25" t="s">
        <v>37</v>
      </c>
      <c r="J41" s="17">
        <f>T4</f>
        <v>3.7528604118993139E-3</v>
      </c>
      <c r="K41" s="13">
        <f>U4</f>
        <v>1.4565217391304348</v>
      </c>
      <c r="L41" s="23"/>
      <c r="M41" s="29" t="s">
        <v>50</v>
      </c>
      <c r="N41" s="20">
        <f>1/B41</f>
        <v>3.7528604118993139E-3</v>
      </c>
      <c r="O41" s="16">
        <f>C41/B41</f>
        <v>1.6832682729842507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217.85714285714283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-521.73913043478262</v>
      </c>
      <c r="G43" s="16">
        <v>721.73913043478262</v>
      </c>
      <c r="H43" s="23"/>
      <c r="I43" s="22" t="s">
        <v>46</v>
      </c>
      <c r="J43" s="17">
        <f>R11</f>
        <v>6.3549704947798462</v>
      </c>
      <c r="K43" s="13">
        <f>S11</f>
        <v>-100.82644628099173</v>
      </c>
      <c r="L43" s="23"/>
      <c r="M43" s="28" t="s">
        <v>46</v>
      </c>
      <c r="N43" s="20">
        <f>B43/B44</f>
        <v>1.3844757149341806</v>
      </c>
      <c r="O43" s="16">
        <f>MDETERM(B43:C44)/B44</f>
        <v>102.50159572610777</v>
      </c>
    </row>
    <row r="44" spans="1:15" ht="18" x14ac:dyDescent="0.35">
      <c r="A44" s="19" t="s">
        <v>37</v>
      </c>
      <c r="B44" s="17">
        <f>J11</f>
        <v>157.35714285714283</v>
      </c>
      <c r="C44" s="13">
        <f>K11</f>
        <v>187.69230769230768</v>
      </c>
      <c r="D44" s="21"/>
      <c r="E44" s="29" t="s">
        <v>49</v>
      </c>
      <c r="F44" s="20">
        <v>526.08695652173913</v>
      </c>
      <c r="G44" s="16">
        <v>-626.08695652173913</v>
      </c>
      <c r="H44" s="23"/>
      <c r="I44" s="25" t="s">
        <v>37</v>
      </c>
      <c r="J44" s="17">
        <f>T11</f>
        <v>6.3549704947798462E-3</v>
      </c>
      <c r="K44" s="13">
        <f>U11</f>
        <v>-1.1900826446280992</v>
      </c>
      <c r="L44" s="23"/>
      <c r="M44" s="29" t="s">
        <v>51</v>
      </c>
      <c r="N44" s="20">
        <f>1/B44</f>
        <v>6.354970494779847E-3</v>
      </c>
      <c r="O44" s="16">
        <f>C44/B44</f>
        <v>1.1927790774817557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561.81818181818176</v>
      </c>
      <c r="C46" s="13">
        <f>I18</f>
        <v>605.88235294117646</v>
      </c>
      <c r="D46" s="23"/>
      <c r="E46" s="28" t="s">
        <v>39</v>
      </c>
      <c r="F46" s="20">
        <f>B40+B43</f>
        <v>589.80836236933783</v>
      </c>
      <c r="G46" s="16">
        <f>C40+C43</f>
        <v>467.6479638009049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2.3172375356994666</v>
      </c>
      <c r="O46" s="16">
        <v>609.75451843709573</v>
      </c>
    </row>
    <row r="47" spans="1:15" x14ac:dyDescent="0.25">
      <c r="A47" s="19" t="s">
        <v>37</v>
      </c>
      <c r="B47" s="17">
        <f>J11</f>
        <v>157.35714285714283</v>
      </c>
      <c r="C47" s="13">
        <f>K11</f>
        <v>187.69230769230768</v>
      </c>
      <c r="D47" s="23"/>
      <c r="E47" s="30" t="s">
        <v>41</v>
      </c>
      <c r="F47" s="20">
        <f>B41+B44</f>
        <v>423.82055749128915</v>
      </c>
      <c r="G47" s="16">
        <f>C41+C44</f>
        <v>636.22171945701348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1.3347115992873653E-2</v>
      </c>
      <c r="O47" s="16">
        <v>4.014664122688111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1.7295081967213115E-2</v>
      </c>
      <c r="G49" s="16">
        <f>C37+G37</f>
        <v>1.7377049180327869E-2</v>
      </c>
      <c r="H49" s="23"/>
      <c r="I49" s="22" t="s">
        <v>43</v>
      </c>
      <c r="J49" s="17">
        <f>H33</f>
        <v>3.5558112773302644</v>
      </c>
      <c r="K49" s="13">
        <f>I33</f>
        <v>-468.18181818181813</v>
      </c>
      <c r="L49" s="23"/>
      <c r="M49" s="28" t="s">
        <v>43</v>
      </c>
      <c r="N49" s="20">
        <f t="array" ref="N49:O50">MMULT(N40:O41,N43:O44)</f>
        <v>3.9394602998260972</v>
      </c>
      <c r="O49" s="16">
        <v>519.75914953328129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1.3688524590163936E-2</v>
      </c>
      <c r="G50" s="16">
        <f>C38+G38</f>
        <v>1.5081967213114757E-2</v>
      </c>
      <c r="H50" s="23"/>
      <c r="I50" s="25" t="s">
        <v>37</v>
      </c>
      <c r="J50" s="17">
        <f>J33</f>
        <v>2.1359223300970879E-3</v>
      </c>
      <c r="K50" s="13">
        <f>K33</f>
        <v>-2.1969696969696968</v>
      </c>
      <c r="L50" s="23"/>
      <c r="M50" s="30" t="s">
        <v>41</v>
      </c>
      <c r="N50" s="20">
        <v>1.5892864311426426E-2</v>
      </c>
      <c r="O50" s="16">
        <v>2.3924413585614803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mergeCells count="31">
    <mergeCell ref="A1:E1"/>
    <mergeCell ref="H1:K1"/>
    <mergeCell ref="M1:P1"/>
    <mergeCell ref="R1:U1"/>
    <mergeCell ref="H2:K2"/>
    <mergeCell ref="M2:P2"/>
    <mergeCell ref="R2:U2"/>
    <mergeCell ref="N17:P17"/>
    <mergeCell ref="A8:E8"/>
    <mergeCell ref="H8:K8"/>
    <mergeCell ref="M8:P8"/>
    <mergeCell ref="R8:U8"/>
    <mergeCell ref="H9:K9"/>
    <mergeCell ref="M9:P9"/>
    <mergeCell ref="R9:U9"/>
    <mergeCell ref="A15:E15"/>
    <mergeCell ref="H15:K15"/>
    <mergeCell ref="N15:P15"/>
    <mergeCell ref="H16:K16"/>
    <mergeCell ref="N16:P16"/>
    <mergeCell ref="A20:E20"/>
    <mergeCell ref="H20:K20"/>
    <mergeCell ref="N20:P20"/>
    <mergeCell ref="H21:K21"/>
    <mergeCell ref="A25:E25"/>
    <mergeCell ref="H25:K25"/>
    <mergeCell ref="H26:K26"/>
    <mergeCell ref="A30:E30"/>
    <mergeCell ref="H30:K30"/>
    <mergeCell ref="H31:K31"/>
    <mergeCell ref="A35:O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C70-8EC6-4460-BB78-6752A67B18A7}">
  <dimension ref="A1:M13"/>
  <sheetViews>
    <sheetView workbookViewId="0">
      <selection activeCell="C12" sqref="C12:F12"/>
    </sheetView>
  </sheetViews>
  <sheetFormatPr baseColWidth="10" defaultRowHeight="15" x14ac:dyDescent="0.25"/>
  <sheetData>
    <row r="1" spans="1:13" x14ac:dyDescent="0.25">
      <c r="A1" s="64" t="s">
        <v>27</v>
      </c>
      <c r="B1" s="65"/>
      <c r="C1" s="65"/>
      <c r="D1" s="65"/>
      <c r="E1" s="65"/>
      <c r="F1" s="66"/>
      <c r="H1" s="70" t="s">
        <v>28</v>
      </c>
      <c r="I1" s="71"/>
      <c r="J1" s="71"/>
      <c r="K1" s="71"/>
      <c r="L1" s="71"/>
      <c r="M1" s="71"/>
    </row>
    <row r="2" spans="1:13" ht="18" x14ac:dyDescent="0.35">
      <c r="A2" s="2" t="s">
        <v>32</v>
      </c>
      <c r="B2" s="2" t="s">
        <v>0</v>
      </c>
      <c r="C2" s="8" t="s">
        <v>1</v>
      </c>
      <c r="D2" s="8" t="s">
        <v>2</v>
      </c>
      <c r="E2" s="2" t="s">
        <v>33</v>
      </c>
      <c r="F2" s="2" t="s">
        <v>34</v>
      </c>
      <c r="H2" s="2" t="s">
        <v>32</v>
      </c>
      <c r="I2" s="2" t="s">
        <v>0</v>
      </c>
      <c r="J2" s="8" t="s">
        <v>1</v>
      </c>
      <c r="K2" s="8" t="s">
        <v>2</v>
      </c>
      <c r="L2" s="2" t="s">
        <v>33</v>
      </c>
      <c r="M2" s="2" t="s">
        <v>34</v>
      </c>
    </row>
    <row r="3" spans="1:13" x14ac:dyDescent="0.25">
      <c r="A3" s="2">
        <v>383</v>
      </c>
      <c r="B3" s="8">
        <v>3.0619999999999998</v>
      </c>
      <c r="C3" s="8">
        <v>1.3919999999999999</v>
      </c>
      <c r="D3" s="8">
        <f>23*0.5</f>
        <v>11.5</v>
      </c>
      <c r="E3" s="8">
        <v>320</v>
      </c>
      <c r="F3" s="12">
        <f>C3*D3</f>
        <v>16.007999999999999</v>
      </c>
      <c r="H3" s="2">
        <v>188.3</v>
      </c>
      <c r="I3" s="8">
        <v>3.0619999999999998</v>
      </c>
      <c r="J3" s="8">
        <v>1.3029999999999999</v>
      </c>
      <c r="K3" s="8">
        <f>0.5*46</f>
        <v>23</v>
      </c>
      <c r="L3" s="8">
        <v>105.8</v>
      </c>
      <c r="M3" s="12">
        <f>J3*K3</f>
        <v>29.968999999999998</v>
      </c>
    </row>
    <row r="4" spans="1:13" x14ac:dyDescent="0.25">
      <c r="A4" s="11"/>
      <c r="B4" s="11"/>
      <c r="C4" s="8">
        <v>1.411</v>
      </c>
      <c r="D4" s="8">
        <f>23*0.5</f>
        <v>11.5</v>
      </c>
      <c r="E4" s="8">
        <v>331</v>
      </c>
      <c r="F4" s="12">
        <f t="shared" ref="F4:F12" si="0">C4*D4</f>
        <v>16.226500000000001</v>
      </c>
      <c r="J4" s="8">
        <v>1.35</v>
      </c>
      <c r="K4" s="8">
        <f>0.5*44.9</f>
        <v>22.45</v>
      </c>
      <c r="L4" s="8">
        <v>116</v>
      </c>
      <c r="M4" s="12">
        <f t="shared" ref="M4:M7" si="1">J4*K4</f>
        <v>30.307500000000001</v>
      </c>
    </row>
    <row r="5" spans="1:13" x14ac:dyDescent="0.25">
      <c r="C5" s="8">
        <v>1.427</v>
      </c>
      <c r="D5" s="8">
        <f>0.5*22.9</f>
        <v>11.45</v>
      </c>
      <c r="E5" s="8">
        <v>342</v>
      </c>
      <c r="F5" s="12">
        <f t="shared" si="0"/>
        <v>16.33915</v>
      </c>
      <c r="J5" s="8">
        <v>1.405</v>
      </c>
      <c r="K5" s="8">
        <f>0.5*43.9</f>
        <v>21.95</v>
      </c>
      <c r="L5" s="8">
        <v>124</v>
      </c>
      <c r="M5" s="12">
        <f t="shared" si="1"/>
        <v>30.839749999999999</v>
      </c>
    </row>
    <row r="6" spans="1:13" x14ac:dyDescent="0.25">
      <c r="C6" s="8">
        <v>1.4470000000000001</v>
      </c>
      <c r="D6" s="8">
        <f>0.5*22.7</f>
        <v>11.35</v>
      </c>
      <c r="E6" s="8">
        <v>355</v>
      </c>
      <c r="F6" s="12">
        <f t="shared" si="0"/>
        <v>16.423449999999999</v>
      </c>
      <c r="J6" s="10">
        <v>1.4690000000000001</v>
      </c>
      <c r="K6" s="10">
        <f>0.5*42.5</f>
        <v>21.25</v>
      </c>
      <c r="L6" s="10">
        <v>145.6</v>
      </c>
      <c r="M6" s="12">
        <f t="shared" si="1"/>
        <v>31.216250000000002</v>
      </c>
    </row>
    <row r="7" spans="1:13" x14ac:dyDescent="0.25">
      <c r="C7" s="8">
        <v>1.454</v>
      </c>
      <c r="D7" s="8">
        <f>0.5*22.5</f>
        <v>11.25</v>
      </c>
      <c r="E7" s="8">
        <v>360</v>
      </c>
      <c r="F7" s="12">
        <f t="shared" si="0"/>
        <v>16.357499999999998</v>
      </c>
      <c r="J7" s="8">
        <f>1.507</f>
        <v>1.5069999999999999</v>
      </c>
      <c r="K7" s="8">
        <f>0.5*41.9</f>
        <v>20.95</v>
      </c>
      <c r="L7" s="8">
        <v>157.4</v>
      </c>
      <c r="M7" s="12">
        <f t="shared" si="1"/>
        <v>31.571649999999998</v>
      </c>
    </row>
    <row r="8" spans="1:13" x14ac:dyDescent="0.25">
      <c r="C8" s="8">
        <v>1.4690000000000001</v>
      </c>
      <c r="D8" s="8">
        <f>0.5*22.4</f>
        <v>11.2</v>
      </c>
      <c r="E8" s="8">
        <v>371</v>
      </c>
      <c r="F8" s="12">
        <f t="shared" si="0"/>
        <v>16.4528</v>
      </c>
      <c r="J8" s="8">
        <v>1.54</v>
      </c>
      <c r="K8" s="8">
        <f>41*0.5</f>
        <v>20.5</v>
      </c>
      <c r="L8" s="8">
        <v>167.8</v>
      </c>
      <c r="M8" s="12">
        <f t="shared" ref="M8:M13" si="2">J8*K8</f>
        <v>31.57</v>
      </c>
    </row>
    <row r="9" spans="1:13" x14ac:dyDescent="0.25">
      <c r="C9" s="8">
        <v>1.4830000000000001</v>
      </c>
      <c r="D9" s="8">
        <f>22.5*0.5</f>
        <v>11.25</v>
      </c>
      <c r="E9" s="8">
        <v>383</v>
      </c>
      <c r="F9" s="12">
        <f t="shared" si="0"/>
        <v>16.68375</v>
      </c>
      <c r="J9" s="8">
        <v>1.5569999999999999</v>
      </c>
      <c r="K9" s="8">
        <f>41*0.5</f>
        <v>20.5</v>
      </c>
      <c r="L9" s="8">
        <v>174.5</v>
      </c>
      <c r="M9" s="12">
        <f t="shared" si="2"/>
        <v>31.918499999999998</v>
      </c>
    </row>
    <row r="10" spans="1:13" x14ac:dyDescent="0.25">
      <c r="C10" s="8">
        <v>1.492</v>
      </c>
      <c r="D10" s="8">
        <f>0.5*22.2</f>
        <v>11.1</v>
      </c>
      <c r="E10" s="8">
        <v>390</v>
      </c>
      <c r="F10" s="12">
        <f t="shared" si="0"/>
        <v>16.561199999999999</v>
      </c>
      <c r="J10" s="8">
        <v>1.61</v>
      </c>
      <c r="K10" s="8">
        <f>0.5*40</f>
        <v>20</v>
      </c>
      <c r="L10" s="8">
        <v>180</v>
      </c>
      <c r="M10" s="12">
        <f t="shared" si="2"/>
        <v>32.200000000000003</v>
      </c>
    </row>
    <row r="11" spans="1:13" x14ac:dyDescent="0.25">
      <c r="C11" s="7">
        <v>1.5069999999999999</v>
      </c>
      <c r="D11" s="8">
        <f>0.5*21.5</f>
        <v>10.75</v>
      </c>
      <c r="E11" s="8">
        <v>400</v>
      </c>
      <c r="F11" s="12">
        <f t="shared" si="0"/>
        <v>16.20025</v>
      </c>
      <c r="J11" s="8">
        <v>1.6</v>
      </c>
      <c r="K11" s="8">
        <f>0.5*40.1</f>
        <v>20.05</v>
      </c>
      <c r="L11" s="8">
        <v>188.4</v>
      </c>
      <c r="M11" s="12">
        <f t="shared" si="2"/>
        <v>32.080000000000005</v>
      </c>
    </row>
    <row r="12" spans="1:13" x14ac:dyDescent="0.25">
      <c r="C12" s="8">
        <v>1.5249999999999999</v>
      </c>
      <c r="D12" s="8">
        <f>0.5*21</f>
        <v>10.5</v>
      </c>
      <c r="E12" s="8">
        <v>416</v>
      </c>
      <c r="F12" s="12">
        <f t="shared" si="0"/>
        <v>16.012499999999999</v>
      </c>
      <c r="J12" s="8">
        <v>1.595</v>
      </c>
      <c r="K12" s="8">
        <f>0.5*40.1</f>
        <v>20.05</v>
      </c>
      <c r="L12" s="8">
        <v>189</v>
      </c>
      <c r="M12" s="12">
        <f t="shared" si="2"/>
        <v>31.979749999999999</v>
      </c>
    </row>
    <row r="13" spans="1:13" x14ac:dyDescent="0.25">
      <c r="C13" s="11"/>
      <c r="D13" s="11"/>
      <c r="E13" s="11"/>
      <c r="F13" s="39"/>
      <c r="I13" s="11"/>
      <c r="J13" s="8">
        <v>1.59</v>
      </c>
      <c r="K13" s="8">
        <f>0.5*38</f>
        <v>19</v>
      </c>
      <c r="L13" s="8">
        <v>213</v>
      </c>
      <c r="M13" s="12">
        <f t="shared" si="2"/>
        <v>30.21</v>
      </c>
    </row>
  </sheetData>
  <mergeCells count="2">
    <mergeCell ref="H1:M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dado vuelta</vt:lpstr>
      <vt:lpstr>A normal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2019-05-21T13:35:24Z</dcterms:modified>
</cp:coreProperties>
</file>