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TP3-Electro\TP5\"/>
    </mc:Choice>
  </mc:AlternateContent>
  <xr:revisionPtr revIDLastSave="0" documentId="13_ncr:1_{A7491D6C-B81E-4C2E-911D-D7192B3CFC81}" xr6:coauthVersionLast="43" xr6:coauthVersionMax="43" xr10:uidLastSave="{00000000-0000-0000-0000-000000000000}"/>
  <bookViews>
    <workbookView xWindow="-120" yWindow="-120" windowWidth="29040" windowHeight="15840" xr2:uid="{FDA36349-2CEE-46F1-A8FD-45D31E04EF72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3" i="1" l="1"/>
  <c r="I33" i="1"/>
  <c r="K28" i="1"/>
  <c r="I28" i="1"/>
  <c r="U11" i="1"/>
  <c r="S11" i="1"/>
  <c r="U4" i="1" l="1"/>
  <c r="S4" i="1"/>
  <c r="E3" i="1"/>
  <c r="E4" i="1"/>
  <c r="E5" i="1"/>
  <c r="E10" i="1"/>
  <c r="E11" i="1"/>
  <c r="E12" i="1"/>
  <c r="R4" i="1"/>
  <c r="T4" i="1"/>
  <c r="E17" i="1"/>
  <c r="E22" i="1"/>
  <c r="E23" i="1"/>
  <c r="E27" i="1"/>
  <c r="E32" i="1"/>
  <c r="W4" i="1" l="1"/>
  <c r="L4" i="3"/>
  <c r="L5" i="3"/>
  <c r="L6" i="3"/>
  <c r="L7" i="3"/>
  <c r="L8" i="3"/>
  <c r="L3" i="3"/>
  <c r="H28" i="1" l="1"/>
  <c r="J46" i="1" l="1"/>
  <c r="J7" i="3"/>
  <c r="J4" i="3"/>
  <c r="J5" i="3"/>
  <c r="J3" i="3"/>
  <c r="J8" i="3"/>
  <c r="J6" i="3"/>
  <c r="C18" i="1"/>
  <c r="K49" i="1" l="1"/>
  <c r="D32" i="1"/>
  <c r="H33" i="1"/>
  <c r="D33" i="1"/>
  <c r="K50" i="1"/>
  <c r="D28" i="1"/>
  <c r="D27" i="1"/>
  <c r="D22" i="1"/>
  <c r="D23" i="1"/>
  <c r="K47" i="1" l="1"/>
  <c r="J49" i="1"/>
  <c r="B17" i="1"/>
  <c r="D18" i="1"/>
  <c r="J18" i="1" s="1"/>
  <c r="H18" i="1" l="1"/>
  <c r="B46" i="1" s="1"/>
  <c r="K4" i="1"/>
  <c r="C41" i="1" s="1"/>
  <c r="B5" i="1"/>
  <c r="D3" i="1"/>
  <c r="C6" i="1"/>
  <c r="D6" i="1"/>
  <c r="H4" i="1" s="1"/>
  <c r="B40" i="1" s="1"/>
  <c r="D4" i="1"/>
  <c r="D13" i="1"/>
  <c r="C13" i="1"/>
  <c r="B12" i="1"/>
  <c r="C12" i="1"/>
  <c r="D10" i="1"/>
  <c r="D11" i="1"/>
  <c r="K11" i="1" l="1"/>
  <c r="C47" i="1" s="1"/>
  <c r="I11" i="1"/>
  <c r="C43" i="1" s="1"/>
  <c r="J4" i="1"/>
  <c r="B41" i="1" s="1"/>
  <c r="N41" i="1" s="1"/>
  <c r="T11" i="1"/>
  <c r="J44" i="1" s="1"/>
  <c r="H11" i="1"/>
  <c r="B43" i="1" s="1"/>
  <c r="F46" i="1" s="1"/>
  <c r="J11" i="1"/>
  <c r="K41" i="1"/>
  <c r="M4" i="1"/>
  <c r="B37" i="1" s="1"/>
  <c r="I4" i="1"/>
  <c r="C40" i="1" s="1"/>
  <c r="O40" i="1" s="1"/>
  <c r="R9" i="1"/>
  <c r="M9" i="1"/>
  <c r="H9" i="1"/>
  <c r="R2" i="1"/>
  <c r="M2" i="1"/>
  <c r="H2" i="1"/>
  <c r="O41" i="1" l="1"/>
  <c r="N40" i="1"/>
  <c r="C44" i="1"/>
  <c r="G46" i="1"/>
  <c r="B47" i="1"/>
  <c r="B44" i="1"/>
  <c r="J41" i="1"/>
  <c r="K40" i="1"/>
  <c r="J40" i="1"/>
  <c r="K23" i="1"/>
  <c r="C50" i="1" s="1"/>
  <c r="J23" i="1"/>
  <c r="B50" i="1" s="1"/>
  <c r="I23" i="1"/>
  <c r="C49" i="1" s="1"/>
  <c r="H23" i="1"/>
  <c r="B49" i="1" s="1"/>
  <c r="P11" i="1"/>
  <c r="G38" i="1" s="1"/>
  <c r="F43" i="1" s="1" a="1"/>
  <c r="O11" i="1"/>
  <c r="F38" i="1" s="1"/>
  <c r="N11" i="1"/>
  <c r="G37" i="1" s="1"/>
  <c r="O4" i="1"/>
  <c r="B38" i="1" s="1"/>
  <c r="N4" i="1"/>
  <c r="C37" i="1" s="1"/>
  <c r="G49" i="1" s="1"/>
  <c r="K43" i="1"/>
  <c r="R11" i="1"/>
  <c r="J43" i="1" s="1"/>
  <c r="M11" i="1"/>
  <c r="F37" i="1" s="1"/>
  <c r="P4" i="1"/>
  <c r="C38" i="1" s="1"/>
  <c r="J33" i="1"/>
  <c r="J28" i="1"/>
  <c r="J47" i="1" s="1"/>
  <c r="K18" i="1"/>
  <c r="I18" i="1"/>
  <c r="C46" i="1" s="1"/>
  <c r="K44" i="1" l="1"/>
  <c r="W11" i="1"/>
  <c r="K46" i="1"/>
  <c r="M28" i="1"/>
  <c r="J50" i="1"/>
  <c r="M33" i="1"/>
  <c r="O43" i="1"/>
  <c r="F47" i="1"/>
  <c r="N44" i="1"/>
  <c r="N43" i="1"/>
  <c r="O44" i="1"/>
  <c r="G47" i="1"/>
  <c r="F50" i="1"/>
  <c r="F43" i="1"/>
  <c r="G44" i="1"/>
  <c r="G43" i="1"/>
  <c r="F44" i="1"/>
  <c r="F40" i="1" a="1"/>
  <c r="G41" i="1" s="1"/>
  <c r="G50" i="1"/>
  <c r="F49" i="1"/>
  <c r="N46" i="1" l="1" a="1"/>
  <c r="N46" i="1" s="1"/>
  <c r="N49" i="1" a="1"/>
  <c r="N50" i="1" s="1"/>
  <c r="F41" i="1"/>
  <c r="G40" i="1"/>
  <c r="F40" i="1"/>
  <c r="N47" i="1" l="1"/>
  <c r="O47" i="1"/>
  <c r="O46" i="1"/>
  <c r="O49" i="1"/>
  <c r="N49" i="1"/>
  <c r="O50" i="1"/>
</calcChain>
</file>

<file path=xl/sharedStrings.xml><?xml version="1.0" encoding="utf-8"?>
<sst xmlns="http://schemas.openxmlformats.org/spreadsheetml/2006/main" count="162" uniqueCount="56">
  <si>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[V]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</si>
  <si>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[V]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</si>
  <si>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[mA]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</si>
  <si>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[mA]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</si>
  <si>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</si>
  <si>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</si>
  <si>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</si>
  <si>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</si>
  <si>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Z</t>
    </r>
    <r>
      <rPr>
        <vertAlign val="subscript"/>
        <sz val="11"/>
        <color theme="1"/>
        <rFont val="Calibri"/>
        <family val="2"/>
        <scheme val="minor"/>
      </rPr>
      <t>11</t>
    </r>
  </si>
  <si>
    <r>
      <t>Z</t>
    </r>
    <r>
      <rPr>
        <vertAlign val="subscript"/>
        <sz val="11"/>
        <color theme="1"/>
        <rFont val="Calibri"/>
        <family val="2"/>
        <scheme val="minor"/>
      </rPr>
      <t>12</t>
    </r>
  </si>
  <si>
    <r>
      <t>Z</t>
    </r>
    <r>
      <rPr>
        <vertAlign val="subscript"/>
        <sz val="11"/>
        <color theme="1"/>
        <rFont val="Calibri"/>
        <family val="2"/>
        <scheme val="minor"/>
      </rPr>
      <t>21</t>
    </r>
  </si>
  <si>
    <r>
      <t>Z</t>
    </r>
    <r>
      <rPr>
        <vertAlign val="subscript"/>
        <sz val="11"/>
        <color theme="1"/>
        <rFont val="Calibri"/>
        <family val="2"/>
        <scheme val="minor"/>
      </rPr>
      <t>22</t>
    </r>
  </si>
  <si>
    <t xml:space="preserve">Cuadripolo "A" y "B" en serie </t>
  </si>
  <si>
    <t>Cuadripolo "A" y "B" en paralelo</t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</si>
  <si>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</si>
  <si>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</si>
  <si>
    <r>
      <t>Y</t>
    </r>
    <r>
      <rPr>
        <vertAlign val="subscript"/>
        <sz val="11"/>
        <color theme="1"/>
        <rFont val="Calibri"/>
        <family val="2"/>
        <scheme val="minor"/>
      </rPr>
      <t>21</t>
    </r>
  </si>
  <si>
    <r>
      <t>Y</t>
    </r>
    <r>
      <rPr>
        <vertAlign val="subscript"/>
        <sz val="11"/>
        <color theme="1"/>
        <rFont val="Calibri"/>
        <family val="2"/>
        <scheme val="minor"/>
      </rPr>
      <t>22</t>
    </r>
  </si>
  <si>
    <t>Cuadripolo "A" y "B" en cascada</t>
  </si>
  <si>
    <t>A</t>
  </si>
  <si>
    <t>B</t>
  </si>
  <si>
    <t>C</t>
  </si>
  <si>
    <t>D</t>
  </si>
  <si>
    <t>Cuadripolo "B" y "A" en cascada</t>
  </si>
  <si>
    <t>Parametro Z</t>
  </si>
  <si>
    <t>Parametro Y</t>
  </si>
  <si>
    <t>Parametro T</t>
  </si>
  <si>
    <t>Cuadripolo "B" - Nro. De serie: 9608 (15 V - 50 mA) (T)</t>
  </si>
  <si>
    <t>Cuadripolo "A" - Nro. De serie: 9603 (15 V - 50 mA) (Pi)</t>
  </si>
  <si>
    <t>Conectamos B y A dado vuelta</t>
  </si>
  <si>
    <t>Conectamos A y B</t>
  </si>
  <si>
    <t>Resistencias…</t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</si>
  <si>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[Ohm]</t>
    </r>
  </si>
  <si>
    <r>
      <t>R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[Ohm]</t>
    </r>
  </si>
  <si>
    <t>43.5</t>
  </si>
  <si>
    <t>-</t>
  </si>
  <si>
    <t>P[W]</t>
  </si>
  <si>
    <t>Equivalencias</t>
  </si>
  <si>
    <r>
      <t>Z</t>
    </r>
    <r>
      <rPr>
        <vertAlign val="subscript"/>
        <sz val="11"/>
        <color theme="1"/>
        <rFont val="Calibri"/>
        <family val="2"/>
        <scheme val="minor"/>
      </rPr>
      <t>A</t>
    </r>
  </si>
  <si>
    <t>Medido</t>
  </si>
  <si>
    <r>
      <t>Z</t>
    </r>
    <r>
      <rPr>
        <vertAlign val="subscript"/>
        <sz val="11"/>
        <color theme="1"/>
        <rFont val="Calibri"/>
        <family val="2"/>
        <scheme val="minor"/>
      </rPr>
      <t>B</t>
    </r>
  </si>
  <si>
    <r>
      <t>Z</t>
    </r>
    <r>
      <rPr>
        <vertAlign val="subscript"/>
        <sz val="11"/>
        <color theme="1"/>
        <rFont val="Calibri"/>
        <family val="2"/>
        <scheme val="minor"/>
      </rPr>
      <t>SERIE</t>
    </r>
  </si>
  <si>
    <r>
      <t>Y</t>
    </r>
    <r>
      <rPr>
        <vertAlign val="subscript"/>
        <sz val="11"/>
        <color theme="1"/>
        <rFont val="Calibri"/>
        <family val="2"/>
        <scheme val="minor"/>
      </rPr>
      <t>PARALELO</t>
    </r>
  </si>
  <si>
    <t>Calculado</t>
  </si>
  <si>
    <r>
      <t>T</t>
    </r>
    <r>
      <rPr>
        <vertAlign val="subscript"/>
        <sz val="11"/>
        <color theme="1"/>
        <rFont val="Calibri"/>
        <family val="2"/>
        <scheme val="minor"/>
      </rPr>
      <t>CASCADA A-B</t>
    </r>
  </si>
  <si>
    <r>
      <t>T</t>
    </r>
    <r>
      <rPr>
        <vertAlign val="subscript"/>
        <sz val="11"/>
        <color theme="1"/>
        <rFont val="Calibri"/>
        <family val="2"/>
        <scheme val="minor"/>
      </rPr>
      <t>CASCADA B-A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</si>
  <si>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</si>
  <si>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</si>
  <si>
    <r>
      <t>T</t>
    </r>
    <r>
      <rPr>
        <vertAlign val="subscript"/>
        <sz val="11"/>
        <color theme="1"/>
        <rFont val="Calibri"/>
        <family val="2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</si>
  <si>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</si>
  <si>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^-1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</si>
  <si>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^-1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</si>
  <si>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B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</si>
  <si>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A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</si>
  <si>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ES SIEMPRE SALIENTE</t>
    </r>
  </si>
  <si>
    <t>AD - BC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</si>
</sst>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164" fontId="0" fillId="8" borderId="1" xfId="0" applyNumberFormat="1" applyFill="1" applyBorder="1" applyAlignment="1">
      <alignment horizontal="center"/>
    </xf>
    <xf numFmtId="164" fontId="0" fillId="7" borderId="4" xfId="0" applyNumberForma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164" fontId="0" fillId="0" borderId="0" xfId="0" applyNumberFormat="1" applyFill="1" applyBorder="1"/>
    <xf numFmtId="164" fontId="0" fillId="7" borderId="5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Fill="1" applyBorder="1" applyAlignment="1">
      <alignment horizontal="center"/>
    </xf>
    <xf numFmtId="164" fontId="0" fillId="7" borderId="7" xfId="0" applyNumberFormat="1" applyFill="1" applyBorder="1" applyAlignment="1">
      <alignment horizontal="center"/>
    </xf>
    <xf numFmtId="164" fontId="0" fillId="0" borderId="0" xfId="0" applyNumberFormat="1" applyFill="1"/>
    <xf numFmtId="164" fontId="0" fillId="0" borderId="0" xfId="0" applyNumberFormat="1" applyBorder="1"/>
    <xf numFmtId="164" fontId="0" fillId="8" borderId="5" xfId="0" applyNumberFormat="1" applyFont="1" applyFill="1" applyBorder="1" applyAlignment="1">
      <alignment horizontal="center"/>
    </xf>
    <xf numFmtId="164" fontId="0" fillId="8" borderId="7" xfId="0" applyNumberFormat="1" applyFon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/>
    <xf numFmtId="165" fontId="0" fillId="0" borderId="1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2" borderId="1" xfId="0" applyNumberFormat="1" applyFill="1" applyBorder="1"/>
    <xf numFmtId="165" fontId="0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165" fontId="2" fillId="3" borderId="4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583-11C2-4965-B267-EB43A84ACFA3}">
  <dimension ref="A1:W51"/>
  <sheetViews>
    <sheetView tabSelected="1" topLeftCell="A20" zoomScale="90" zoomScaleNormal="90" workbookViewId="0">
      <selection activeCell="K34" sqref="K34"/>
    </sheetView>
  </sheetViews>
  <sheetFormatPr baseColWidth="10" defaultRowHeight="15" x14ac:dyDescent="0.25"/>
  <cols>
    <col min="8" max="8" width="11.42578125" customWidth="1"/>
    <col min="13" max="13" width="12.5703125" bestFit="1" customWidth="1"/>
    <col min="23" max="23" width="11.42578125" customWidth="1"/>
  </cols>
  <sheetData>
    <row r="1" spans="1:23" x14ac:dyDescent="0.25">
      <c r="A1" s="64" t="s">
        <v>27</v>
      </c>
      <c r="B1" s="65"/>
      <c r="C1" s="65"/>
      <c r="D1" s="65"/>
      <c r="E1" s="66"/>
      <c r="H1" s="58" t="s">
        <v>24</v>
      </c>
      <c r="I1" s="58"/>
      <c r="J1" s="58"/>
      <c r="K1" s="58"/>
      <c r="L1" s="5"/>
      <c r="M1" s="45" t="s">
        <v>25</v>
      </c>
      <c r="N1" s="45"/>
      <c r="O1" s="45"/>
      <c r="P1" s="45"/>
      <c r="R1" s="41" t="s">
        <v>26</v>
      </c>
      <c r="S1" s="41"/>
      <c r="T1" s="41"/>
      <c r="U1" s="41"/>
    </row>
    <row r="2" spans="1:23" ht="18" x14ac:dyDescent="0.35">
      <c r="A2" s="3"/>
      <c r="B2" s="2" t="s">
        <v>0</v>
      </c>
      <c r="C2" s="1" t="s">
        <v>1</v>
      </c>
      <c r="D2" s="1" t="s">
        <v>2</v>
      </c>
      <c r="E2" s="1" t="s">
        <v>3</v>
      </c>
      <c r="H2" s="42" t="str">
        <f>$A$1</f>
        <v>Cuadripolo "B" - Nro. De serie: 9608 (15 V - 50 mA) (T)</v>
      </c>
      <c r="I2" s="42"/>
      <c r="J2" s="42"/>
      <c r="K2" s="42"/>
      <c r="L2" s="4"/>
      <c r="M2" s="42" t="str">
        <f>$A$1</f>
        <v>Cuadripolo "B" - Nro. De serie: 9608 (15 V - 50 mA) (T)</v>
      </c>
      <c r="N2" s="42"/>
      <c r="O2" s="42"/>
      <c r="P2" s="42"/>
      <c r="R2" s="42" t="str">
        <f>$A$1</f>
        <v>Cuadripolo "B" - Nro. De serie: 9608 (15 V - 50 mA) (T)</v>
      </c>
      <c r="S2" s="42"/>
      <c r="T2" s="42"/>
      <c r="U2" s="42"/>
    </row>
    <row r="3" spans="1:23" ht="18" x14ac:dyDescent="0.35">
      <c r="A3" s="13" t="s">
        <v>4</v>
      </c>
      <c r="B3" s="13">
        <v>0</v>
      </c>
      <c r="C3" s="13">
        <v>3.05</v>
      </c>
      <c r="D3" s="13">
        <f>0.5*23</f>
        <v>11.5</v>
      </c>
      <c r="E3" s="13">
        <f>32*0.5</f>
        <v>16</v>
      </c>
      <c r="F3" s="33"/>
      <c r="G3" s="33"/>
      <c r="H3" s="34" t="s">
        <v>8</v>
      </c>
      <c r="I3" s="34" t="s">
        <v>9</v>
      </c>
      <c r="J3" s="34" t="s">
        <v>10</v>
      </c>
      <c r="K3" s="34" t="s">
        <v>11</v>
      </c>
      <c r="L3" s="4"/>
      <c r="M3" s="6" t="s">
        <v>14</v>
      </c>
      <c r="N3" s="6" t="s">
        <v>15</v>
      </c>
      <c r="O3" s="6" t="s">
        <v>16</v>
      </c>
      <c r="P3" s="6" t="s">
        <v>17</v>
      </c>
      <c r="R3" s="6" t="s">
        <v>19</v>
      </c>
      <c r="S3" s="6" t="s">
        <v>20</v>
      </c>
      <c r="T3" s="6" t="s">
        <v>21</v>
      </c>
      <c r="U3" s="6" t="s">
        <v>22</v>
      </c>
      <c r="W3" s="34" t="s">
        <v>55</v>
      </c>
    </row>
    <row r="4" spans="1:23" ht="18" x14ac:dyDescent="0.35">
      <c r="A4" s="13" t="s">
        <v>5</v>
      </c>
      <c r="B4" s="13">
        <v>3.05</v>
      </c>
      <c r="C4" s="13">
        <v>0</v>
      </c>
      <c r="D4" s="13">
        <f>33.5*0.5</f>
        <v>16.75</v>
      </c>
      <c r="E4" s="13">
        <f>0.5*23</f>
        <v>11.5</v>
      </c>
      <c r="F4" s="33"/>
      <c r="G4" s="33"/>
      <c r="H4" s="13">
        <f>B6/D6*1000</f>
        <v>371.95121951219505</v>
      </c>
      <c r="I4" s="13">
        <f>B5/E5*1000</f>
        <v>310.29411764705878</v>
      </c>
      <c r="J4" s="13">
        <f>C6/D6*1000</f>
        <v>266.46341463414632</v>
      </c>
      <c r="K4" s="13">
        <f>C5/E5*1000</f>
        <v>448.5294117647058</v>
      </c>
      <c r="M4" s="7">
        <f>D4/B4/1000</f>
        <v>5.4918032786885245E-3</v>
      </c>
      <c r="N4" s="7">
        <f>D3/C3/1000</f>
        <v>3.7704918032786887E-3</v>
      </c>
      <c r="O4" s="7">
        <f>E4/B4/1000</f>
        <v>3.7704918032786887E-3</v>
      </c>
      <c r="P4" s="7">
        <f>E3/C3/1000</f>
        <v>5.2459016393442632E-3</v>
      </c>
      <c r="Q4" s="24"/>
      <c r="R4" s="7">
        <f>B6/C6</f>
        <v>1.3958810068649885</v>
      </c>
      <c r="S4" s="7">
        <f>B4/E4*1000</f>
        <v>265.21739130434781</v>
      </c>
      <c r="T4" s="7">
        <f>D6/C6/1000</f>
        <v>3.7528604118993139E-3</v>
      </c>
      <c r="U4" s="7">
        <f>D4/E4</f>
        <v>1.4565217391304348</v>
      </c>
      <c r="W4" s="13">
        <f>R4*U4-S4*T4</f>
        <v>1.037807183364839</v>
      </c>
    </row>
    <row r="5" spans="1:23" ht="18" x14ac:dyDescent="0.35">
      <c r="A5" s="13" t="s">
        <v>6</v>
      </c>
      <c r="B5" s="13">
        <f>2.11</f>
        <v>2.11</v>
      </c>
      <c r="C5" s="13">
        <v>3.05</v>
      </c>
      <c r="D5" s="13">
        <v>0</v>
      </c>
      <c r="E5" s="13">
        <f>0.1*68</f>
        <v>6.8000000000000007</v>
      </c>
      <c r="F5" s="33"/>
      <c r="G5" s="33"/>
      <c r="H5" s="33"/>
      <c r="I5" s="33"/>
      <c r="J5" s="33"/>
      <c r="K5" s="33"/>
      <c r="M5" s="24"/>
      <c r="N5" s="24"/>
      <c r="O5" s="24"/>
      <c r="P5" s="24"/>
      <c r="Q5" s="24"/>
      <c r="R5" s="24"/>
      <c r="S5" s="24"/>
      <c r="T5" s="24"/>
      <c r="U5" s="24"/>
      <c r="W5" s="33"/>
    </row>
    <row r="6" spans="1:23" ht="18" x14ac:dyDescent="0.35">
      <c r="A6" s="13" t="s">
        <v>7</v>
      </c>
      <c r="B6" s="13">
        <v>3.05</v>
      </c>
      <c r="C6" s="13">
        <f>2.185</f>
        <v>2.1850000000000001</v>
      </c>
      <c r="D6" s="13">
        <f>82*0.1</f>
        <v>8.2000000000000011</v>
      </c>
      <c r="E6" s="13">
        <v>0</v>
      </c>
      <c r="F6" s="35"/>
      <c r="G6" s="33"/>
      <c r="H6" s="33"/>
      <c r="I6" s="33"/>
      <c r="J6" s="33"/>
      <c r="K6" s="33"/>
      <c r="M6" s="24"/>
      <c r="N6" s="24"/>
      <c r="O6" s="24"/>
      <c r="P6" s="24"/>
      <c r="Q6" s="24"/>
      <c r="R6" s="24"/>
      <c r="S6" s="24"/>
      <c r="T6" s="24"/>
      <c r="U6" s="24"/>
      <c r="W6" s="33"/>
    </row>
    <row r="7" spans="1:23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M7" s="24"/>
      <c r="N7" s="24"/>
      <c r="O7" s="24"/>
      <c r="P7" s="24"/>
      <c r="Q7" s="24"/>
      <c r="R7" s="24"/>
      <c r="S7" s="24"/>
      <c r="T7" s="24"/>
      <c r="U7" s="24"/>
      <c r="W7" s="33"/>
    </row>
    <row r="8" spans="1:23" x14ac:dyDescent="0.25">
      <c r="A8" s="67" t="s">
        <v>28</v>
      </c>
      <c r="B8" s="68"/>
      <c r="C8" s="68"/>
      <c r="D8" s="68"/>
      <c r="E8" s="69"/>
      <c r="F8" s="33"/>
      <c r="G8" s="33"/>
      <c r="H8" s="46" t="s">
        <v>24</v>
      </c>
      <c r="I8" s="46"/>
      <c r="J8" s="46"/>
      <c r="K8" s="46"/>
      <c r="M8" s="47" t="s">
        <v>25</v>
      </c>
      <c r="N8" s="47"/>
      <c r="O8" s="47"/>
      <c r="P8" s="47"/>
      <c r="Q8" s="24"/>
      <c r="R8" s="43" t="s">
        <v>26</v>
      </c>
      <c r="S8" s="43"/>
      <c r="T8" s="43"/>
      <c r="U8" s="43"/>
      <c r="W8" s="33"/>
    </row>
    <row r="9" spans="1:23" ht="18" x14ac:dyDescent="0.35">
      <c r="A9" s="36"/>
      <c r="B9" s="37" t="s">
        <v>0</v>
      </c>
      <c r="C9" s="13" t="s">
        <v>1</v>
      </c>
      <c r="D9" s="13" t="s">
        <v>2</v>
      </c>
      <c r="E9" s="13" t="s">
        <v>3</v>
      </c>
      <c r="F9" s="33"/>
      <c r="G9" s="33"/>
      <c r="H9" s="59" t="str">
        <f>$A$8</f>
        <v>Cuadripolo "A" - Nro. De serie: 9603 (15 V - 50 mA) (Pi)</v>
      </c>
      <c r="I9" s="59"/>
      <c r="J9" s="59"/>
      <c r="K9" s="59"/>
      <c r="M9" s="44" t="str">
        <f>$A$8</f>
        <v>Cuadripolo "A" - Nro. De serie: 9603 (15 V - 50 mA) (Pi)</v>
      </c>
      <c r="N9" s="44"/>
      <c r="O9" s="44"/>
      <c r="P9" s="44"/>
      <c r="Q9" s="24"/>
      <c r="R9" s="44" t="str">
        <f>$A$8</f>
        <v>Cuadripolo "A" - Nro. De serie: 9603 (15 V - 50 mA) (Pi)</v>
      </c>
      <c r="S9" s="44"/>
      <c r="T9" s="44"/>
      <c r="U9" s="44"/>
      <c r="W9" s="33"/>
    </row>
    <row r="10" spans="1:23" ht="18" x14ac:dyDescent="0.35">
      <c r="A10" s="13" t="s">
        <v>4</v>
      </c>
      <c r="B10" s="13">
        <v>0</v>
      </c>
      <c r="C10" s="13">
        <v>3.05</v>
      </c>
      <c r="D10" s="13">
        <f>83*0.5</f>
        <v>41.5</v>
      </c>
      <c r="E10" s="13">
        <f>60*0.5</f>
        <v>30</v>
      </c>
      <c r="F10" s="33"/>
      <c r="G10" s="33"/>
      <c r="H10" s="34" t="s">
        <v>8</v>
      </c>
      <c r="I10" s="34" t="s">
        <v>9</v>
      </c>
      <c r="J10" s="34" t="s">
        <v>10</v>
      </c>
      <c r="K10" s="34" t="s">
        <v>11</v>
      </c>
      <c r="M10" s="39" t="s">
        <v>14</v>
      </c>
      <c r="N10" s="39" t="s">
        <v>15</v>
      </c>
      <c r="O10" s="39" t="s">
        <v>16</v>
      </c>
      <c r="P10" s="39" t="s">
        <v>17</v>
      </c>
      <c r="Q10" s="24"/>
      <c r="R10" s="6" t="s">
        <v>19</v>
      </c>
      <c r="S10" s="6" t="s">
        <v>20</v>
      </c>
      <c r="T10" s="6" t="s">
        <v>21</v>
      </c>
      <c r="U10" s="6" t="s">
        <v>22</v>
      </c>
      <c r="W10" s="34" t="s">
        <v>55</v>
      </c>
    </row>
    <row r="11" spans="1:23" ht="18" x14ac:dyDescent="0.35">
      <c r="A11" s="13" t="s">
        <v>5</v>
      </c>
      <c r="B11" s="13">
        <v>3.05</v>
      </c>
      <c r="C11" s="13">
        <v>0</v>
      </c>
      <c r="D11" s="13">
        <f>72*0.5</f>
        <v>36</v>
      </c>
      <c r="E11" s="13">
        <f>60.5*0.5</f>
        <v>30.25</v>
      </c>
      <c r="F11" s="33"/>
      <c r="G11" s="33"/>
      <c r="H11" s="13">
        <f>B13/D13*1000</f>
        <v>217.85714285714283</v>
      </c>
      <c r="I11" s="13">
        <f>B12/E12*1000</f>
        <v>157.35384615384615</v>
      </c>
      <c r="J11" s="13">
        <f>C13/D13*1000</f>
        <v>157.35714285714283</v>
      </c>
      <c r="K11" s="13">
        <f>C12/E12*1000</f>
        <v>187.69230769230768</v>
      </c>
      <c r="M11" s="7">
        <f>D11/B11/1000</f>
        <v>1.180327868852459E-2</v>
      </c>
      <c r="N11" s="7">
        <f>D10/C10/1000</f>
        <v>1.3606557377049182E-2</v>
      </c>
      <c r="O11" s="7">
        <f>E11/B11/1000</f>
        <v>9.9180327868852464E-3</v>
      </c>
      <c r="P11" s="7">
        <f>E10/C10/1000</f>
        <v>9.8360655737704927E-3</v>
      </c>
      <c r="Q11" s="24"/>
      <c r="R11" s="7">
        <f>D13/C13</f>
        <v>6.3549704947798462</v>
      </c>
      <c r="S11" s="7">
        <f>-B11/E11*1000</f>
        <v>-100.82644628099173</v>
      </c>
      <c r="T11" s="7">
        <f>D13/C13/1000</f>
        <v>6.3549704947798462E-3</v>
      </c>
      <c r="U11" s="7">
        <f>-D11/E11</f>
        <v>-1.1900826446280992</v>
      </c>
      <c r="W11" s="13">
        <f>R11*U11-S11*T11</f>
        <v>-6.9221910017519317</v>
      </c>
    </row>
    <row r="12" spans="1:23" ht="18" x14ac:dyDescent="0.35">
      <c r="A12" s="13" t="s">
        <v>6</v>
      </c>
      <c r="B12" s="13">
        <f>2.557</f>
        <v>2.5569999999999999</v>
      </c>
      <c r="C12" s="13">
        <f>3.05</f>
        <v>3.05</v>
      </c>
      <c r="D12" s="13">
        <v>0</v>
      </c>
      <c r="E12" s="13">
        <f>32.5*0.5</f>
        <v>16.25</v>
      </c>
      <c r="F12" s="33"/>
      <c r="G12" s="33"/>
      <c r="H12" s="33"/>
      <c r="I12" s="33"/>
      <c r="J12" s="33"/>
      <c r="K12" s="33"/>
    </row>
    <row r="13" spans="1:23" ht="18" x14ac:dyDescent="0.35">
      <c r="A13" s="13" t="s">
        <v>7</v>
      </c>
      <c r="B13" s="13">
        <v>3.05</v>
      </c>
      <c r="C13" s="13">
        <f>2.203</f>
        <v>2.2029999999999998</v>
      </c>
      <c r="D13" s="13">
        <f>28*0.5</f>
        <v>14</v>
      </c>
      <c r="E13" s="13">
        <v>0</v>
      </c>
      <c r="F13" s="33"/>
      <c r="G13" s="33"/>
      <c r="H13" s="33"/>
      <c r="I13" s="33"/>
      <c r="J13" s="33"/>
      <c r="K13" s="33"/>
    </row>
    <row r="14" spans="1:23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</row>
    <row r="15" spans="1:23" ht="18" x14ac:dyDescent="0.35">
      <c r="A15" s="55" t="s">
        <v>12</v>
      </c>
      <c r="B15" s="56"/>
      <c r="C15" s="56"/>
      <c r="D15" s="56"/>
      <c r="E15" s="57"/>
      <c r="F15" s="33"/>
      <c r="G15" s="33"/>
      <c r="H15" s="60" t="s">
        <v>24</v>
      </c>
      <c r="I15" s="61"/>
      <c r="J15" s="61"/>
      <c r="K15" s="62"/>
      <c r="N15" s="51" t="s">
        <v>54</v>
      </c>
      <c r="O15" s="51"/>
      <c r="P15" s="51"/>
    </row>
    <row r="16" spans="1:23" ht="18" x14ac:dyDescent="0.35">
      <c r="A16" s="36"/>
      <c r="B16" s="37" t="s">
        <v>0</v>
      </c>
      <c r="C16" s="13" t="s">
        <v>1</v>
      </c>
      <c r="D16" s="13" t="s">
        <v>2</v>
      </c>
      <c r="E16" s="13" t="s">
        <v>3</v>
      </c>
      <c r="F16" s="33"/>
      <c r="G16" s="33"/>
      <c r="H16" s="55" t="s">
        <v>12</v>
      </c>
      <c r="I16" s="56"/>
      <c r="J16" s="56"/>
      <c r="K16" s="57"/>
      <c r="N16" s="48" t="s">
        <v>29</v>
      </c>
      <c r="O16" s="49"/>
      <c r="P16" s="50"/>
    </row>
    <row r="17" spans="1:16" ht="18" x14ac:dyDescent="0.35">
      <c r="A17" s="13" t="s">
        <v>6</v>
      </c>
      <c r="B17" s="38">
        <f>2.158</f>
        <v>2.1579999999999999</v>
      </c>
      <c r="C17" s="13">
        <v>3.09</v>
      </c>
      <c r="D17" s="13">
        <v>0</v>
      </c>
      <c r="E17" s="13">
        <f>51*0.1</f>
        <v>5.1000000000000005</v>
      </c>
      <c r="F17" s="33"/>
      <c r="G17" s="33"/>
      <c r="H17" s="34" t="s">
        <v>8</v>
      </c>
      <c r="I17" s="34" t="s">
        <v>9</v>
      </c>
      <c r="J17" s="34" t="s">
        <v>10</v>
      </c>
      <c r="K17" s="34" t="s">
        <v>11</v>
      </c>
      <c r="N17" s="48" t="s">
        <v>31</v>
      </c>
      <c r="O17" s="49"/>
      <c r="P17" s="50"/>
    </row>
    <row r="18" spans="1:16" ht="18" x14ac:dyDescent="0.35">
      <c r="A18" s="13" t="s">
        <v>7</v>
      </c>
      <c r="B18" s="13">
        <v>3.09</v>
      </c>
      <c r="C18" s="13">
        <f>2.351</f>
        <v>2.351</v>
      </c>
      <c r="D18" s="13">
        <f>55*0.1</f>
        <v>5.5</v>
      </c>
      <c r="E18" s="13">
        <v>0</v>
      </c>
      <c r="F18" s="33"/>
      <c r="G18" s="33"/>
      <c r="H18" s="13">
        <f>B18/D18*1000</f>
        <v>561.81818181818176</v>
      </c>
      <c r="I18" s="13">
        <f>B18/E17*1000</f>
        <v>605.88235294117646</v>
      </c>
      <c r="J18" s="13">
        <f>C18/D18*1000</f>
        <v>427.4545454545455</v>
      </c>
      <c r="K18" s="13">
        <f>C18/E17*1000</f>
        <v>460.98039215686271</v>
      </c>
    </row>
    <row r="19" spans="1:16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</row>
    <row r="20" spans="1:16" x14ac:dyDescent="0.25">
      <c r="A20" s="55" t="s">
        <v>13</v>
      </c>
      <c r="B20" s="56"/>
      <c r="C20" s="56"/>
      <c r="D20" s="56"/>
      <c r="E20" s="57"/>
      <c r="F20" s="33"/>
      <c r="G20" s="33"/>
      <c r="H20" s="63" t="s">
        <v>25</v>
      </c>
      <c r="I20" s="63"/>
      <c r="J20" s="63"/>
      <c r="K20" s="63"/>
      <c r="N20" s="48" t="s">
        <v>30</v>
      </c>
      <c r="O20" s="49"/>
      <c r="P20" s="50"/>
    </row>
    <row r="21" spans="1:16" ht="18" x14ac:dyDescent="0.35">
      <c r="A21" s="36"/>
      <c r="B21" s="37" t="s">
        <v>0</v>
      </c>
      <c r="C21" s="13" t="s">
        <v>1</v>
      </c>
      <c r="D21" s="13" t="s">
        <v>2</v>
      </c>
      <c r="E21" s="13" t="s">
        <v>3</v>
      </c>
      <c r="F21" s="33"/>
      <c r="G21" s="33"/>
      <c r="H21" s="59" t="s">
        <v>13</v>
      </c>
      <c r="I21" s="59"/>
      <c r="J21" s="59"/>
      <c r="K21" s="59"/>
    </row>
    <row r="22" spans="1:16" ht="18" x14ac:dyDescent="0.35">
      <c r="A22" s="13" t="s">
        <v>4</v>
      </c>
      <c r="B22" s="13">
        <v>0</v>
      </c>
      <c r="C22" s="13">
        <v>3.09</v>
      </c>
      <c r="D22" s="13">
        <f>0.5*83</f>
        <v>41.5</v>
      </c>
      <c r="E22" s="13">
        <f>0.25*23</f>
        <v>5.75</v>
      </c>
      <c r="F22" s="33"/>
      <c r="G22" s="33"/>
      <c r="H22" s="34" t="s">
        <v>14</v>
      </c>
      <c r="I22" s="34" t="s">
        <v>15</v>
      </c>
      <c r="J22" s="34" t="s">
        <v>16</v>
      </c>
      <c r="K22" s="34" t="s">
        <v>17</v>
      </c>
    </row>
    <row r="23" spans="1:16" ht="18" x14ac:dyDescent="0.35">
      <c r="A23" s="13" t="s">
        <v>5</v>
      </c>
      <c r="B23" s="13">
        <v>3.09</v>
      </c>
      <c r="C23" s="13">
        <v>0</v>
      </c>
      <c r="D23" s="13">
        <f>0.5*45</f>
        <v>22.5</v>
      </c>
      <c r="E23" s="13">
        <f>83*0.5</f>
        <v>41.5</v>
      </c>
      <c r="F23" s="33"/>
      <c r="G23" s="33"/>
      <c r="H23" s="13">
        <f>D23/1000/B23</f>
        <v>7.2815533980582527E-3</v>
      </c>
      <c r="I23" s="13">
        <f>D22/1000/C22</f>
        <v>1.3430420711974112E-2</v>
      </c>
      <c r="J23" s="13">
        <f>E23/1000/B23</f>
        <v>1.3430420711974112E-2</v>
      </c>
      <c r="K23" s="13">
        <f>E22/1000/C22</f>
        <v>1.8608414239482201E-3</v>
      </c>
    </row>
    <row r="24" spans="1:16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6" x14ac:dyDescent="0.25">
      <c r="A25" s="55" t="s">
        <v>18</v>
      </c>
      <c r="B25" s="56"/>
      <c r="C25" s="56"/>
      <c r="D25" s="56"/>
      <c r="E25" s="57"/>
      <c r="F25" s="33"/>
      <c r="G25" s="33"/>
      <c r="H25" s="40" t="s">
        <v>26</v>
      </c>
      <c r="I25" s="40"/>
      <c r="J25" s="40"/>
      <c r="K25" s="40"/>
    </row>
    <row r="26" spans="1:16" ht="18" x14ac:dyDescent="0.35">
      <c r="A26" s="36"/>
      <c r="B26" s="37" t="s">
        <v>0</v>
      </c>
      <c r="C26" s="13" t="s">
        <v>1</v>
      </c>
      <c r="D26" s="13" t="s">
        <v>2</v>
      </c>
      <c r="E26" s="13" t="s">
        <v>3</v>
      </c>
      <c r="F26" s="33"/>
      <c r="G26" s="33"/>
      <c r="H26" s="59" t="s">
        <v>18</v>
      </c>
      <c r="I26" s="59"/>
      <c r="J26" s="59"/>
      <c r="K26" s="59"/>
      <c r="M26" s="10"/>
    </row>
    <row r="27" spans="1:16" ht="18" x14ac:dyDescent="0.35">
      <c r="A27" s="13" t="s">
        <v>5</v>
      </c>
      <c r="B27" s="13">
        <v>3.09</v>
      </c>
      <c r="C27" s="13">
        <v>0</v>
      </c>
      <c r="D27" s="13">
        <f>0.5*41</f>
        <v>20.5</v>
      </c>
      <c r="E27" s="13">
        <f>0.1*60</f>
        <v>6</v>
      </c>
      <c r="F27" s="33"/>
      <c r="G27" s="33"/>
      <c r="H27" s="34" t="s">
        <v>19</v>
      </c>
      <c r="I27" s="34" t="s">
        <v>20</v>
      </c>
      <c r="J27" s="34" t="s">
        <v>21</v>
      </c>
      <c r="K27" s="34" t="s">
        <v>22</v>
      </c>
      <c r="M27" s="34" t="s">
        <v>55</v>
      </c>
    </row>
    <row r="28" spans="1:16" ht="18" x14ac:dyDescent="0.35">
      <c r="A28" s="13" t="s">
        <v>7</v>
      </c>
      <c r="B28" s="13">
        <v>3.09</v>
      </c>
      <c r="C28" s="13">
        <v>1.35</v>
      </c>
      <c r="D28" s="13">
        <f>35.5*0.5</f>
        <v>17.75</v>
      </c>
      <c r="E28" s="13">
        <v>0</v>
      </c>
      <c r="F28" s="33"/>
      <c r="G28" s="33"/>
      <c r="H28" s="13">
        <f>B28/C28</f>
        <v>2.2888888888888888</v>
      </c>
      <c r="I28" s="13">
        <f>-B27/E27*1000</f>
        <v>-515</v>
      </c>
      <c r="J28" s="13">
        <f>D28/C28/1000</f>
        <v>1.3148148148148147E-2</v>
      </c>
      <c r="K28" s="13">
        <f>-D27/E27</f>
        <v>-3.4166666666666665</v>
      </c>
      <c r="M28" s="13">
        <f>H28*K28-I28*J28</f>
        <v>-1.049074074074074</v>
      </c>
    </row>
    <row r="29" spans="1:16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M29" s="12"/>
    </row>
    <row r="30" spans="1:16" x14ac:dyDescent="0.25">
      <c r="A30" s="55" t="s">
        <v>23</v>
      </c>
      <c r="B30" s="56"/>
      <c r="C30" s="56"/>
      <c r="D30" s="56"/>
      <c r="E30" s="57"/>
      <c r="F30" s="33"/>
      <c r="G30" s="33"/>
      <c r="H30" s="40" t="s">
        <v>26</v>
      </c>
      <c r="I30" s="40"/>
      <c r="J30" s="40"/>
      <c r="K30" s="40"/>
      <c r="M30" s="12"/>
    </row>
    <row r="31" spans="1:16" ht="18" x14ac:dyDescent="0.35">
      <c r="A31" s="36"/>
      <c r="B31" s="37" t="s">
        <v>0</v>
      </c>
      <c r="C31" s="13" t="s">
        <v>1</v>
      </c>
      <c r="D31" s="13" t="s">
        <v>2</v>
      </c>
      <c r="E31" s="13" t="s">
        <v>3</v>
      </c>
      <c r="F31" s="33"/>
      <c r="G31" s="33"/>
      <c r="H31" s="59" t="s">
        <v>23</v>
      </c>
      <c r="I31" s="59"/>
      <c r="J31" s="59"/>
      <c r="K31" s="59"/>
      <c r="M31" s="12"/>
    </row>
    <row r="32" spans="1:16" ht="18" x14ac:dyDescent="0.35">
      <c r="A32" s="13" t="s">
        <v>5</v>
      </c>
      <c r="B32" s="13">
        <v>3.09</v>
      </c>
      <c r="C32" s="13">
        <v>0</v>
      </c>
      <c r="D32" s="13">
        <f>29*0.5</f>
        <v>14.5</v>
      </c>
      <c r="E32" s="13">
        <f>0.1*66</f>
        <v>6.6000000000000005</v>
      </c>
      <c r="F32" s="33"/>
      <c r="G32" s="33"/>
      <c r="H32" s="34" t="s">
        <v>19</v>
      </c>
      <c r="I32" s="34" t="s">
        <v>20</v>
      </c>
      <c r="J32" s="34" t="s">
        <v>21</v>
      </c>
      <c r="K32" s="34" t="s">
        <v>22</v>
      </c>
      <c r="M32" s="34" t="s">
        <v>55</v>
      </c>
    </row>
    <row r="33" spans="1:15" ht="18" x14ac:dyDescent="0.35">
      <c r="A33" s="13" t="s">
        <v>7</v>
      </c>
      <c r="B33" s="13">
        <v>3.09</v>
      </c>
      <c r="C33" s="13">
        <v>0.86899999999999999</v>
      </c>
      <c r="D33" s="13">
        <f>25*0.5</f>
        <v>12.5</v>
      </c>
      <c r="E33" s="13">
        <v>0</v>
      </c>
      <c r="F33" s="33"/>
      <c r="G33" s="33"/>
      <c r="H33" s="13">
        <f>B33/C33</f>
        <v>3.5558112773302644</v>
      </c>
      <c r="I33" s="13">
        <f>-B32/E32*1000</f>
        <v>-468.18181818181813</v>
      </c>
      <c r="J33" s="13">
        <f>E32/B33/1000</f>
        <v>2.1359223300970879E-3</v>
      </c>
      <c r="K33" s="13">
        <f>-D32/E32</f>
        <v>-2.1969696969696968</v>
      </c>
      <c r="M33" s="13">
        <f>H33*K33-I33*J33</f>
        <v>-6.8120096244377013</v>
      </c>
    </row>
    <row r="35" spans="1:15" x14ac:dyDescent="0.25">
      <c r="A35" s="52" t="s">
        <v>37</v>
      </c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4"/>
    </row>
    <row r="37" spans="1:15" ht="18" x14ac:dyDescent="0.35">
      <c r="A37" s="19" t="s">
        <v>47</v>
      </c>
      <c r="B37" s="18">
        <f>M4</f>
        <v>5.4918032786885245E-3</v>
      </c>
      <c r="C37" s="14">
        <f>N4</f>
        <v>3.7704918032786887E-3</v>
      </c>
      <c r="D37" s="22"/>
      <c r="E37" s="23" t="s">
        <v>46</v>
      </c>
      <c r="F37" s="18">
        <f>M11</f>
        <v>1.180327868852459E-2</v>
      </c>
      <c r="G37" s="14">
        <f>N11</f>
        <v>1.3606557377049182E-2</v>
      </c>
      <c r="H37" s="24"/>
      <c r="I37" s="24"/>
      <c r="J37" s="24"/>
      <c r="K37" s="24"/>
      <c r="L37" s="24"/>
      <c r="M37" s="24"/>
      <c r="N37" s="24"/>
      <c r="O37" s="24"/>
    </row>
    <row r="38" spans="1:15" x14ac:dyDescent="0.25">
      <c r="A38" s="20" t="s">
        <v>39</v>
      </c>
      <c r="B38" s="18">
        <f>O4</f>
        <v>3.7704918032786887E-3</v>
      </c>
      <c r="C38" s="14">
        <f>P4</f>
        <v>5.2459016393442632E-3</v>
      </c>
      <c r="D38" s="25"/>
      <c r="E38" s="26" t="s">
        <v>39</v>
      </c>
      <c r="F38" s="18">
        <f>O11</f>
        <v>9.9180327868852464E-3</v>
      </c>
      <c r="G38" s="14">
        <f>P11</f>
        <v>9.8360655737704927E-3</v>
      </c>
      <c r="H38" s="24"/>
      <c r="I38" s="24"/>
      <c r="J38" s="24"/>
      <c r="K38" s="24"/>
      <c r="L38" s="24"/>
      <c r="M38" s="24"/>
      <c r="N38" s="24"/>
      <c r="O38" s="24"/>
    </row>
    <row r="39" spans="1:15" x14ac:dyDescent="0.25">
      <c r="A39" s="15"/>
      <c r="B39" s="27"/>
      <c r="C39" s="27"/>
      <c r="D39" s="22"/>
      <c r="E39" s="28"/>
      <c r="F39" s="24"/>
      <c r="G39" s="24"/>
      <c r="H39" s="24"/>
      <c r="I39" s="28"/>
      <c r="J39" s="24"/>
      <c r="K39" s="24"/>
      <c r="L39" s="24"/>
      <c r="M39" s="28"/>
      <c r="N39" s="24"/>
      <c r="O39" s="24"/>
    </row>
    <row r="40" spans="1:15" ht="18" x14ac:dyDescent="0.35">
      <c r="A40" s="19" t="s">
        <v>40</v>
      </c>
      <c r="B40" s="18">
        <f>H4</f>
        <v>371.95121951219505</v>
      </c>
      <c r="C40" s="14">
        <f>I4</f>
        <v>310.29411764705878</v>
      </c>
      <c r="D40" s="22"/>
      <c r="E40" s="29" t="s">
        <v>40</v>
      </c>
      <c r="F40" s="21">
        <f t="array" ref="F40:G41">MINVERSE(B37:C38)</f>
        <v>359.48434622467772</v>
      </c>
      <c r="G40" s="17">
        <v>-258.37937384898709</v>
      </c>
      <c r="H40" s="24"/>
      <c r="I40" s="23" t="s">
        <v>49</v>
      </c>
      <c r="J40" s="18">
        <f>R4</f>
        <v>1.3958810068649885</v>
      </c>
      <c r="K40" s="14">
        <f>S4</f>
        <v>265.21739130434781</v>
      </c>
      <c r="L40" s="24"/>
      <c r="M40" s="29" t="s">
        <v>49</v>
      </c>
      <c r="N40" s="21">
        <f>B40/B41</f>
        <v>1.3958810068649885</v>
      </c>
      <c r="O40" s="17">
        <f>MDETERM(B40:C41)/B41</f>
        <v>315.79956925561976</v>
      </c>
    </row>
    <row r="41" spans="1:15" ht="18" x14ac:dyDescent="0.35">
      <c r="A41" s="20" t="s">
        <v>39</v>
      </c>
      <c r="B41" s="18">
        <f>J4</f>
        <v>266.46341463414632</v>
      </c>
      <c r="C41" s="14">
        <f>K4</f>
        <v>448.5294117647058</v>
      </c>
      <c r="D41" s="25"/>
      <c r="E41" s="30" t="s">
        <v>50</v>
      </c>
      <c r="F41" s="21">
        <v>-258.37937384898709</v>
      </c>
      <c r="G41" s="17">
        <v>376.33517495395944</v>
      </c>
      <c r="H41" s="24"/>
      <c r="I41" s="26" t="s">
        <v>39</v>
      </c>
      <c r="J41" s="18">
        <f>T4</f>
        <v>3.7528604118993139E-3</v>
      </c>
      <c r="K41" s="14">
        <f>U4</f>
        <v>1.4565217391304348</v>
      </c>
      <c r="L41" s="24"/>
      <c r="M41" s="30" t="s">
        <v>52</v>
      </c>
      <c r="N41" s="21">
        <f>1/B41</f>
        <v>3.7528604118993139E-3</v>
      </c>
      <c r="O41" s="17">
        <f>C41/B41</f>
        <v>1.6832682729842507</v>
      </c>
    </row>
    <row r="42" spans="1:15" x14ac:dyDescent="0.25">
      <c r="A42" s="15"/>
      <c r="B42" s="27"/>
      <c r="C42" s="27"/>
      <c r="D42" s="22"/>
      <c r="E42" s="28"/>
      <c r="F42" s="24"/>
      <c r="G42" s="24"/>
      <c r="H42" s="24"/>
      <c r="I42" s="22"/>
      <c r="J42" s="27"/>
      <c r="K42" s="27"/>
      <c r="L42" s="24"/>
      <c r="M42" s="28"/>
      <c r="N42" s="24"/>
      <c r="O42" s="24"/>
    </row>
    <row r="43" spans="1:15" ht="18" x14ac:dyDescent="0.35">
      <c r="A43" s="19" t="s">
        <v>38</v>
      </c>
      <c r="B43" s="18">
        <f>H11</f>
        <v>217.85714285714283</v>
      </c>
      <c r="C43" s="14">
        <f>I11</f>
        <v>157.35384615384615</v>
      </c>
      <c r="D43" s="22"/>
      <c r="E43" s="29" t="s">
        <v>38</v>
      </c>
      <c r="F43" s="21">
        <f t="array" ref="F43:G44">MINVERSE(F37:G38)</f>
        <v>-521.73913043478262</v>
      </c>
      <c r="G43" s="17">
        <v>721.73913043478262</v>
      </c>
      <c r="H43" s="24"/>
      <c r="I43" s="23" t="s">
        <v>48</v>
      </c>
      <c r="J43" s="18">
        <f>R11</f>
        <v>6.3549704947798462</v>
      </c>
      <c r="K43" s="14">
        <f>S11</f>
        <v>-100.82644628099173</v>
      </c>
      <c r="L43" s="24"/>
      <c r="M43" s="29" t="s">
        <v>48</v>
      </c>
      <c r="N43" s="21">
        <f>B43/B44</f>
        <v>1.3844757149341806</v>
      </c>
      <c r="O43" s="17">
        <f>MDETERM(B43:C44)/B44</f>
        <v>102.50159572610777</v>
      </c>
    </row>
    <row r="44" spans="1:15" ht="18" x14ac:dyDescent="0.35">
      <c r="A44" s="20" t="s">
        <v>39</v>
      </c>
      <c r="B44" s="18">
        <f>J11</f>
        <v>157.35714285714283</v>
      </c>
      <c r="C44" s="14">
        <f>K11</f>
        <v>187.69230769230768</v>
      </c>
      <c r="D44" s="22"/>
      <c r="E44" s="30" t="s">
        <v>51</v>
      </c>
      <c r="F44" s="21">
        <v>526.08695652173913</v>
      </c>
      <c r="G44" s="17">
        <v>-626.08695652173913</v>
      </c>
      <c r="H44" s="24"/>
      <c r="I44" s="26" t="s">
        <v>39</v>
      </c>
      <c r="J44" s="18">
        <f>T11</f>
        <v>6.3549704947798462E-3</v>
      </c>
      <c r="K44" s="14">
        <f>U11</f>
        <v>-1.1900826446280992</v>
      </c>
      <c r="L44" s="24"/>
      <c r="M44" s="30" t="s">
        <v>53</v>
      </c>
      <c r="N44" s="21">
        <f>1/B44</f>
        <v>6.354970494779847E-3</v>
      </c>
      <c r="O44" s="17">
        <f>C44/B44</f>
        <v>1.1927790774817557</v>
      </c>
    </row>
    <row r="45" spans="1:15" x14ac:dyDescent="0.25">
      <c r="A45" s="4"/>
      <c r="B45" s="24"/>
      <c r="C45" s="24"/>
      <c r="D45" s="24"/>
      <c r="E45" s="28"/>
      <c r="F45" s="24"/>
      <c r="G45" s="24"/>
      <c r="H45" s="24"/>
      <c r="I45" s="28"/>
      <c r="J45" s="24"/>
      <c r="K45" s="24"/>
      <c r="L45" s="24"/>
      <c r="M45" s="28"/>
      <c r="N45" s="24"/>
      <c r="O45" s="24"/>
    </row>
    <row r="46" spans="1:15" ht="18" x14ac:dyDescent="0.35">
      <c r="A46" s="19" t="s">
        <v>41</v>
      </c>
      <c r="B46" s="18">
        <f>H18</f>
        <v>561.81818181818176</v>
      </c>
      <c r="C46" s="14">
        <f>I18</f>
        <v>605.88235294117646</v>
      </c>
      <c r="D46" s="24"/>
      <c r="E46" s="29" t="s">
        <v>41</v>
      </c>
      <c r="F46" s="21">
        <f>B40+B43</f>
        <v>589.80836236933783</v>
      </c>
      <c r="G46" s="17">
        <f>C40+C43</f>
        <v>467.6479638009049</v>
      </c>
      <c r="H46" s="24"/>
      <c r="I46" s="23" t="s">
        <v>44</v>
      </c>
      <c r="J46" s="18">
        <f>H28</f>
        <v>2.2888888888888888</v>
      </c>
      <c r="K46" s="14">
        <f>I28</f>
        <v>-515</v>
      </c>
      <c r="L46" s="24"/>
      <c r="M46" s="29" t="s">
        <v>44</v>
      </c>
      <c r="N46" s="21">
        <f t="array" ref="N46:O47">MMULT(N43:O44,N40:O41)</f>
        <v>2.3172375356994666</v>
      </c>
      <c r="O46" s="17">
        <v>609.75451843709573</v>
      </c>
    </row>
    <row r="47" spans="1:15" x14ac:dyDescent="0.25">
      <c r="A47" s="20" t="s">
        <v>39</v>
      </c>
      <c r="B47" s="18">
        <f>J11</f>
        <v>157.35714285714283</v>
      </c>
      <c r="C47" s="14">
        <f>K11</f>
        <v>187.69230769230768</v>
      </c>
      <c r="D47" s="24"/>
      <c r="E47" s="31" t="s">
        <v>43</v>
      </c>
      <c r="F47" s="21">
        <f>B41+B44</f>
        <v>423.82055749128915</v>
      </c>
      <c r="G47" s="17">
        <f>C41+C44</f>
        <v>636.22171945701348</v>
      </c>
      <c r="H47" s="24"/>
      <c r="I47" s="26" t="s">
        <v>39</v>
      </c>
      <c r="J47" s="18">
        <f>J28</f>
        <v>1.3148148148148147E-2</v>
      </c>
      <c r="K47" s="14">
        <f>K28</f>
        <v>-3.4166666666666665</v>
      </c>
      <c r="L47" s="24"/>
      <c r="M47" s="31" t="s">
        <v>43</v>
      </c>
      <c r="N47" s="21">
        <v>1.3347115992873653E-2</v>
      </c>
      <c r="O47" s="17">
        <v>4.014664122688111</v>
      </c>
    </row>
    <row r="48" spans="1:15" x14ac:dyDescent="0.25">
      <c r="A48" s="15"/>
      <c r="B48" s="32"/>
      <c r="C48" s="32"/>
      <c r="D48" s="24"/>
      <c r="E48" s="28"/>
      <c r="F48" s="24"/>
      <c r="G48" s="24"/>
      <c r="H48" s="24"/>
      <c r="I48" s="22"/>
      <c r="J48" s="32"/>
      <c r="K48" s="32"/>
      <c r="L48" s="24"/>
      <c r="M48" s="28"/>
      <c r="N48" s="24"/>
      <c r="O48" s="24"/>
    </row>
    <row r="49" spans="1:15" ht="18" x14ac:dyDescent="0.35">
      <c r="A49" s="19" t="s">
        <v>42</v>
      </c>
      <c r="B49" s="18">
        <f>H23</f>
        <v>7.2815533980582527E-3</v>
      </c>
      <c r="C49" s="14">
        <f>I23</f>
        <v>1.3430420711974112E-2</v>
      </c>
      <c r="D49" s="24"/>
      <c r="E49" s="29" t="s">
        <v>42</v>
      </c>
      <c r="F49" s="21">
        <f>B37+F37</f>
        <v>1.7295081967213115E-2</v>
      </c>
      <c r="G49" s="17">
        <f>C37+G37</f>
        <v>1.7377049180327869E-2</v>
      </c>
      <c r="H49" s="24"/>
      <c r="I49" s="23" t="s">
        <v>45</v>
      </c>
      <c r="J49" s="18">
        <f>H33</f>
        <v>3.5558112773302644</v>
      </c>
      <c r="K49" s="14">
        <f>I33</f>
        <v>-468.18181818181813</v>
      </c>
      <c r="L49" s="24"/>
      <c r="M49" s="29" t="s">
        <v>45</v>
      </c>
      <c r="N49" s="21">
        <f t="array" ref="N49:O50">MMULT(N40:O41,N43:O44)</f>
        <v>3.9394602998260972</v>
      </c>
      <c r="O49" s="17">
        <v>519.75914953328129</v>
      </c>
    </row>
    <row r="50" spans="1:15" x14ac:dyDescent="0.25">
      <c r="A50" s="20" t="s">
        <v>39</v>
      </c>
      <c r="B50" s="18">
        <f>J23</f>
        <v>1.3430420711974112E-2</v>
      </c>
      <c r="C50" s="14">
        <f>K23</f>
        <v>1.8608414239482201E-3</v>
      </c>
      <c r="D50" s="24"/>
      <c r="E50" s="31" t="s">
        <v>43</v>
      </c>
      <c r="F50" s="21">
        <f>B38+F38</f>
        <v>1.3688524590163936E-2</v>
      </c>
      <c r="G50" s="17">
        <f>C38+G38</f>
        <v>1.5081967213114757E-2</v>
      </c>
      <c r="H50" s="24"/>
      <c r="I50" s="26" t="s">
        <v>39</v>
      </c>
      <c r="J50" s="18">
        <f>J33</f>
        <v>2.1359223300970879E-3</v>
      </c>
      <c r="K50" s="14">
        <f>K33</f>
        <v>-2.1969696969696968</v>
      </c>
      <c r="L50" s="24"/>
      <c r="M50" s="31" t="s">
        <v>43</v>
      </c>
      <c r="N50" s="21">
        <v>1.5892864311426426E-2</v>
      </c>
      <c r="O50" s="17">
        <v>2.3924413585614803</v>
      </c>
    </row>
    <row r="51" spans="1:15" x14ac:dyDescent="0.25">
      <c r="A51" s="16"/>
      <c r="B51" s="32"/>
      <c r="C51" s="32"/>
      <c r="D51" s="24"/>
      <c r="E51" s="24"/>
      <c r="F51" s="24"/>
      <c r="G51" s="24"/>
      <c r="H51" s="24"/>
      <c r="I51" s="24"/>
      <c r="J51" s="24"/>
      <c r="K51" s="24"/>
      <c r="L51" s="24"/>
      <c r="M51" s="28"/>
      <c r="N51" s="24"/>
      <c r="O51" s="24"/>
    </row>
  </sheetData>
  <sortState xmlns:xlrd2="http://schemas.microsoft.com/office/spreadsheetml/2017/richdata2" ref="M17:P24">
    <sortCondition ref="O17:O24"/>
  </sortState>
  <mergeCells count="31">
    <mergeCell ref="A35:O35"/>
    <mergeCell ref="H16:K16"/>
    <mergeCell ref="H1:K1"/>
    <mergeCell ref="A20:E20"/>
    <mergeCell ref="H21:K21"/>
    <mergeCell ref="H15:K15"/>
    <mergeCell ref="H20:K20"/>
    <mergeCell ref="A1:E1"/>
    <mergeCell ref="A8:E8"/>
    <mergeCell ref="H2:K2"/>
    <mergeCell ref="H9:K9"/>
    <mergeCell ref="A15:E15"/>
    <mergeCell ref="A25:E25"/>
    <mergeCell ref="H26:K26"/>
    <mergeCell ref="A30:E30"/>
    <mergeCell ref="H31:K31"/>
    <mergeCell ref="H25:K25"/>
    <mergeCell ref="H30:K30"/>
    <mergeCell ref="R1:U1"/>
    <mergeCell ref="R2:U2"/>
    <mergeCell ref="R8:U8"/>
    <mergeCell ref="R9:U9"/>
    <mergeCell ref="M1:P1"/>
    <mergeCell ref="M2:P2"/>
    <mergeCell ref="H8:K8"/>
    <mergeCell ref="M8:P8"/>
    <mergeCell ref="M9:P9"/>
    <mergeCell ref="N16:P16"/>
    <mergeCell ref="N20:P20"/>
    <mergeCell ref="N17:P17"/>
    <mergeCell ref="N15:P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DE4E-8D07-412A-8ADE-7579EC4BF84A}">
  <dimension ref="A1:L8"/>
  <sheetViews>
    <sheetView workbookViewId="0">
      <selection activeCell="K11" sqref="K11"/>
    </sheetView>
  </sheetViews>
  <sheetFormatPr baseColWidth="10" defaultRowHeight="15" x14ac:dyDescent="0.25"/>
  <sheetData>
    <row r="1" spans="1:12" x14ac:dyDescent="0.25">
      <c r="A1" s="64" t="s">
        <v>27</v>
      </c>
      <c r="B1" s="65"/>
      <c r="C1" s="65"/>
      <c r="D1" s="65"/>
      <c r="E1" s="66"/>
      <c r="G1" s="70" t="s">
        <v>28</v>
      </c>
      <c r="H1" s="71"/>
      <c r="I1" s="71"/>
      <c r="J1" s="71"/>
      <c r="K1" s="71"/>
      <c r="L1" s="71"/>
    </row>
    <row r="2" spans="1:12" ht="18" x14ac:dyDescent="0.35">
      <c r="A2" s="2" t="s">
        <v>32</v>
      </c>
      <c r="B2" s="2" t="s">
        <v>0</v>
      </c>
      <c r="C2" s="8" t="s">
        <v>1</v>
      </c>
      <c r="D2" s="8" t="s">
        <v>3</v>
      </c>
      <c r="E2" s="2" t="s">
        <v>33</v>
      </c>
      <c r="G2" s="2" t="s">
        <v>32</v>
      </c>
      <c r="H2" s="2" t="s">
        <v>0</v>
      </c>
      <c r="I2" s="8" t="s">
        <v>1</v>
      </c>
      <c r="J2" s="8" t="s">
        <v>2</v>
      </c>
      <c r="K2" s="2" t="s">
        <v>33</v>
      </c>
      <c r="L2" s="2" t="s">
        <v>36</v>
      </c>
    </row>
    <row r="3" spans="1:12" x14ac:dyDescent="0.25">
      <c r="A3" s="2">
        <v>191.4</v>
      </c>
      <c r="B3" s="8">
        <v>3.09</v>
      </c>
      <c r="C3" s="9" t="s">
        <v>35</v>
      </c>
      <c r="D3" s="8" t="s">
        <v>35</v>
      </c>
      <c r="E3" s="8" t="s">
        <v>35</v>
      </c>
      <c r="G3" s="2">
        <v>80.2</v>
      </c>
      <c r="H3" s="8">
        <v>3.09</v>
      </c>
      <c r="I3" s="8">
        <v>0.82899999999999996</v>
      </c>
      <c r="J3" s="8">
        <f>38.5*0.5</f>
        <v>19.25</v>
      </c>
      <c r="K3" s="8" t="s">
        <v>34</v>
      </c>
      <c r="L3" s="13">
        <f>I3*J3</f>
        <v>15.95825</v>
      </c>
    </row>
    <row r="4" spans="1:12" x14ac:dyDescent="0.25">
      <c r="A4" s="12"/>
      <c r="B4" s="12"/>
      <c r="C4" s="12"/>
      <c r="D4" s="12"/>
      <c r="E4" s="10"/>
      <c r="I4" s="8">
        <v>1.01</v>
      </c>
      <c r="J4" s="8">
        <f>33.5*0.5</f>
        <v>16.75</v>
      </c>
      <c r="K4" s="8">
        <v>61.6</v>
      </c>
      <c r="L4" s="13">
        <f t="shared" ref="L4:L8" si="0">I4*J4</f>
        <v>16.9175</v>
      </c>
    </row>
    <row r="5" spans="1:12" x14ac:dyDescent="0.25">
      <c r="C5" s="10"/>
      <c r="D5" s="10"/>
      <c r="E5" s="12"/>
      <c r="I5" s="8">
        <v>1.117</v>
      </c>
      <c r="J5" s="8">
        <f>31*0.5</f>
        <v>15.5</v>
      </c>
      <c r="K5" s="8">
        <v>73</v>
      </c>
      <c r="L5" s="13">
        <f t="shared" si="0"/>
        <v>17.313500000000001</v>
      </c>
    </row>
    <row r="6" spans="1:12" x14ac:dyDescent="0.25">
      <c r="C6" s="10"/>
      <c r="D6" s="10"/>
      <c r="E6" s="10"/>
      <c r="I6" s="11">
        <v>1.18</v>
      </c>
      <c r="J6" s="11">
        <f>28.5*0.5</f>
        <v>14.25</v>
      </c>
      <c r="K6" s="11">
        <v>80</v>
      </c>
      <c r="L6" s="13">
        <f t="shared" si="0"/>
        <v>16.814999999999998</v>
      </c>
    </row>
    <row r="7" spans="1:12" x14ac:dyDescent="0.25">
      <c r="C7" s="10"/>
      <c r="D7" s="10"/>
      <c r="E7" s="10"/>
      <c r="I7" s="8">
        <v>1.21</v>
      </c>
      <c r="J7" s="8">
        <f>28*0.5</f>
        <v>14</v>
      </c>
      <c r="K7" s="8">
        <v>88</v>
      </c>
      <c r="L7" s="13">
        <f t="shared" si="0"/>
        <v>16.939999999999998</v>
      </c>
    </row>
    <row r="8" spans="1:12" x14ac:dyDescent="0.25">
      <c r="C8" s="10"/>
      <c r="D8" s="10"/>
      <c r="E8" s="10"/>
      <c r="I8" s="8">
        <v>1.34</v>
      </c>
      <c r="J8" s="8">
        <f>24.5*0.5</f>
        <v>12.25</v>
      </c>
      <c r="K8" s="8">
        <v>120</v>
      </c>
      <c r="L8" s="13">
        <f t="shared" si="0"/>
        <v>16.415000000000003</v>
      </c>
    </row>
  </sheetData>
  <mergeCells count="2">
    <mergeCell ref="A1:E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Alvarez</dc:creator>
  <cp:lastModifiedBy>Usuario</cp:lastModifiedBy>
  <dcterms:created xsi:type="dcterms:W3CDTF">2018-06-15T00:28:44Z</dcterms:created>
  <dcterms:modified xsi:type="dcterms:W3CDTF">2019-05-20T23:41:28Z</dcterms:modified>
</cp:coreProperties>
</file>