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git\WAS-source-fork\documentation\"/>
    </mc:Choice>
  </mc:AlternateContent>
  <xr:revisionPtr revIDLastSave="0" documentId="13_ncr:1_{AC693D9F-A3D0-4A46-B922-FE4A7EE5EDE8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Pass" sheetId="1" r:id="rId1"/>
  </sheets>
  <definedNames>
    <definedName name="buying_cost_convert">Pass!$AE$18</definedName>
    <definedName name="cost_factor">Pass!$AE$16</definedName>
    <definedName name="early_delivery__days">Pass!$AE$9</definedName>
    <definedName name="Economy_factor">Pass!$AE$13</definedName>
    <definedName name="formula_vsig_time">Pass!$AE$14</definedName>
    <definedName name="GBP_to_Currency">Pass!$AE$15</definedName>
    <definedName name="Ground_time_days_per_travel">Pass!$AE$10</definedName>
    <definedName name="late_delivery__days">Pass!$AE$8</definedName>
    <definedName name="minaddmultirange">Pass!$AE$4</definedName>
    <definedName name="Minbaserange">Pass!$AE$3</definedName>
    <definedName name="payment_rate">Pass!$AE$7</definedName>
    <definedName name="rangemultipl">Pass!$AE$5</definedName>
    <definedName name="rangemultiplsmalladd">Pass!$AE$6</definedName>
    <definedName name="ROI____lifetime">Pass!$AE$11</definedName>
    <definedName name="running_cost_convert">Pass!$AE$19</definedName>
    <definedName name="Running_cost_weight">Pass!$AE$12</definedName>
    <definedName name="runningcost_factor">Pass!$AE$17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3" i="1" l="1"/>
  <c r="R162" i="1"/>
  <c r="T163" i="1"/>
  <c r="T162" i="1"/>
  <c r="Z160" i="1"/>
  <c r="T160" i="1"/>
  <c r="T159" i="1"/>
  <c r="Z15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AE19" i="1" l="1"/>
  <c r="AE18" i="1"/>
  <c r="AE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G4" i="1"/>
  <c r="H4" i="1" s="1"/>
  <c r="G3" i="1"/>
  <c r="H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AD2" i="1"/>
  <c r="K149" i="1" l="1"/>
  <c r="K109" i="1"/>
  <c r="K61" i="1"/>
  <c r="K21" i="1"/>
  <c r="I21" i="1"/>
  <c r="J21" i="1" s="1"/>
  <c r="K148" i="1"/>
  <c r="K36" i="1"/>
  <c r="K12" i="1"/>
  <c r="K141" i="1"/>
  <c r="I141" i="1"/>
  <c r="J141" i="1" s="1"/>
  <c r="K93" i="1"/>
  <c r="K37" i="1"/>
  <c r="K140" i="1"/>
  <c r="K124" i="1"/>
  <c r="I124" i="1"/>
  <c r="J124" i="1" s="1"/>
  <c r="K108" i="1"/>
  <c r="K92" i="1"/>
  <c r="K68" i="1"/>
  <c r="K60" i="1"/>
  <c r="K44" i="1"/>
  <c r="K20" i="1"/>
  <c r="K3" i="1"/>
  <c r="K99" i="1"/>
  <c r="I99" i="1"/>
  <c r="J99" i="1" s="1"/>
  <c r="K83" i="1"/>
  <c r="K67" i="1"/>
  <c r="K51" i="1"/>
  <c r="K35" i="1"/>
  <c r="I35" i="1"/>
  <c r="J35" i="1" s="1"/>
  <c r="K19" i="1"/>
  <c r="K4" i="1"/>
  <c r="K117" i="1"/>
  <c r="K156" i="1"/>
  <c r="K132" i="1"/>
  <c r="K76" i="1"/>
  <c r="K28" i="1"/>
  <c r="K155" i="1"/>
  <c r="K147" i="1"/>
  <c r="K139" i="1"/>
  <c r="K131" i="1"/>
  <c r="K123" i="1"/>
  <c r="I123" i="1"/>
  <c r="J123" i="1" s="1"/>
  <c r="K115" i="1"/>
  <c r="K107" i="1"/>
  <c r="K91" i="1"/>
  <c r="K75" i="1"/>
  <c r="K59" i="1"/>
  <c r="K43" i="1"/>
  <c r="K27" i="1"/>
  <c r="K11" i="1"/>
  <c r="I11" i="1"/>
  <c r="J11" i="1" s="1"/>
  <c r="K154" i="1"/>
  <c r="K146" i="1"/>
  <c r="K138" i="1"/>
  <c r="K130" i="1"/>
  <c r="K122" i="1"/>
  <c r="K114" i="1"/>
  <c r="K106" i="1"/>
  <c r="K98" i="1"/>
  <c r="I98" i="1"/>
  <c r="J98" i="1" s="1"/>
  <c r="K90" i="1"/>
  <c r="K82" i="1"/>
  <c r="K74" i="1"/>
  <c r="K66" i="1"/>
  <c r="I66" i="1"/>
  <c r="J66" i="1" s="1"/>
  <c r="K58" i="1"/>
  <c r="K50" i="1"/>
  <c r="K42" i="1"/>
  <c r="K34" i="1"/>
  <c r="I34" i="1"/>
  <c r="J34" i="1" s="1"/>
  <c r="K26" i="1"/>
  <c r="K18" i="1"/>
  <c r="K10" i="1"/>
  <c r="K133" i="1"/>
  <c r="I133" i="1"/>
  <c r="J133" i="1" s="1"/>
  <c r="K85" i="1"/>
  <c r="K53" i="1"/>
  <c r="K5" i="1"/>
  <c r="K153" i="1"/>
  <c r="K129" i="1"/>
  <c r="K105" i="1"/>
  <c r="K81" i="1"/>
  <c r="K57" i="1"/>
  <c r="I57" i="1"/>
  <c r="J57" i="1" s="1"/>
  <c r="K33" i="1"/>
  <c r="K9" i="1"/>
  <c r="K152" i="1"/>
  <c r="K144" i="1"/>
  <c r="I144" i="1"/>
  <c r="J144" i="1" s="1"/>
  <c r="K136" i="1"/>
  <c r="K128" i="1"/>
  <c r="K120" i="1"/>
  <c r="K112" i="1"/>
  <c r="I112" i="1"/>
  <c r="J112" i="1" s="1"/>
  <c r="K104" i="1"/>
  <c r="K96" i="1"/>
  <c r="K88" i="1"/>
  <c r="K80" i="1"/>
  <c r="I80" i="1"/>
  <c r="J80" i="1" s="1"/>
  <c r="K72" i="1"/>
  <c r="K64" i="1"/>
  <c r="K56" i="1"/>
  <c r="K48" i="1"/>
  <c r="I48" i="1"/>
  <c r="J48" i="1" s="1"/>
  <c r="L48" i="1" s="1"/>
  <c r="K40" i="1"/>
  <c r="K32" i="1"/>
  <c r="K24" i="1"/>
  <c r="K16" i="1"/>
  <c r="I16" i="1"/>
  <c r="J16" i="1" s="1"/>
  <c r="K8" i="1"/>
  <c r="K125" i="1"/>
  <c r="K77" i="1"/>
  <c r="K45" i="1"/>
  <c r="K13" i="1"/>
  <c r="K145" i="1"/>
  <c r="K121" i="1"/>
  <c r="K97" i="1"/>
  <c r="I97" i="1"/>
  <c r="J97" i="1" s="1"/>
  <c r="K73" i="1"/>
  <c r="K49" i="1"/>
  <c r="I49" i="1"/>
  <c r="J49" i="1" s="1"/>
  <c r="K25" i="1"/>
  <c r="K135" i="1"/>
  <c r="I135" i="1"/>
  <c r="J135" i="1" s="1"/>
  <c r="K119" i="1"/>
  <c r="K103" i="1"/>
  <c r="K87" i="1"/>
  <c r="K71" i="1"/>
  <c r="I71" i="1"/>
  <c r="J71" i="1" s="1"/>
  <c r="K55" i="1"/>
  <c r="K39" i="1"/>
  <c r="K23" i="1"/>
  <c r="K7" i="1"/>
  <c r="I7" i="1"/>
  <c r="J7" i="1" s="1"/>
  <c r="K101" i="1"/>
  <c r="K69" i="1"/>
  <c r="K29" i="1"/>
  <c r="K137" i="1"/>
  <c r="K113" i="1"/>
  <c r="K89" i="1"/>
  <c r="K65" i="1"/>
  <c r="K41" i="1"/>
  <c r="I41" i="1"/>
  <c r="J41" i="1" s="1"/>
  <c r="K17" i="1"/>
  <c r="K151" i="1"/>
  <c r="K143" i="1"/>
  <c r="K127" i="1"/>
  <c r="K111" i="1"/>
  <c r="K95" i="1"/>
  <c r="K79" i="1"/>
  <c r="K63" i="1"/>
  <c r="I63" i="1"/>
  <c r="J63" i="1" s="1"/>
  <c r="L63" i="1" s="1"/>
  <c r="K47" i="1"/>
  <c r="K31" i="1"/>
  <c r="I31" i="1"/>
  <c r="J31" i="1" s="1"/>
  <c r="K15" i="1"/>
  <c r="K150" i="1"/>
  <c r="I150" i="1"/>
  <c r="J150" i="1" s="1"/>
  <c r="K142" i="1"/>
  <c r="K134" i="1"/>
  <c r="K126" i="1"/>
  <c r="K118" i="1"/>
  <c r="I118" i="1"/>
  <c r="J118" i="1" s="1"/>
  <c r="K110" i="1"/>
  <c r="K102" i="1"/>
  <c r="K94" i="1"/>
  <c r="K86" i="1"/>
  <c r="I86" i="1"/>
  <c r="J86" i="1" s="1"/>
  <c r="L86" i="1" s="1"/>
  <c r="K78" i="1"/>
  <c r="K70" i="1"/>
  <c r="K62" i="1"/>
  <c r="K54" i="1"/>
  <c r="I54" i="1"/>
  <c r="J54" i="1" s="1"/>
  <c r="K46" i="1"/>
  <c r="K38" i="1"/>
  <c r="K30" i="1"/>
  <c r="K22" i="1"/>
  <c r="I22" i="1"/>
  <c r="J22" i="1" s="1"/>
  <c r="K14" i="1"/>
  <c r="K6" i="1"/>
  <c r="I116" i="1"/>
  <c r="J116" i="1" s="1"/>
  <c r="I84" i="1"/>
  <c r="J84" i="1" s="1"/>
  <c r="I52" i="1"/>
  <c r="J52" i="1" s="1"/>
  <c r="I100" i="1"/>
  <c r="J100" i="1" s="1"/>
  <c r="K116" i="1"/>
  <c r="K100" i="1"/>
  <c r="K84" i="1"/>
  <c r="K52" i="1"/>
  <c r="I19" i="1"/>
  <c r="J19" i="1" s="1"/>
  <c r="I51" i="1"/>
  <c r="J51" i="1" s="1"/>
  <c r="L51" i="1" s="1"/>
  <c r="I143" i="1"/>
  <c r="J143" i="1" s="1"/>
  <c r="I111" i="1"/>
  <c r="J111" i="1" s="1"/>
  <c r="I95" i="1"/>
  <c r="J95" i="1" s="1"/>
  <c r="I79" i="1"/>
  <c r="J79" i="1" s="1"/>
  <c r="I47" i="1"/>
  <c r="J47" i="1" s="1"/>
  <c r="I15" i="1"/>
  <c r="J15" i="1" s="1"/>
  <c r="L15" i="1" s="1"/>
  <c r="I78" i="1"/>
  <c r="J78" i="1" s="1"/>
  <c r="I142" i="1"/>
  <c r="J142" i="1" s="1"/>
  <c r="I126" i="1"/>
  <c r="J126" i="1" s="1"/>
  <c r="I110" i="1"/>
  <c r="J110" i="1" s="1"/>
  <c r="L110" i="1" s="1"/>
  <c r="I94" i="1"/>
  <c r="J94" i="1" s="1"/>
  <c r="I62" i="1"/>
  <c r="J62" i="1" s="1"/>
  <c r="I46" i="1"/>
  <c r="J46" i="1" s="1"/>
  <c r="I30" i="1"/>
  <c r="J30" i="1" s="1"/>
  <c r="I14" i="1"/>
  <c r="J14" i="1" s="1"/>
  <c r="I28" i="1"/>
  <c r="J28" i="1" s="1"/>
  <c r="I44" i="1"/>
  <c r="J44" i="1" s="1"/>
  <c r="L44" i="1" s="1"/>
  <c r="I9" i="1"/>
  <c r="J9" i="1" s="1"/>
  <c r="I25" i="1"/>
  <c r="J25" i="1" s="1"/>
  <c r="L25" i="1" s="1"/>
  <c r="I103" i="1"/>
  <c r="J103" i="1" s="1"/>
  <c r="I39" i="1"/>
  <c r="J39" i="1" s="1"/>
  <c r="L39" i="1" s="1"/>
  <c r="I87" i="1"/>
  <c r="J87" i="1" s="1"/>
  <c r="I55" i="1"/>
  <c r="J55" i="1" s="1"/>
  <c r="L55" i="1" s="1"/>
  <c r="I38" i="1"/>
  <c r="J38" i="1" s="1"/>
  <c r="I64" i="1"/>
  <c r="J64" i="1" s="1"/>
  <c r="I36" i="1"/>
  <c r="J36" i="1" s="1"/>
  <c r="L36" i="1" s="1"/>
  <c r="I128" i="1"/>
  <c r="J128" i="1" s="1"/>
  <c r="L128" i="1" s="1"/>
  <c r="I115" i="1"/>
  <c r="J115" i="1" s="1"/>
  <c r="L115" i="1" s="1"/>
  <c r="I113" i="1"/>
  <c r="J113" i="1" s="1"/>
  <c r="L113" i="1" s="1"/>
  <c r="I33" i="1"/>
  <c r="J33" i="1" s="1"/>
  <c r="I96" i="1"/>
  <c r="J96" i="1" s="1"/>
  <c r="I32" i="1"/>
  <c r="J32" i="1" s="1"/>
  <c r="L32" i="1" s="1"/>
  <c r="I148" i="1"/>
  <c r="J148" i="1" s="1"/>
  <c r="I20" i="1"/>
  <c r="J20" i="1" s="1"/>
  <c r="I147" i="1"/>
  <c r="J147" i="1" s="1"/>
  <c r="I83" i="1"/>
  <c r="J83" i="1" s="1"/>
  <c r="L83" i="1" s="1"/>
  <c r="I145" i="1"/>
  <c r="J145" i="1" s="1"/>
  <c r="L145" i="1" s="1"/>
  <c r="I81" i="1"/>
  <c r="J81" i="1" s="1"/>
  <c r="L81" i="1" s="1"/>
  <c r="I17" i="1"/>
  <c r="J17" i="1" s="1"/>
  <c r="I132" i="1"/>
  <c r="J132" i="1" s="1"/>
  <c r="L132" i="1" s="1"/>
  <c r="I68" i="1"/>
  <c r="J68" i="1" s="1"/>
  <c r="L68" i="1" s="1"/>
  <c r="I4" i="1"/>
  <c r="J4" i="1" s="1"/>
  <c r="L4" i="1" s="1"/>
  <c r="I131" i="1"/>
  <c r="J131" i="1" s="1"/>
  <c r="I67" i="1"/>
  <c r="J67" i="1" s="1"/>
  <c r="L67" i="1" s="1"/>
  <c r="I3" i="1"/>
  <c r="I129" i="1"/>
  <c r="J129" i="1" s="1"/>
  <c r="I65" i="1"/>
  <c r="J65" i="1" s="1"/>
  <c r="L65" i="1" s="1"/>
  <c r="I134" i="1"/>
  <c r="J134" i="1" s="1"/>
  <c r="I102" i="1"/>
  <c r="J102" i="1" s="1"/>
  <c r="I70" i="1"/>
  <c r="J70" i="1" s="1"/>
  <c r="L70" i="1" s="1"/>
  <c r="I6" i="1"/>
  <c r="J6" i="1" s="1"/>
  <c r="I149" i="1"/>
  <c r="J149" i="1" s="1"/>
  <c r="L149" i="1" s="1"/>
  <c r="I117" i="1"/>
  <c r="J117" i="1" s="1"/>
  <c r="I101" i="1"/>
  <c r="J101" i="1" s="1"/>
  <c r="I85" i="1"/>
  <c r="J85" i="1" s="1"/>
  <c r="I69" i="1"/>
  <c r="J69" i="1" s="1"/>
  <c r="I53" i="1"/>
  <c r="J53" i="1" s="1"/>
  <c r="I37" i="1"/>
  <c r="J37" i="1" s="1"/>
  <c r="L37" i="1" s="1"/>
  <c r="I5" i="1"/>
  <c r="J5" i="1" s="1"/>
  <c r="I146" i="1"/>
  <c r="J146" i="1" s="1"/>
  <c r="I130" i="1"/>
  <c r="J130" i="1" s="1"/>
  <c r="I114" i="1"/>
  <c r="J114" i="1" s="1"/>
  <c r="L114" i="1" s="1"/>
  <c r="I82" i="1"/>
  <c r="J82" i="1" s="1"/>
  <c r="I50" i="1"/>
  <c r="J50" i="1" s="1"/>
  <c r="L50" i="1" s="1"/>
  <c r="I18" i="1"/>
  <c r="J18" i="1" s="1"/>
  <c r="I127" i="1"/>
  <c r="J127" i="1" s="1"/>
  <c r="L127" i="1" s="1"/>
  <c r="I125" i="1"/>
  <c r="J125" i="1" s="1"/>
  <c r="I109" i="1"/>
  <c r="J109" i="1" s="1"/>
  <c r="L109" i="1" s="1"/>
  <c r="I93" i="1"/>
  <c r="J93" i="1" s="1"/>
  <c r="L93" i="1" s="1"/>
  <c r="I77" i="1"/>
  <c r="J77" i="1" s="1"/>
  <c r="I61" i="1"/>
  <c r="J61" i="1" s="1"/>
  <c r="L61" i="1" s="1"/>
  <c r="I45" i="1"/>
  <c r="J45" i="1" s="1"/>
  <c r="L45" i="1" s="1"/>
  <c r="I29" i="1"/>
  <c r="J29" i="1" s="1"/>
  <c r="L29" i="1" s="1"/>
  <c r="I13" i="1"/>
  <c r="J13" i="1" s="1"/>
  <c r="L13" i="1" s="1"/>
  <c r="I156" i="1"/>
  <c r="J156" i="1" s="1"/>
  <c r="L156" i="1" s="1"/>
  <c r="I140" i="1"/>
  <c r="J140" i="1" s="1"/>
  <c r="I108" i="1"/>
  <c r="J108" i="1" s="1"/>
  <c r="I92" i="1"/>
  <c r="J92" i="1" s="1"/>
  <c r="L92" i="1" s="1"/>
  <c r="I76" i="1"/>
  <c r="J76" i="1" s="1"/>
  <c r="L76" i="1" s="1"/>
  <c r="I60" i="1"/>
  <c r="J60" i="1" s="1"/>
  <c r="L60" i="1" s="1"/>
  <c r="I12" i="1"/>
  <c r="J12" i="1" s="1"/>
  <c r="I155" i="1"/>
  <c r="J155" i="1" s="1"/>
  <c r="L155" i="1" s="1"/>
  <c r="I139" i="1"/>
  <c r="J139" i="1" s="1"/>
  <c r="I107" i="1"/>
  <c r="J107" i="1" s="1"/>
  <c r="I91" i="1"/>
  <c r="J91" i="1" s="1"/>
  <c r="I75" i="1"/>
  <c r="J75" i="1" s="1"/>
  <c r="I59" i="1"/>
  <c r="J59" i="1" s="1"/>
  <c r="I43" i="1"/>
  <c r="J43" i="1" s="1"/>
  <c r="I27" i="1"/>
  <c r="J27" i="1" s="1"/>
  <c r="L27" i="1" s="1"/>
  <c r="I154" i="1"/>
  <c r="J154" i="1" s="1"/>
  <c r="L154" i="1" s="1"/>
  <c r="I138" i="1"/>
  <c r="J138" i="1" s="1"/>
  <c r="I122" i="1"/>
  <c r="J122" i="1" s="1"/>
  <c r="I106" i="1"/>
  <c r="J106" i="1" s="1"/>
  <c r="L106" i="1" s="1"/>
  <c r="I90" i="1"/>
  <c r="J90" i="1" s="1"/>
  <c r="I74" i="1"/>
  <c r="J74" i="1" s="1"/>
  <c r="I58" i="1"/>
  <c r="J58" i="1" s="1"/>
  <c r="L58" i="1" s="1"/>
  <c r="I42" i="1"/>
  <c r="J42" i="1" s="1"/>
  <c r="L42" i="1" s="1"/>
  <c r="I26" i="1"/>
  <c r="J26" i="1" s="1"/>
  <c r="L26" i="1" s="1"/>
  <c r="I10" i="1"/>
  <c r="J10" i="1" s="1"/>
  <c r="L10" i="1" s="1"/>
  <c r="I153" i="1"/>
  <c r="J153" i="1" s="1"/>
  <c r="I137" i="1"/>
  <c r="J137" i="1" s="1"/>
  <c r="L137" i="1" s="1"/>
  <c r="I121" i="1"/>
  <c r="J121" i="1" s="1"/>
  <c r="L121" i="1" s="1"/>
  <c r="I105" i="1"/>
  <c r="J105" i="1" s="1"/>
  <c r="L105" i="1" s="1"/>
  <c r="I89" i="1"/>
  <c r="J89" i="1" s="1"/>
  <c r="I73" i="1"/>
  <c r="J73" i="1" s="1"/>
  <c r="L73" i="1" s="1"/>
  <c r="I152" i="1"/>
  <c r="J152" i="1" s="1"/>
  <c r="L152" i="1" s="1"/>
  <c r="I136" i="1"/>
  <c r="J136" i="1" s="1"/>
  <c r="L136" i="1" s="1"/>
  <c r="I120" i="1"/>
  <c r="J120" i="1" s="1"/>
  <c r="I104" i="1"/>
  <c r="J104" i="1" s="1"/>
  <c r="I88" i="1"/>
  <c r="J88" i="1" s="1"/>
  <c r="L88" i="1" s="1"/>
  <c r="I72" i="1"/>
  <c r="J72" i="1" s="1"/>
  <c r="I56" i="1"/>
  <c r="J56" i="1" s="1"/>
  <c r="L56" i="1" s="1"/>
  <c r="I40" i="1"/>
  <c r="J40" i="1" s="1"/>
  <c r="L40" i="1" s="1"/>
  <c r="I24" i="1"/>
  <c r="J24" i="1" s="1"/>
  <c r="L24" i="1" s="1"/>
  <c r="I8" i="1"/>
  <c r="J8" i="1" s="1"/>
  <c r="I151" i="1"/>
  <c r="J151" i="1" s="1"/>
  <c r="L151" i="1" s="1"/>
  <c r="I119" i="1"/>
  <c r="J119" i="1" s="1"/>
  <c r="I23" i="1"/>
  <c r="J23" i="1" s="1"/>
  <c r="L23" i="1" s="1"/>
  <c r="AE2" i="1"/>
  <c r="L53" i="1" l="1"/>
  <c r="L90" i="1"/>
  <c r="L119" i="1"/>
  <c r="L91" i="1"/>
  <c r="L20" i="1"/>
  <c r="L99" i="1"/>
  <c r="M99" i="1" s="1"/>
  <c r="Q99" i="1" s="1"/>
  <c r="S99" i="1" s="1"/>
  <c r="AA99" i="1" s="1"/>
  <c r="L102" i="1"/>
  <c r="L64" i="1"/>
  <c r="L33" i="1"/>
  <c r="L140" i="1"/>
  <c r="L146" i="1"/>
  <c r="M146" i="1" s="1"/>
  <c r="Q146" i="1" s="1"/>
  <c r="S146" i="1" s="1"/>
  <c r="AA146" i="1" s="1"/>
  <c r="L89" i="1"/>
  <c r="M89" i="1" s="1"/>
  <c r="Q89" i="1" s="1"/>
  <c r="S89" i="1" s="1"/>
  <c r="AA89" i="1" s="1"/>
  <c r="L28" i="1"/>
  <c r="L72" i="1"/>
  <c r="N72" i="1" s="1"/>
  <c r="R72" i="1" s="1"/>
  <c r="T72" i="1" s="1"/>
  <c r="AB72" i="1" s="1"/>
  <c r="L85" i="1"/>
  <c r="M85" i="1" s="1"/>
  <c r="Q85" i="1" s="1"/>
  <c r="S85" i="1" s="1"/>
  <c r="AA85" i="1" s="1"/>
  <c r="L120" i="1"/>
  <c r="N120" i="1" s="1"/>
  <c r="R120" i="1" s="1"/>
  <c r="T120" i="1" s="1"/>
  <c r="AB120" i="1" s="1"/>
  <c r="L107" i="1"/>
  <c r="L62" i="1"/>
  <c r="M62" i="1" s="1"/>
  <c r="Q62" i="1" s="1"/>
  <c r="S62" i="1" s="1"/>
  <c r="AA62" i="1" s="1"/>
  <c r="L6" i="1"/>
  <c r="N6" i="1" s="1"/>
  <c r="R6" i="1" s="1"/>
  <c r="T6" i="1" s="1"/>
  <c r="AB6" i="1" s="1"/>
  <c r="L111" i="1"/>
  <c r="N111" i="1" s="1"/>
  <c r="R111" i="1" s="1"/>
  <c r="T111" i="1" s="1"/>
  <c r="AB111" i="1" s="1"/>
  <c r="L35" i="1"/>
  <c r="M35" i="1" s="1"/>
  <c r="Q35" i="1" s="1"/>
  <c r="S35" i="1" s="1"/>
  <c r="AA35" i="1" s="1"/>
  <c r="L21" i="1"/>
  <c r="N21" i="1" s="1"/>
  <c r="R21" i="1" s="1"/>
  <c r="T21" i="1" s="1"/>
  <c r="AB21" i="1" s="1"/>
  <c r="L9" i="1"/>
  <c r="M9" i="1" s="1"/>
  <c r="Q9" i="1" s="1"/>
  <c r="S9" i="1" s="1"/>
  <c r="AA9" i="1" s="1"/>
  <c r="L148" i="1"/>
  <c r="M148" i="1" s="1"/>
  <c r="Q148" i="1" s="1"/>
  <c r="S148" i="1" s="1"/>
  <c r="AA148" i="1" s="1"/>
  <c r="L82" i="1"/>
  <c r="N82" i="1" s="1"/>
  <c r="R82" i="1" s="1"/>
  <c r="T82" i="1" s="1"/>
  <c r="AB82" i="1" s="1"/>
  <c r="L19" i="1"/>
  <c r="M19" i="1" s="1"/>
  <c r="Q19" i="1" s="1"/>
  <c r="S19" i="1" s="1"/>
  <c r="AA19" i="1" s="1"/>
  <c r="L75" i="1"/>
  <c r="M75" i="1" s="1"/>
  <c r="Q75" i="1" s="1"/>
  <c r="S75" i="1" s="1"/>
  <c r="AA75" i="1" s="1"/>
  <c r="L46" i="1"/>
  <c r="N46" i="1" s="1"/>
  <c r="R46" i="1" s="1"/>
  <c r="T46" i="1" s="1"/>
  <c r="AB46" i="1" s="1"/>
  <c r="L103" i="1"/>
  <c r="M103" i="1" s="1"/>
  <c r="Q103" i="1" s="1"/>
  <c r="S103" i="1" s="1"/>
  <c r="AA103" i="1" s="1"/>
  <c r="L8" i="1"/>
  <c r="N8" i="1" s="1"/>
  <c r="R8" i="1" s="1"/>
  <c r="T8" i="1" s="1"/>
  <c r="AB8" i="1" s="1"/>
  <c r="L138" i="1"/>
  <c r="M138" i="1" s="1"/>
  <c r="Q138" i="1" s="1"/>
  <c r="S138" i="1" s="1"/>
  <c r="AA138" i="1" s="1"/>
  <c r="L5" i="1"/>
  <c r="M5" i="1" s="1"/>
  <c r="Q5" i="1" s="1"/>
  <c r="S5" i="1" s="1"/>
  <c r="AA5" i="1" s="1"/>
  <c r="L147" i="1"/>
  <c r="M147" i="1" s="1"/>
  <c r="Q147" i="1" s="1"/>
  <c r="S147" i="1" s="1"/>
  <c r="AA147" i="1" s="1"/>
  <c r="L94" i="1"/>
  <c r="M94" i="1" s="1"/>
  <c r="Q94" i="1" s="1"/>
  <c r="S94" i="1" s="1"/>
  <c r="AA94" i="1" s="1"/>
  <c r="L38" i="1"/>
  <c r="M38" i="1" s="1"/>
  <c r="Q38" i="1" s="1"/>
  <c r="S38" i="1" s="1"/>
  <c r="AA38" i="1" s="1"/>
  <c r="L142" i="1"/>
  <c r="M142" i="1" s="1"/>
  <c r="Q142" i="1" s="1"/>
  <c r="S142" i="1" s="1"/>
  <c r="AA142" i="1" s="1"/>
  <c r="L74" i="1"/>
  <c r="M74" i="1" s="1"/>
  <c r="Q74" i="1" s="1"/>
  <c r="S74" i="1" s="1"/>
  <c r="AA74" i="1" s="1"/>
  <c r="L59" i="1"/>
  <c r="N59" i="1" s="1"/>
  <c r="R59" i="1" s="1"/>
  <c r="T59" i="1" s="1"/>
  <c r="AB59" i="1" s="1"/>
  <c r="L101" i="1"/>
  <c r="N101" i="1" s="1"/>
  <c r="R101" i="1" s="1"/>
  <c r="T101" i="1" s="1"/>
  <c r="AB101" i="1" s="1"/>
  <c r="L87" i="1"/>
  <c r="N87" i="1" s="1"/>
  <c r="R87" i="1" s="1"/>
  <c r="T87" i="1" s="1"/>
  <c r="AB87" i="1" s="1"/>
  <c r="L104" i="1"/>
  <c r="N104" i="1" s="1"/>
  <c r="R104" i="1" s="1"/>
  <c r="T104" i="1" s="1"/>
  <c r="AB104" i="1" s="1"/>
  <c r="L130" i="1"/>
  <c r="M130" i="1" s="1"/>
  <c r="Q130" i="1" s="1"/>
  <c r="S130" i="1" s="1"/>
  <c r="AA130" i="1" s="1"/>
  <c r="L153" i="1"/>
  <c r="M153" i="1" s="1"/>
  <c r="Q153" i="1" s="1"/>
  <c r="S153" i="1" s="1"/>
  <c r="AA153" i="1" s="1"/>
  <c r="L139" i="1"/>
  <c r="M139" i="1" s="1"/>
  <c r="Q139" i="1" s="1"/>
  <c r="S139" i="1" s="1"/>
  <c r="AA139" i="1" s="1"/>
  <c r="L125" i="1"/>
  <c r="N125" i="1" s="1"/>
  <c r="R125" i="1" s="1"/>
  <c r="T125" i="1" s="1"/>
  <c r="AB125" i="1" s="1"/>
  <c r="L95" i="1"/>
  <c r="M95" i="1" s="1"/>
  <c r="Q95" i="1" s="1"/>
  <c r="S95" i="1" s="1"/>
  <c r="AA95" i="1" s="1"/>
  <c r="L150" i="1"/>
  <c r="N150" i="1" s="1"/>
  <c r="R150" i="1" s="1"/>
  <c r="T150" i="1" s="1"/>
  <c r="AB150" i="1" s="1"/>
  <c r="L7" i="1"/>
  <c r="M7" i="1" s="1"/>
  <c r="Q7" i="1" s="1"/>
  <c r="S7" i="1" s="1"/>
  <c r="AA7" i="1" s="1"/>
  <c r="L47" i="1"/>
  <c r="M47" i="1" s="1"/>
  <c r="Q47" i="1" s="1"/>
  <c r="S47" i="1" s="1"/>
  <c r="AA47" i="1" s="1"/>
  <c r="L79" i="1"/>
  <c r="M79" i="1" s="1"/>
  <c r="Q79" i="1" s="1"/>
  <c r="S79" i="1" s="1"/>
  <c r="AA79" i="1" s="1"/>
  <c r="L22" i="1"/>
  <c r="N22" i="1" s="1"/>
  <c r="R22" i="1" s="1"/>
  <c r="T22" i="1" s="1"/>
  <c r="AB22" i="1" s="1"/>
  <c r="L123" i="1"/>
  <c r="M123" i="1" s="1"/>
  <c r="Q123" i="1" s="1"/>
  <c r="S123" i="1" s="1"/>
  <c r="AA123" i="1" s="1"/>
  <c r="L141" i="1"/>
  <c r="M141" i="1" s="1"/>
  <c r="Q141" i="1" s="1"/>
  <c r="S141" i="1" s="1"/>
  <c r="AA141" i="1" s="1"/>
  <c r="L126" i="1"/>
  <c r="M126" i="1" s="1"/>
  <c r="Q126" i="1" s="1"/>
  <c r="S126" i="1" s="1"/>
  <c r="AA126" i="1" s="1"/>
  <c r="L124" i="1"/>
  <c r="N124" i="1" s="1"/>
  <c r="R124" i="1" s="1"/>
  <c r="T124" i="1" s="1"/>
  <c r="AB124" i="1" s="1"/>
  <c r="L14" i="1"/>
  <c r="N14" i="1" s="1"/>
  <c r="R14" i="1" s="1"/>
  <c r="T14" i="1" s="1"/>
  <c r="AB14" i="1" s="1"/>
  <c r="L78" i="1"/>
  <c r="N78" i="1" s="1"/>
  <c r="R78" i="1" s="1"/>
  <c r="T78" i="1" s="1"/>
  <c r="AB78" i="1" s="1"/>
  <c r="L135" i="1"/>
  <c r="M135" i="1" s="1"/>
  <c r="Q135" i="1" s="1"/>
  <c r="S135" i="1" s="1"/>
  <c r="AA135" i="1" s="1"/>
  <c r="L57" i="1"/>
  <c r="M57" i="1" s="1"/>
  <c r="Q57" i="1" s="1"/>
  <c r="S57" i="1" s="1"/>
  <c r="AA57" i="1" s="1"/>
  <c r="L98" i="1"/>
  <c r="M98" i="1" s="1"/>
  <c r="Q98" i="1" s="1"/>
  <c r="S98" i="1" s="1"/>
  <c r="AA98" i="1" s="1"/>
  <c r="L12" i="1"/>
  <c r="M12" i="1" s="1"/>
  <c r="Q12" i="1" s="1"/>
  <c r="S12" i="1" s="1"/>
  <c r="AA12" i="1" s="1"/>
  <c r="L18" i="1"/>
  <c r="M18" i="1" s="1"/>
  <c r="Q18" i="1" s="1"/>
  <c r="S18" i="1" s="1"/>
  <c r="AA18" i="1" s="1"/>
  <c r="L143" i="1"/>
  <c r="M143" i="1" s="1"/>
  <c r="Q143" i="1" s="1"/>
  <c r="S143" i="1" s="1"/>
  <c r="AA143" i="1" s="1"/>
  <c r="L41" i="1"/>
  <c r="M41" i="1" s="1"/>
  <c r="Q41" i="1" s="1"/>
  <c r="S41" i="1" s="1"/>
  <c r="AA41" i="1" s="1"/>
  <c r="L43" i="1"/>
  <c r="M43" i="1" s="1"/>
  <c r="Q43" i="1" s="1"/>
  <c r="S43" i="1" s="1"/>
  <c r="AA43" i="1" s="1"/>
  <c r="L69" i="1"/>
  <c r="N69" i="1" s="1"/>
  <c r="R69" i="1" s="1"/>
  <c r="T69" i="1" s="1"/>
  <c r="AB69" i="1" s="1"/>
  <c r="L134" i="1"/>
  <c r="M134" i="1" s="1"/>
  <c r="Q134" i="1" s="1"/>
  <c r="S134" i="1" s="1"/>
  <c r="AA134" i="1" s="1"/>
  <c r="L97" i="1"/>
  <c r="M97" i="1" s="1"/>
  <c r="Q97" i="1" s="1"/>
  <c r="S97" i="1" s="1"/>
  <c r="AA97" i="1" s="1"/>
  <c r="L112" i="1"/>
  <c r="N112" i="1" s="1"/>
  <c r="R112" i="1" s="1"/>
  <c r="T112" i="1" s="1"/>
  <c r="AB112" i="1" s="1"/>
  <c r="L34" i="1"/>
  <c r="M34" i="1" s="1"/>
  <c r="Q34" i="1" s="1"/>
  <c r="S34" i="1" s="1"/>
  <c r="AA34" i="1" s="1"/>
  <c r="L17" i="1"/>
  <c r="N17" i="1" s="1"/>
  <c r="R17" i="1" s="1"/>
  <c r="T17" i="1" s="1"/>
  <c r="AB17" i="1" s="1"/>
  <c r="L96" i="1"/>
  <c r="M96" i="1" s="1"/>
  <c r="Q96" i="1" s="1"/>
  <c r="S96" i="1" s="1"/>
  <c r="AA96" i="1" s="1"/>
  <c r="L54" i="1"/>
  <c r="M54" i="1" s="1"/>
  <c r="Q54" i="1" s="1"/>
  <c r="S54" i="1" s="1"/>
  <c r="AA54" i="1" s="1"/>
  <c r="L16" i="1"/>
  <c r="M16" i="1" s="1"/>
  <c r="Q16" i="1" s="1"/>
  <c r="S16" i="1" s="1"/>
  <c r="AA16" i="1" s="1"/>
  <c r="L77" i="1"/>
  <c r="N77" i="1" s="1"/>
  <c r="R77" i="1" s="1"/>
  <c r="T77" i="1" s="1"/>
  <c r="AB77" i="1" s="1"/>
  <c r="L129" i="1"/>
  <c r="M129" i="1" s="1"/>
  <c r="Q129" i="1" s="1"/>
  <c r="S129" i="1" s="1"/>
  <c r="AA129" i="1" s="1"/>
  <c r="L30" i="1"/>
  <c r="M30" i="1" s="1"/>
  <c r="Q30" i="1" s="1"/>
  <c r="S30" i="1" s="1"/>
  <c r="AA30" i="1" s="1"/>
  <c r="L108" i="1"/>
  <c r="M108" i="1" s="1"/>
  <c r="Q108" i="1" s="1"/>
  <c r="S108" i="1" s="1"/>
  <c r="AA108" i="1" s="1"/>
  <c r="L117" i="1"/>
  <c r="M117" i="1" s="1"/>
  <c r="Q117" i="1" s="1"/>
  <c r="S117" i="1" s="1"/>
  <c r="AA117" i="1" s="1"/>
  <c r="L118" i="1"/>
  <c r="M118" i="1" s="1"/>
  <c r="Q118" i="1" s="1"/>
  <c r="S118" i="1" s="1"/>
  <c r="AA118" i="1" s="1"/>
  <c r="L31" i="1"/>
  <c r="M31" i="1" s="1"/>
  <c r="Q31" i="1" s="1"/>
  <c r="S31" i="1" s="1"/>
  <c r="AA31" i="1" s="1"/>
  <c r="L80" i="1"/>
  <c r="N80" i="1" s="1"/>
  <c r="R80" i="1" s="1"/>
  <c r="T80" i="1" s="1"/>
  <c r="AB80" i="1" s="1"/>
  <c r="L133" i="1"/>
  <c r="N133" i="1" s="1"/>
  <c r="R133" i="1" s="1"/>
  <c r="T133" i="1" s="1"/>
  <c r="AB133" i="1" s="1"/>
  <c r="L11" i="1"/>
  <c r="M11" i="1" s="1"/>
  <c r="Q11" i="1" s="1"/>
  <c r="S11" i="1" s="1"/>
  <c r="AA11" i="1" s="1"/>
  <c r="L122" i="1"/>
  <c r="M122" i="1" s="1"/>
  <c r="Q122" i="1" s="1"/>
  <c r="S122" i="1" s="1"/>
  <c r="AA122" i="1" s="1"/>
  <c r="L131" i="1"/>
  <c r="M131" i="1" s="1"/>
  <c r="Q131" i="1" s="1"/>
  <c r="S131" i="1" s="1"/>
  <c r="AA131" i="1" s="1"/>
  <c r="L71" i="1"/>
  <c r="M71" i="1" s="1"/>
  <c r="Q71" i="1" s="1"/>
  <c r="S71" i="1" s="1"/>
  <c r="AA71" i="1" s="1"/>
  <c r="L49" i="1"/>
  <c r="N49" i="1" s="1"/>
  <c r="R49" i="1" s="1"/>
  <c r="T49" i="1" s="1"/>
  <c r="AB49" i="1" s="1"/>
  <c r="L144" i="1"/>
  <c r="M144" i="1" s="1"/>
  <c r="Q144" i="1" s="1"/>
  <c r="S144" i="1" s="1"/>
  <c r="AA144" i="1" s="1"/>
  <c r="L66" i="1"/>
  <c r="N66" i="1" s="1"/>
  <c r="R66" i="1" s="1"/>
  <c r="T66" i="1" s="1"/>
  <c r="AB66" i="1" s="1"/>
  <c r="L52" i="1"/>
  <c r="N52" i="1" s="1"/>
  <c r="R52" i="1" s="1"/>
  <c r="T52" i="1" s="1"/>
  <c r="AB52" i="1" s="1"/>
  <c r="L84" i="1"/>
  <c r="M84" i="1" s="1"/>
  <c r="Q84" i="1" s="1"/>
  <c r="S84" i="1" s="1"/>
  <c r="AA84" i="1" s="1"/>
  <c r="L100" i="1"/>
  <c r="N100" i="1" s="1"/>
  <c r="R100" i="1" s="1"/>
  <c r="T100" i="1" s="1"/>
  <c r="AB100" i="1" s="1"/>
  <c r="L116" i="1"/>
  <c r="N116" i="1" s="1"/>
  <c r="R116" i="1" s="1"/>
  <c r="T116" i="1" s="1"/>
  <c r="AB116" i="1" s="1"/>
  <c r="M136" i="1"/>
  <c r="Q136" i="1" s="1"/>
  <c r="S136" i="1" s="1"/>
  <c r="AA136" i="1" s="1"/>
  <c r="N136" i="1"/>
  <c r="R136" i="1" s="1"/>
  <c r="T136" i="1" s="1"/>
  <c r="AB136" i="1" s="1"/>
  <c r="M92" i="1"/>
  <c r="Q92" i="1" s="1"/>
  <c r="S92" i="1" s="1"/>
  <c r="AA92" i="1" s="1"/>
  <c r="N92" i="1"/>
  <c r="R92" i="1" s="1"/>
  <c r="T92" i="1" s="1"/>
  <c r="AB92" i="1" s="1"/>
  <c r="M4" i="1"/>
  <c r="Q4" i="1" s="1"/>
  <c r="S4" i="1" s="1"/>
  <c r="AA4" i="1" s="1"/>
  <c r="N4" i="1"/>
  <c r="R4" i="1" s="1"/>
  <c r="T4" i="1" s="1"/>
  <c r="AB4" i="1" s="1"/>
  <c r="M15" i="1"/>
  <c r="Q15" i="1" s="1"/>
  <c r="S15" i="1" s="1"/>
  <c r="AA15" i="1" s="1"/>
  <c r="N15" i="1"/>
  <c r="R15" i="1" s="1"/>
  <c r="T15" i="1" s="1"/>
  <c r="AB15" i="1" s="1"/>
  <c r="M152" i="1"/>
  <c r="Q152" i="1" s="1"/>
  <c r="S152" i="1" s="1"/>
  <c r="AA152" i="1" s="1"/>
  <c r="N152" i="1"/>
  <c r="R152" i="1" s="1"/>
  <c r="T152" i="1" s="1"/>
  <c r="AB152" i="1" s="1"/>
  <c r="M68" i="1"/>
  <c r="Q68" i="1" s="1"/>
  <c r="S68" i="1" s="1"/>
  <c r="AA68" i="1" s="1"/>
  <c r="N68" i="1"/>
  <c r="R68" i="1" s="1"/>
  <c r="T68" i="1" s="1"/>
  <c r="AB68" i="1" s="1"/>
  <c r="N35" i="1"/>
  <c r="R35" i="1" s="1"/>
  <c r="T35" i="1" s="1"/>
  <c r="AB35" i="1" s="1"/>
  <c r="M154" i="1"/>
  <c r="Q154" i="1" s="1"/>
  <c r="S154" i="1" s="1"/>
  <c r="AA154" i="1" s="1"/>
  <c r="N154" i="1"/>
  <c r="R154" i="1" s="1"/>
  <c r="T154" i="1" s="1"/>
  <c r="AB154" i="1" s="1"/>
  <c r="M140" i="1"/>
  <c r="Q140" i="1" s="1"/>
  <c r="S140" i="1" s="1"/>
  <c r="AA140" i="1" s="1"/>
  <c r="N140" i="1"/>
  <c r="R140" i="1" s="1"/>
  <c r="T140" i="1" s="1"/>
  <c r="AB140" i="1" s="1"/>
  <c r="M23" i="1"/>
  <c r="Q23" i="1" s="1"/>
  <c r="S23" i="1" s="1"/>
  <c r="AA23" i="1" s="1"/>
  <c r="N23" i="1"/>
  <c r="R23" i="1" s="1"/>
  <c r="T23" i="1" s="1"/>
  <c r="AB23" i="1" s="1"/>
  <c r="M105" i="1"/>
  <c r="Q105" i="1" s="1"/>
  <c r="S105" i="1" s="1"/>
  <c r="AA105" i="1" s="1"/>
  <c r="N105" i="1"/>
  <c r="R105" i="1" s="1"/>
  <c r="T105" i="1" s="1"/>
  <c r="AB105" i="1" s="1"/>
  <c r="M13" i="1"/>
  <c r="Q13" i="1" s="1"/>
  <c r="S13" i="1" s="1"/>
  <c r="AA13" i="1" s="1"/>
  <c r="N13" i="1"/>
  <c r="R13" i="1" s="1"/>
  <c r="T13" i="1" s="1"/>
  <c r="AB13" i="1" s="1"/>
  <c r="M70" i="1"/>
  <c r="Q70" i="1" s="1"/>
  <c r="S70" i="1" s="1"/>
  <c r="AA70" i="1" s="1"/>
  <c r="N70" i="1"/>
  <c r="R70" i="1" s="1"/>
  <c r="T70" i="1" s="1"/>
  <c r="AB70" i="1" s="1"/>
  <c r="M128" i="1"/>
  <c r="Q128" i="1" s="1"/>
  <c r="S128" i="1" s="1"/>
  <c r="AA128" i="1" s="1"/>
  <c r="N128" i="1"/>
  <c r="R128" i="1" s="1"/>
  <c r="T128" i="1" s="1"/>
  <c r="AB128" i="1" s="1"/>
  <c r="M44" i="1"/>
  <c r="Q44" i="1" s="1"/>
  <c r="S44" i="1" s="1"/>
  <c r="AA44" i="1" s="1"/>
  <c r="N44" i="1"/>
  <c r="R44" i="1" s="1"/>
  <c r="T44" i="1" s="1"/>
  <c r="AB44" i="1" s="1"/>
  <c r="M45" i="1"/>
  <c r="Q45" i="1" s="1"/>
  <c r="S45" i="1" s="1"/>
  <c r="AA45" i="1" s="1"/>
  <c r="N45" i="1"/>
  <c r="R45" i="1" s="1"/>
  <c r="T45" i="1" s="1"/>
  <c r="AB45" i="1" s="1"/>
  <c r="M102" i="1"/>
  <c r="Q102" i="1" s="1"/>
  <c r="S102" i="1" s="1"/>
  <c r="AA102" i="1" s="1"/>
  <c r="N102" i="1"/>
  <c r="R102" i="1" s="1"/>
  <c r="T102" i="1" s="1"/>
  <c r="AB102" i="1" s="1"/>
  <c r="M81" i="1"/>
  <c r="Q81" i="1" s="1"/>
  <c r="S81" i="1" s="1"/>
  <c r="AA81" i="1" s="1"/>
  <c r="N81" i="1"/>
  <c r="R81" i="1" s="1"/>
  <c r="T81" i="1" s="1"/>
  <c r="AB81" i="1" s="1"/>
  <c r="M36" i="1"/>
  <c r="Q36" i="1" s="1"/>
  <c r="S36" i="1" s="1"/>
  <c r="AA36" i="1" s="1"/>
  <c r="N36" i="1"/>
  <c r="R36" i="1" s="1"/>
  <c r="T36" i="1" s="1"/>
  <c r="AB36" i="1" s="1"/>
  <c r="M51" i="1"/>
  <c r="Q51" i="1" s="1"/>
  <c r="S51" i="1" s="1"/>
  <c r="AA51" i="1" s="1"/>
  <c r="N51" i="1"/>
  <c r="R51" i="1" s="1"/>
  <c r="T51" i="1" s="1"/>
  <c r="AB51" i="1" s="1"/>
  <c r="M28" i="1"/>
  <c r="Q28" i="1" s="1"/>
  <c r="S28" i="1" s="1"/>
  <c r="AA28" i="1" s="1"/>
  <c r="N28" i="1"/>
  <c r="R28" i="1" s="1"/>
  <c r="T28" i="1" s="1"/>
  <c r="AB28" i="1" s="1"/>
  <c r="M91" i="1"/>
  <c r="Q91" i="1" s="1"/>
  <c r="S91" i="1" s="1"/>
  <c r="AA91" i="1" s="1"/>
  <c r="N91" i="1"/>
  <c r="R91" i="1" s="1"/>
  <c r="T91" i="1" s="1"/>
  <c r="AB91" i="1" s="1"/>
  <c r="M61" i="1"/>
  <c r="Q61" i="1" s="1"/>
  <c r="S61" i="1" s="1"/>
  <c r="AA61" i="1" s="1"/>
  <c r="N61" i="1"/>
  <c r="R61" i="1" s="1"/>
  <c r="T61" i="1" s="1"/>
  <c r="AB61" i="1" s="1"/>
  <c r="M145" i="1"/>
  <c r="Q145" i="1" s="1"/>
  <c r="S145" i="1" s="1"/>
  <c r="AA145" i="1" s="1"/>
  <c r="N145" i="1"/>
  <c r="R145" i="1" s="1"/>
  <c r="T145" i="1" s="1"/>
  <c r="AB145" i="1" s="1"/>
  <c r="M48" i="1"/>
  <c r="Q48" i="1" s="1"/>
  <c r="S48" i="1" s="1"/>
  <c r="AA48" i="1" s="1"/>
  <c r="N48" i="1"/>
  <c r="R48" i="1" s="1"/>
  <c r="T48" i="1" s="1"/>
  <c r="AB48" i="1" s="1"/>
  <c r="M113" i="1"/>
  <c r="Q113" i="1" s="1"/>
  <c r="S113" i="1" s="1"/>
  <c r="AA113" i="1" s="1"/>
  <c r="N113" i="1"/>
  <c r="R113" i="1" s="1"/>
  <c r="T113" i="1" s="1"/>
  <c r="AB113" i="1" s="1"/>
  <c r="M10" i="1"/>
  <c r="Q10" i="1" s="1"/>
  <c r="S10" i="1" s="1"/>
  <c r="AA10" i="1" s="1"/>
  <c r="N10" i="1"/>
  <c r="R10" i="1" s="1"/>
  <c r="T10" i="1" s="1"/>
  <c r="AB10" i="1" s="1"/>
  <c r="M83" i="1"/>
  <c r="Q83" i="1" s="1"/>
  <c r="S83" i="1" s="1"/>
  <c r="AA83" i="1" s="1"/>
  <c r="N83" i="1"/>
  <c r="R83" i="1" s="1"/>
  <c r="T83" i="1" s="1"/>
  <c r="AB83" i="1" s="1"/>
  <c r="M64" i="1"/>
  <c r="Q64" i="1" s="1"/>
  <c r="S64" i="1" s="1"/>
  <c r="AA64" i="1" s="1"/>
  <c r="N64" i="1"/>
  <c r="R64" i="1" s="1"/>
  <c r="T64" i="1" s="1"/>
  <c r="AB64" i="1" s="1"/>
  <c r="N19" i="1"/>
  <c r="R19" i="1" s="1"/>
  <c r="T19" i="1" s="1"/>
  <c r="AB19" i="1" s="1"/>
  <c r="M29" i="1"/>
  <c r="Q29" i="1" s="1"/>
  <c r="S29" i="1" s="1"/>
  <c r="AA29" i="1" s="1"/>
  <c r="N29" i="1"/>
  <c r="R29" i="1" s="1"/>
  <c r="T29" i="1" s="1"/>
  <c r="AB29" i="1" s="1"/>
  <c r="M24" i="1"/>
  <c r="Q24" i="1" s="1"/>
  <c r="S24" i="1" s="1"/>
  <c r="AA24" i="1" s="1"/>
  <c r="N24" i="1"/>
  <c r="R24" i="1" s="1"/>
  <c r="T24" i="1" s="1"/>
  <c r="AB24" i="1" s="1"/>
  <c r="M26" i="1"/>
  <c r="Q26" i="1" s="1"/>
  <c r="S26" i="1" s="1"/>
  <c r="AA26" i="1" s="1"/>
  <c r="N26" i="1"/>
  <c r="R26" i="1" s="1"/>
  <c r="T26" i="1" s="1"/>
  <c r="AB26" i="1" s="1"/>
  <c r="M93" i="1"/>
  <c r="Q93" i="1" s="1"/>
  <c r="S93" i="1" s="1"/>
  <c r="AA93" i="1" s="1"/>
  <c r="N93" i="1"/>
  <c r="R93" i="1" s="1"/>
  <c r="T93" i="1" s="1"/>
  <c r="AB93" i="1" s="1"/>
  <c r="N147" i="1"/>
  <c r="R147" i="1" s="1"/>
  <c r="T147" i="1" s="1"/>
  <c r="AB147" i="1" s="1"/>
  <c r="M27" i="1"/>
  <c r="Q27" i="1" s="1"/>
  <c r="S27" i="1" s="1"/>
  <c r="AA27" i="1" s="1"/>
  <c r="N27" i="1"/>
  <c r="R27" i="1" s="1"/>
  <c r="T27" i="1" s="1"/>
  <c r="AB27" i="1" s="1"/>
  <c r="M121" i="1"/>
  <c r="Q121" i="1" s="1"/>
  <c r="S121" i="1" s="1"/>
  <c r="AA121" i="1" s="1"/>
  <c r="N121" i="1"/>
  <c r="R121" i="1" s="1"/>
  <c r="T121" i="1" s="1"/>
  <c r="AB121" i="1" s="1"/>
  <c r="M40" i="1"/>
  <c r="Q40" i="1" s="1"/>
  <c r="S40" i="1" s="1"/>
  <c r="AA40" i="1" s="1"/>
  <c r="N40" i="1"/>
  <c r="R40" i="1" s="1"/>
  <c r="T40" i="1" s="1"/>
  <c r="AB40" i="1" s="1"/>
  <c r="M56" i="1"/>
  <c r="Q56" i="1" s="1"/>
  <c r="S56" i="1" s="1"/>
  <c r="AA56" i="1" s="1"/>
  <c r="N56" i="1"/>
  <c r="R56" i="1" s="1"/>
  <c r="T56" i="1" s="1"/>
  <c r="AB56" i="1" s="1"/>
  <c r="M42" i="1"/>
  <c r="Q42" i="1" s="1"/>
  <c r="S42" i="1" s="1"/>
  <c r="AA42" i="1" s="1"/>
  <c r="N42" i="1"/>
  <c r="R42" i="1" s="1"/>
  <c r="T42" i="1" s="1"/>
  <c r="AB42" i="1" s="1"/>
  <c r="M109" i="1"/>
  <c r="Q109" i="1" s="1"/>
  <c r="S109" i="1" s="1"/>
  <c r="AA109" i="1" s="1"/>
  <c r="N109" i="1"/>
  <c r="R109" i="1" s="1"/>
  <c r="T109" i="1" s="1"/>
  <c r="AB109" i="1" s="1"/>
  <c r="M37" i="1"/>
  <c r="Q37" i="1" s="1"/>
  <c r="S37" i="1" s="1"/>
  <c r="AA37" i="1" s="1"/>
  <c r="N37" i="1"/>
  <c r="R37" i="1" s="1"/>
  <c r="T37" i="1" s="1"/>
  <c r="AB37" i="1" s="1"/>
  <c r="M65" i="1"/>
  <c r="Q65" i="1" s="1"/>
  <c r="S65" i="1" s="1"/>
  <c r="AA65" i="1" s="1"/>
  <c r="N65" i="1"/>
  <c r="R65" i="1" s="1"/>
  <c r="T65" i="1" s="1"/>
  <c r="AB65" i="1" s="1"/>
  <c r="M20" i="1"/>
  <c r="Q20" i="1" s="1"/>
  <c r="S20" i="1" s="1"/>
  <c r="AA20" i="1" s="1"/>
  <c r="N20" i="1"/>
  <c r="R20" i="1" s="1"/>
  <c r="T20" i="1" s="1"/>
  <c r="AB20" i="1" s="1"/>
  <c r="M156" i="1"/>
  <c r="Q156" i="1" s="1"/>
  <c r="S156" i="1" s="1"/>
  <c r="AA156" i="1" s="1"/>
  <c r="N156" i="1"/>
  <c r="R156" i="1" s="1"/>
  <c r="T156" i="1" s="1"/>
  <c r="AB156" i="1" s="1"/>
  <c r="M119" i="1"/>
  <c r="Q119" i="1" s="1"/>
  <c r="S119" i="1" s="1"/>
  <c r="AA119" i="1" s="1"/>
  <c r="N119" i="1"/>
  <c r="R119" i="1" s="1"/>
  <c r="T119" i="1" s="1"/>
  <c r="AB119" i="1" s="1"/>
  <c r="M58" i="1"/>
  <c r="Q58" i="1" s="1"/>
  <c r="S58" i="1" s="1"/>
  <c r="AA58" i="1" s="1"/>
  <c r="N58" i="1"/>
  <c r="R58" i="1" s="1"/>
  <c r="T58" i="1" s="1"/>
  <c r="AB58" i="1" s="1"/>
  <c r="M155" i="1"/>
  <c r="Q155" i="1" s="1"/>
  <c r="S155" i="1" s="1"/>
  <c r="AA155" i="1" s="1"/>
  <c r="N155" i="1"/>
  <c r="R155" i="1" s="1"/>
  <c r="T155" i="1" s="1"/>
  <c r="AB155" i="1" s="1"/>
  <c r="M53" i="1"/>
  <c r="Q53" i="1" s="1"/>
  <c r="S53" i="1" s="1"/>
  <c r="AA53" i="1" s="1"/>
  <c r="N53" i="1"/>
  <c r="R53" i="1" s="1"/>
  <c r="T53" i="1" s="1"/>
  <c r="AB53" i="1" s="1"/>
  <c r="M55" i="1"/>
  <c r="Q55" i="1" s="1"/>
  <c r="S55" i="1" s="1"/>
  <c r="AA55" i="1" s="1"/>
  <c r="N55" i="1"/>
  <c r="R55" i="1" s="1"/>
  <c r="T55" i="1" s="1"/>
  <c r="AB55" i="1" s="1"/>
  <c r="M110" i="1"/>
  <c r="Q110" i="1" s="1"/>
  <c r="S110" i="1" s="1"/>
  <c r="AA110" i="1" s="1"/>
  <c r="N110" i="1"/>
  <c r="R110" i="1" s="1"/>
  <c r="T110" i="1" s="1"/>
  <c r="AB110" i="1" s="1"/>
  <c r="M132" i="1"/>
  <c r="Q132" i="1" s="1"/>
  <c r="S132" i="1" s="1"/>
  <c r="AA132" i="1" s="1"/>
  <c r="N132" i="1"/>
  <c r="R132" i="1" s="1"/>
  <c r="T132" i="1" s="1"/>
  <c r="AB132" i="1" s="1"/>
  <c r="M25" i="1"/>
  <c r="Q25" i="1" s="1"/>
  <c r="S25" i="1" s="1"/>
  <c r="AA25" i="1" s="1"/>
  <c r="N25" i="1"/>
  <c r="R25" i="1" s="1"/>
  <c r="T25" i="1" s="1"/>
  <c r="AB25" i="1" s="1"/>
  <c r="M115" i="1"/>
  <c r="Q115" i="1" s="1"/>
  <c r="S115" i="1" s="1"/>
  <c r="AA115" i="1" s="1"/>
  <c r="N115" i="1"/>
  <c r="R115" i="1" s="1"/>
  <c r="T115" i="1" s="1"/>
  <c r="AB115" i="1" s="1"/>
  <c r="M86" i="1"/>
  <c r="Q86" i="1" s="1"/>
  <c r="S86" i="1" s="1"/>
  <c r="AA86" i="1" s="1"/>
  <c r="N86" i="1"/>
  <c r="R86" i="1" s="1"/>
  <c r="T86" i="1" s="1"/>
  <c r="AB86" i="1" s="1"/>
  <c r="M107" i="1"/>
  <c r="Q107" i="1" s="1"/>
  <c r="S107" i="1" s="1"/>
  <c r="AA107" i="1" s="1"/>
  <c r="N107" i="1"/>
  <c r="R107" i="1" s="1"/>
  <c r="T107" i="1" s="1"/>
  <c r="AB107" i="1" s="1"/>
  <c r="M88" i="1"/>
  <c r="Q88" i="1" s="1"/>
  <c r="S88" i="1" s="1"/>
  <c r="AA88" i="1" s="1"/>
  <c r="N88" i="1"/>
  <c r="R88" i="1" s="1"/>
  <c r="T88" i="1" s="1"/>
  <c r="AB88" i="1" s="1"/>
  <c r="N12" i="1"/>
  <c r="R12" i="1" s="1"/>
  <c r="T12" i="1" s="1"/>
  <c r="AB12" i="1" s="1"/>
  <c r="M32" i="1"/>
  <c r="Q32" i="1" s="1"/>
  <c r="S32" i="1" s="1"/>
  <c r="AA32" i="1" s="1"/>
  <c r="N32" i="1"/>
  <c r="R32" i="1" s="1"/>
  <c r="T32" i="1" s="1"/>
  <c r="AB32" i="1" s="1"/>
  <c r="M149" i="1"/>
  <c r="Q149" i="1" s="1"/>
  <c r="S149" i="1" s="1"/>
  <c r="AA149" i="1" s="1"/>
  <c r="N149" i="1"/>
  <c r="R149" i="1" s="1"/>
  <c r="T149" i="1" s="1"/>
  <c r="AB149" i="1" s="1"/>
  <c r="M114" i="1"/>
  <c r="Q114" i="1" s="1"/>
  <c r="S114" i="1" s="1"/>
  <c r="AA114" i="1" s="1"/>
  <c r="N114" i="1"/>
  <c r="R114" i="1" s="1"/>
  <c r="T114" i="1" s="1"/>
  <c r="AB114" i="1" s="1"/>
  <c r="M151" i="1"/>
  <c r="Q151" i="1" s="1"/>
  <c r="S151" i="1" s="1"/>
  <c r="AA151" i="1" s="1"/>
  <c r="N151" i="1"/>
  <c r="R151" i="1" s="1"/>
  <c r="T151" i="1" s="1"/>
  <c r="AB151" i="1" s="1"/>
  <c r="M90" i="1"/>
  <c r="Q90" i="1" s="1"/>
  <c r="S90" i="1" s="1"/>
  <c r="AA90" i="1" s="1"/>
  <c r="N90" i="1"/>
  <c r="R90" i="1" s="1"/>
  <c r="T90" i="1" s="1"/>
  <c r="AB90" i="1" s="1"/>
  <c r="M60" i="1"/>
  <c r="Q60" i="1" s="1"/>
  <c r="S60" i="1" s="1"/>
  <c r="AA60" i="1" s="1"/>
  <c r="N60" i="1"/>
  <c r="R60" i="1" s="1"/>
  <c r="T60" i="1" s="1"/>
  <c r="AB60" i="1" s="1"/>
  <c r="M63" i="1"/>
  <c r="Q63" i="1" s="1"/>
  <c r="S63" i="1" s="1"/>
  <c r="AA63" i="1" s="1"/>
  <c r="N63" i="1"/>
  <c r="R63" i="1" s="1"/>
  <c r="T63" i="1" s="1"/>
  <c r="AB63" i="1" s="1"/>
  <c r="N85" i="1"/>
  <c r="R85" i="1" s="1"/>
  <c r="T85" i="1" s="1"/>
  <c r="AB85" i="1" s="1"/>
  <c r="M67" i="1"/>
  <c r="Q67" i="1" s="1"/>
  <c r="S67" i="1" s="1"/>
  <c r="AA67" i="1" s="1"/>
  <c r="N67" i="1"/>
  <c r="R67" i="1" s="1"/>
  <c r="T67" i="1" s="1"/>
  <c r="AB67" i="1" s="1"/>
  <c r="M50" i="1"/>
  <c r="Q50" i="1" s="1"/>
  <c r="S50" i="1" s="1"/>
  <c r="AA50" i="1" s="1"/>
  <c r="N50" i="1"/>
  <c r="R50" i="1" s="1"/>
  <c r="T50" i="1" s="1"/>
  <c r="AB50" i="1" s="1"/>
  <c r="M73" i="1"/>
  <c r="Q73" i="1" s="1"/>
  <c r="S73" i="1" s="1"/>
  <c r="AA73" i="1" s="1"/>
  <c r="N73" i="1"/>
  <c r="R73" i="1" s="1"/>
  <c r="T73" i="1" s="1"/>
  <c r="AB73" i="1" s="1"/>
  <c r="M137" i="1"/>
  <c r="Q137" i="1" s="1"/>
  <c r="S137" i="1" s="1"/>
  <c r="AA137" i="1" s="1"/>
  <c r="N137" i="1"/>
  <c r="R137" i="1" s="1"/>
  <c r="T137" i="1" s="1"/>
  <c r="AB137" i="1" s="1"/>
  <c r="M120" i="1"/>
  <c r="Q120" i="1" s="1"/>
  <c r="S120" i="1" s="1"/>
  <c r="AA120" i="1" s="1"/>
  <c r="M106" i="1"/>
  <c r="Q106" i="1" s="1"/>
  <c r="S106" i="1" s="1"/>
  <c r="AA106" i="1" s="1"/>
  <c r="N106" i="1"/>
  <c r="R106" i="1" s="1"/>
  <c r="T106" i="1" s="1"/>
  <c r="AB106" i="1" s="1"/>
  <c r="M76" i="1"/>
  <c r="Q76" i="1" s="1"/>
  <c r="S76" i="1" s="1"/>
  <c r="AA76" i="1" s="1"/>
  <c r="N76" i="1"/>
  <c r="R76" i="1" s="1"/>
  <c r="T76" i="1" s="1"/>
  <c r="AB76" i="1" s="1"/>
  <c r="M127" i="1"/>
  <c r="Q127" i="1" s="1"/>
  <c r="S127" i="1" s="1"/>
  <c r="AA127" i="1" s="1"/>
  <c r="N127" i="1"/>
  <c r="R127" i="1" s="1"/>
  <c r="T127" i="1" s="1"/>
  <c r="AB127" i="1" s="1"/>
  <c r="M33" i="1"/>
  <c r="Q33" i="1" s="1"/>
  <c r="S33" i="1" s="1"/>
  <c r="AA33" i="1" s="1"/>
  <c r="N33" i="1"/>
  <c r="R33" i="1" s="1"/>
  <c r="T33" i="1" s="1"/>
  <c r="AB33" i="1" s="1"/>
  <c r="M39" i="1"/>
  <c r="Q39" i="1" s="1"/>
  <c r="S39" i="1" s="1"/>
  <c r="AA39" i="1" s="1"/>
  <c r="N39" i="1"/>
  <c r="R39" i="1" s="1"/>
  <c r="T39" i="1" s="1"/>
  <c r="AB39" i="1" s="1"/>
  <c r="J3" i="1"/>
  <c r="L3" i="1" s="1"/>
  <c r="M72" i="1" l="1"/>
  <c r="Q72" i="1" s="1"/>
  <c r="S72" i="1" s="1"/>
  <c r="AA72" i="1" s="1"/>
  <c r="N30" i="1"/>
  <c r="R30" i="1" s="1"/>
  <c r="T30" i="1" s="1"/>
  <c r="AB30" i="1" s="1"/>
  <c r="M125" i="1"/>
  <c r="Q125" i="1" s="1"/>
  <c r="S125" i="1" s="1"/>
  <c r="AA125" i="1" s="1"/>
  <c r="N99" i="1"/>
  <c r="R99" i="1" s="1"/>
  <c r="T99" i="1" s="1"/>
  <c r="AB99" i="1" s="1"/>
  <c r="N74" i="1"/>
  <c r="R74" i="1" s="1"/>
  <c r="T74" i="1" s="1"/>
  <c r="AB74" i="1" s="1"/>
  <c r="M21" i="1"/>
  <c r="Q21" i="1" s="1"/>
  <c r="S21" i="1" s="1"/>
  <c r="AA21" i="1" s="1"/>
  <c r="N131" i="1"/>
  <c r="R131" i="1" s="1"/>
  <c r="T131" i="1" s="1"/>
  <c r="AB131" i="1" s="1"/>
  <c r="M49" i="1"/>
  <c r="Q49" i="1" s="1"/>
  <c r="S49" i="1" s="1"/>
  <c r="AA49" i="1" s="1"/>
  <c r="M87" i="1"/>
  <c r="Q87" i="1" s="1"/>
  <c r="S87" i="1" s="1"/>
  <c r="AA87" i="1" s="1"/>
  <c r="M8" i="1"/>
  <c r="Q8" i="1" s="1"/>
  <c r="S8" i="1" s="1"/>
  <c r="AA8" i="1" s="1"/>
  <c r="M59" i="1"/>
  <c r="Q59" i="1" s="1"/>
  <c r="S59" i="1" s="1"/>
  <c r="AA59" i="1" s="1"/>
  <c r="M100" i="1"/>
  <c r="Q100" i="1" s="1"/>
  <c r="S100" i="1" s="1"/>
  <c r="AA100" i="1" s="1"/>
  <c r="N142" i="1"/>
  <c r="R142" i="1" s="1"/>
  <c r="T142" i="1" s="1"/>
  <c r="AB142" i="1" s="1"/>
  <c r="N146" i="1"/>
  <c r="R146" i="1" s="1"/>
  <c r="T146" i="1" s="1"/>
  <c r="AB146" i="1" s="1"/>
  <c r="N89" i="1"/>
  <c r="R89" i="1" s="1"/>
  <c r="T89" i="1" s="1"/>
  <c r="AB89" i="1" s="1"/>
  <c r="N139" i="1"/>
  <c r="R139" i="1" s="1"/>
  <c r="T139" i="1" s="1"/>
  <c r="AB139" i="1" s="1"/>
  <c r="N138" i="1"/>
  <c r="R138" i="1" s="1"/>
  <c r="T138" i="1" s="1"/>
  <c r="AB138" i="1" s="1"/>
  <c r="N9" i="1"/>
  <c r="R9" i="1" s="1"/>
  <c r="T9" i="1" s="1"/>
  <c r="AB9" i="1" s="1"/>
  <c r="M124" i="1"/>
  <c r="Q124" i="1" s="1"/>
  <c r="S124" i="1" s="1"/>
  <c r="AA124" i="1" s="1"/>
  <c r="N62" i="1"/>
  <c r="R62" i="1" s="1"/>
  <c r="T62" i="1" s="1"/>
  <c r="AB62" i="1" s="1"/>
  <c r="M6" i="1"/>
  <c r="Q6" i="1" s="1"/>
  <c r="S6" i="1" s="1"/>
  <c r="AA6" i="1" s="1"/>
  <c r="N94" i="1"/>
  <c r="R94" i="1" s="1"/>
  <c r="T94" i="1" s="1"/>
  <c r="AB94" i="1" s="1"/>
  <c r="M101" i="1"/>
  <c r="Q101" i="1" s="1"/>
  <c r="S101" i="1" s="1"/>
  <c r="AA101" i="1" s="1"/>
  <c r="N118" i="1"/>
  <c r="R118" i="1" s="1"/>
  <c r="T118" i="1" s="1"/>
  <c r="AB118" i="1" s="1"/>
  <c r="N96" i="1"/>
  <c r="R96" i="1" s="1"/>
  <c r="T96" i="1" s="1"/>
  <c r="AB96" i="1" s="1"/>
  <c r="M14" i="1"/>
  <c r="Q14" i="1" s="1"/>
  <c r="S14" i="1" s="1"/>
  <c r="AA14" i="1" s="1"/>
  <c r="N5" i="1"/>
  <c r="R5" i="1" s="1"/>
  <c r="T5" i="1" s="1"/>
  <c r="AB5" i="1" s="1"/>
  <c r="M104" i="1"/>
  <c r="Q104" i="1" s="1"/>
  <c r="S104" i="1" s="1"/>
  <c r="AA104" i="1" s="1"/>
  <c r="M82" i="1"/>
  <c r="Q82" i="1" s="1"/>
  <c r="S82" i="1" s="1"/>
  <c r="AA82" i="1" s="1"/>
  <c r="N47" i="1"/>
  <c r="R47" i="1" s="1"/>
  <c r="T47" i="1" s="1"/>
  <c r="AB47" i="1" s="1"/>
  <c r="M78" i="1"/>
  <c r="Q78" i="1" s="1"/>
  <c r="S78" i="1" s="1"/>
  <c r="AA78" i="1" s="1"/>
  <c r="N7" i="1"/>
  <c r="R7" i="1" s="1"/>
  <c r="T7" i="1" s="1"/>
  <c r="AB7" i="1" s="1"/>
  <c r="N41" i="1"/>
  <c r="R41" i="1" s="1"/>
  <c r="T41" i="1" s="1"/>
  <c r="AB41" i="1" s="1"/>
  <c r="N148" i="1"/>
  <c r="R148" i="1" s="1"/>
  <c r="T148" i="1" s="1"/>
  <c r="AB148" i="1" s="1"/>
  <c r="M111" i="1"/>
  <c r="Q111" i="1" s="1"/>
  <c r="S111" i="1" s="1"/>
  <c r="AA111" i="1" s="1"/>
  <c r="N141" i="1"/>
  <c r="R141" i="1" s="1"/>
  <c r="T141" i="1" s="1"/>
  <c r="AB141" i="1" s="1"/>
  <c r="N129" i="1"/>
  <c r="R129" i="1" s="1"/>
  <c r="T129" i="1" s="1"/>
  <c r="AB129" i="1" s="1"/>
  <c r="N103" i="1"/>
  <c r="R103" i="1" s="1"/>
  <c r="T103" i="1" s="1"/>
  <c r="AB103" i="1" s="1"/>
  <c r="M112" i="1"/>
  <c r="Q112" i="1" s="1"/>
  <c r="S112" i="1" s="1"/>
  <c r="AA112" i="1" s="1"/>
  <c r="N11" i="1"/>
  <c r="R11" i="1" s="1"/>
  <c r="T11" i="1" s="1"/>
  <c r="AB11" i="1" s="1"/>
  <c r="N43" i="1"/>
  <c r="R43" i="1" s="1"/>
  <c r="T43" i="1" s="1"/>
  <c r="AB43" i="1" s="1"/>
  <c r="M52" i="1"/>
  <c r="Q52" i="1" s="1"/>
  <c r="S52" i="1" s="1"/>
  <c r="AA52" i="1" s="1"/>
  <c r="N75" i="1"/>
  <c r="R75" i="1" s="1"/>
  <c r="T75" i="1" s="1"/>
  <c r="AB75" i="1" s="1"/>
  <c r="N144" i="1"/>
  <c r="R144" i="1" s="1"/>
  <c r="T144" i="1" s="1"/>
  <c r="AB144" i="1" s="1"/>
  <c r="M66" i="1"/>
  <c r="Q66" i="1" s="1"/>
  <c r="S66" i="1" s="1"/>
  <c r="AA66" i="1" s="1"/>
  <c r="M17" i="1"/>
  <c r="Q17" i="1" s="1"/>
  <c r="S17" i="1" s="1"/>
  <c r="AA17" i="1" s="1"/>
  <c r="N98" i="1"/>
  <c r="R98" i="1" s="1"/>
  <c r="T98" i="1" s="1"/>
  <c r="AB98" i="1" s="1"/>
  <c r="N38" i="1"/>
  <c r="R38" i="1" s="1"/>
  <c r="T38" i="1" s="1"/>
  <c r="AB38" i="1" s="1"/>
  <c r="N134" i="1"/>
  <c r="R134" i="1" s="1"/>
  <c r="T134" i="1" s="1"/>
  <c r="AB134" i="1" s="1"/>
  <c r="N97" i="1"/>
  <c r="R97" i="1" s="1"/>
  <c r="T97" i="1" s="1"/>
  <c r="AB97" i="1" s="1"/>
  <c r="N153" i="1"/>
  <c r="R153" i="1" s="1"/>
  <c r="T153" i="1" s="1"/>
  <c r="AB153" i="1" s="1"/>
  <c r="M46" i="1"/>
  <c r="Q46" i="1" s="1"/>
  <c r="S46" i="1" s="1"/>
  <c r="AA46" i="1" s="1"/>
  <c r="M77" i="1"/>
  <c r="Q77" i="1" s="1"/>
  <c r="S77" i="1" s="1"/>
  <c r="AA77" i="1" s="1"/>
  <c r="N84" i="1"/>
  <c r="R84" i="1" s="1"/>
  <c r="T84" i="1" s="1"/>
  <c r="AB84" i="1" s="1"/>
  <c r="N123" i="1"/>
  <c r="R123" i="1" s="1"/>
  <c r="T123" i="1" s="1"/>
  <c r="AB123" i="1" s="1"/>
  <c r="M22" i="1"/>
  <c r="Q22" i="1" s="1"/>
  <c r="S22" i="1" s="1"/>
  <c r="AA22" i="1" s="1"/>
  <c r="M69" i="1"/>
  <c r="Q69" i="1" s="1"/>
  <c r="S69" i="1" s="1"/>
  <c r="AA69" i="1" s="1"/>
  <c r="M150" i="1"/>
  <c r="Q150" i="1" s="1"/>
  <c r="S150" i="1" s="1"/>
  <c r="AA150" i="1" s="1"/>
  <c r="M80" i="1"/>
  <c r="Q80" i="1" s="1"/>
  <c r="S80" i="1" s="1"/>
  <c r="AA80" i="1" s="1"/>
  <c r="M133" i="1"/>
  <c r="Q133" i="1" s="1"/>
  <c r="S133" i="1" s="1"/>
  <c r="AA133" i="1" s="1"/>
  <c r="N95" i="1"/>
  <c r="R95" i="1" s="1"/>
  <c r="T95" i="1" s="1"/>
  <c r="AB95" i="1" s="1"/>
  <c r="N135" i="1"/>
  <c r="R135" i="1" s="1"/>
  <c r="T135" i="1" s="1"/>
  <c r="AB135" i="1" s="1"/>
  <c r="N54" i="1"/>
  <c r="R54" i="1" s="1"/>
  <c r="T54" i="1" s="1"/>
  <c r="AB54" i="1" s="1"/>
  <c r="N130" i="1"/>
  <c r="R130" i="1" s="1"/>
  <c r="T130" i="1" s="1"/>
  <c r="AB130" i="1" s="1"/>
  <c r="N31" i="1"/>
  <c r="R31" i="1" s="1"/>
  <c r="T31" i="1" s="1"/>
  <c r="AB31" i="1" s="1"/>
  <c r="M116" i="1"/>
  <c r="N126" i="1"/>
  <c r="R126" i="1" s="1"/>
  <c r="T126" i="1" s="1"/>
  <c r="AB126" i="1" s="1"/>
  <c r="N16" i="1"/>
  <c r="R16" i="1" s="1"/>
  <c r="T16" i="1" s="1"/>
  <c r="AB16" i="1" s="1"/>
  <c r="N79" i="1"/>
  <c r="R79" i="1" s="1"/>
  <c r="T79" i="1" s="1"/>
  <c r="AB79" i="1" s="1"/>
  <c r="N117" i="1"/>
  <c r="R117" i="1" s="1"/>
  <c r="T117" i="1" s="1"/>
  <c r="AB117" i="1" s="1"/>
  <c r="N18" i="1"/>
  <c r="R18" i="1" s="1"/>
  <c r="T18" i="1" s="1"/>
  <c r="AB18" i="1" s="1"/>
  <c r="N143" i="1"/>
  <c r="R143" i="1" s="1"/>
  <c r="T143" i="1" s="1"/>
  <c r="AB143" i="1" s="1"/>
  <c r="N122" i="1"/>
  <c r="R122" i="1" s="1"/>
  <c r="T122" i="1" s="1"/>
  <c r="AB122" i="1" s="1"/>
  <c r="N57" i="1"/>
  <c r="R57" i="1" s="1"/>
  <c r="T57" i="1" s="1"/>
  <c r="AB57" i="1" s="1"/>
  <c r="N34" i="1"/>
  <c r="R34" i="1" s="1"/>
  <c r="T34" i="1" s="1"/>
  <c r="AB34" i="1" s="1"/>
  <c r="N71" i="1"/>
  <c r="R71" i="1" s="1"/>
  <c r="T71" i="1" s="1"/>
  <c r="AB71" i="1" s="1"/>
  <c r="N108" i="1"/>
  <c r="R108" i="1" s="1"/>
  <c r="T108" i="1" s="1"/>
  <c r="AB108" i="1" s="1"/>
  <c r="O151" i="1"/>
  <c r="P151" i="1" s="1"/>
  <c r="O32" i="1"/>
  <c r="P32" i="1" s="1"/>
  <c r="O114" i="1"/>
  <c r="P114" i="1" s="1"/>
  <c r="O33" i="1"/>
  <c r="P33" i="1" s="1"/>
  <c r="O148" i="1"/>
  <c r="P148" i="1" s="1"/>
  <c r="O119" i="1"/>
  <c r="P119" i="1" s="1"/>
  <c r="O65" i="1"/>
  <c r="P65" i="1" s="1"/>
  <c r="O127" i="1"/>
  <c r="P127" i="1" s="1"/>
  <c r="O90" i="1"/>
  <c r="P90" i="1" s="1"/>
  <c r="O72" i="1"/>
  <c r="P72" i="1" s="1"/>
  <c r="O110" i="1"/>
  <c r="P110" i="1" s="1"/>
  <c r="O40" i="1"/>
  <c r="P40" i="1" s="1"/>
  <c r="O24" i="1"/>
  <c r="P24" i="1" s="1"/>
  <c r="O83" i="1"/>
  <c r="P83" i="1" s="1"/>
  <c r="O91" i="1"/>
  <c r="P91" i="1" s="1"/>
  <c r="O81" i="1"/>
  <c r="P81" i="1" s="1"/>
  <c r="O128" i="1"/>
  <c r="P128" i="1" s="1"/>
  <c r="O74" i="1"/>
  <c r="P74" i="1" s="1"/>
  <c r="O50" i="1"/>
  <c r="P50" i="1" s="1"/>
  <c r="O60" i="1"/>
  <c r="P60" i="1" s="1"/>
  <c r="O88" i="1"/>
  <c r="P88" i="1" s="1"/>
  <c r="O100" i="1"/>
  <c r="P100" i="1" s="1"/>
  <c r="O58" i="1"/>
  <c r="P58" i="1" s="1"/>
  <c r="O94" i="1"/>
  <c r="P94" i="1" s="1"/>
  <c r="O56" i="1"/>
  <c r="P56" i="1" s="1"/>
  <c r="O26" i="1"/>
  <c r="P26" i="1" s="1"/>
  <c r="O64" i="1"/>
  <c r="P64" i="1" s="1"/>
  <c r="O113" i="1"/>
  <c r="P113" i="1" s="1"/>
  <c r="O61" i="1"/>
  <c r="P61" i="1" s="1"/>
  <c r="O36" i="1"/>
  <c r="P36" i="1" s="1"/>
  <c r="O44" i="1"/>
  <c r="P44" i="1" s="1"/>
  <c r="O23" i="1"/>
  <c r="P23" i="1" s="1"/>
  <c r="O4" i="1"/>
  <c r="P4" i="1" s="1"/>
  <c r="O63" i="1"/>
  <c r="P63" i="1" s="1"/>
  <c r="O97" i="1"/>
  <c r="P97" i="1" s="1"/>
  <c r="O99" i="1"/>
  <c r="P99" i="1" s="1"/>
  <c r="O149" i="1"/>
  <c r="P149" i="1" s="1"/>
  <c r="O76" i="1"/>
  <c r="P76" i="1" s="1"/>
  <c r="O142" i="1"/>
  <c r="P142" i="1" s="1"/>
  <c r="O87" i="1"/>
  <c r="P87" i="1" s="1"/>
  <c r="O107" i="1"/>
  <c r="P107" i="1" s="1"/>
  <c r="O55" i="1"/>
  <c r="P55" i="1" s="1"/>
  <c r="O20" i="1"/>
  <c r="P20" i="1" s="1"/>
  <c r="O8" i="1"/>
  <c r="P8" i="1" s="1"/>
  <c r="O28" i="1"/>
  <c r="P28" i="1" s="1"/>
  <c r="O102" i="1"/>
  <c r="P102" i="1" s="1"/>
  <c r="O140" i="1"/>
  <c r="P140" i="1" s="1"/>
  <c r="O73" i="1"/>
  <c r="P73" i="1" s="1"/>
  <c r="O42" i="1"/>
  <c r="P42" i="1" s="1"/>
  <c r="O106" i="1"/>
  <c r="P106" i="1" s="1"/>
  <c r="O147" i="1"/>
  <c r="P147" i="1" s="1"/>
  <c r="O29" i="1"/>
  <c r="P29" i="1" s="1"/>
  <c r="O30" i="1"/>
  <c r="P30" i="1" s="1"/>
  <c r="O95" i="1"/>
  <c r="P95" i="1" s="1"/>
  <c r="O45" i="1"/>
  <c r="P45" i="1" s="1"/>
  <c r="O70" i="1"/>
  <c r="P70" i="1" s="1"/>
  <c r="O154" i="1"/>
  <c r="P154" i="1" s="1"/>
  <c r="O138" i="1"/>
  <c r="P138" i="1" s="1"/>
  <c r="O92" i="1"/>
  <c r="P92" i="1" s="1"/>
  <c r="O132" i="1"/>
  <c r="P132" i="1" s="1"/>
  <c r="O68" i="1"/>
  <c r="P68" i="1" s="1"/>
  <c r="O131" i="1"/>
  <c r="P131" i="1" s="1"/>
  <c r="O120" i="1"/>
  <c r="P120" i="1" s="1"/>
  <c r="O96" i="1"/>
  <c r="P96" i="1" s="1"/>
  <c r="O86" i="1"/>
  <c r="P86" i="1" s="1"/>
  <c r="O156" i="1"/>
  <c r="P156" i="1" s="1"/>
  <c r="O37" i="1"/>
  <c r="P37" i="1" s="1"/>
  <c r="O121" i="1"/>
  <c r="P121" i="1" s="1"/>
  <c r="O77" i="1"/>
  <c r="P77" i="1" s="1"/>
  <c r="O48" i="1"/>
  <c r="P48" i="1" s="1"/>
  <c r="O59" i="1"/>
  <c r="P59" i="1" s="1"/>
  <c r="O152" i="1"/>
  <c r="P152" i="1" s="1"/>
  <c r="O136" i="1"/>
  <c r="P136" i="1" s="1"/>
  <c r="O14" i="1"/>
  <c r="P14" i="1" s="1"/>
  <c r="O155" i="1"/>
  <c r="P155" i="1" s="1"/>
  <c r="O39" i="1"/>
  <c r="P39" i="1" s="1"/>
  <c r="O137" i="1"/>
  <c r="P137" i="1" s="1"/>
  <c r="O67" i="1"/>
  <c r="P67" i="1" s="1"/>
  <c r="O141" i="1"/>
  <c r="P141" i="1" s="1"/>
  <c r="O115" i="1"/>
  <c r="P115" i="1" s="1"/>
  <c r="O53" i="1"/>
  <c r="P53" i="1" s="1"/>
  <c r="O109" i="1"/>
  <c r="P109" i="1" s="1"/>
  <c r="O27" i="1"/>
  <c r="P27" i="1" s="1"/>
  <c r="O10" i="1"/>
  <c r="P10" i="1" s="1"/>
  <c r="O145" i="1"/>
  <c r="P145" i="1" s="1"/>
  <c r="O13" i="1"/>
  <c r="P13" i="1" s="1"/>
  <c r="O15" i="1"/>
  <c r="P15" i="1" s="1"/>
  <c r="O9" i="1"/>
  <c r="P9" i="1" s="1"/>
  <c r="O105" i="1"/>
  <c r="P105" i="1" s="1"/>
  <c r="O85" i="1"/>
  <c r="P85" i="1" s="1"/>
  <c r="O6" i="1"/>
  <c r="P6" i="1" s="1"/>
  <c r="O12" i="1"/>
  <c r="P12" i="1" s="1"/>
  <c r="O25" i="1"/>
  <c r="P25" i="1" s="1"/>
  <c r="O125" i="1"/>
  <c r="P125" i="1" s="1"/>
  <c r="O124" i="1"/>
  <c r="P124" i="1" s="1"/>
  <c r="O93" i="1"/>
  <c r="P93" i="1" s="1"/>
  <c r="O19" i="1"/>
  <c r="P19" i="1" s="1"/>
  <c r="O51" i="1"/>
  <c r="P51" i="1" s="1"/>
  <c r="O35" i="1"/>
  <c r="P35" i="1" s="1"/>
  <c r="M3" i="1"/>
  <c r="Q3" i="1" s="1"/>
  <c r="S3" i="1" s="1"/>
  <c r="AA3" i="1" s="1"/>
  <c r="N3" i="1"/>
  <c r="R3" i="1" s="1"/>
  <c r="T3" i="1" s="1"/>
  <c r="AB3" i="1" s="1"/>
  <c r="O139" i="1" l="1"/>
  <c r="P139" i="1" s="1"/>
  <c r="O49" i="1"/>
  <c r="P49" i="1" s="1"/>
  <c r="O21" i="1"/>
  <c r="P21" i="1" s="1"/>
  <c r="O89" i="1"/>
  <c r="P89" i="1" s="1"/>
  <c r="O146" i="1"/>
  <c r="P146" i="1" s="1"/>
  <c r="O66" i="1"/>
  <c r="P66" i="1" s="1"/>
  <c r="O129" i="1"/>
  <c r="P129" i="1" s="1"/>
  <c r="O47" i="1"/>
  <c r="P47" i="1" s="1"/>
  <c r="O82" i="1"/>
  <c r="P82" i="1" s="1"/>
  <c r="O52" i="1"/>
  <c r="P52" i="1" s="1"/>
  <c r="O150" i="1"/>
  <c r="P150" i="1" s="1"/>
  <c r="O116" i="1"/>
  <c r="P116" i="1" s="1"/>
  <c r="Q116" i="1"/>
  <c r="S116" i="1" s="1"/>
  <c r="AA116" i="1" s="1"/>
  <c r="O98" i="1"/>
  <c r="P98" i="1" s="1"/>
  <c r="O84" i="1"/>
  <c r="P84" i="1" s="1"/>
  <c r="O18" i="1"/>
  <c r="P18" i="1" s="1"/>
  <c r="O101" i="1"/>
  <c r="P101" i="1" s="1"/>
  <c r="O103" i="1"/>
  <c r="P103" i="1" s="1"/>
  <c r="O7" i="1"/>
  <c r="P7" i="1" s="1"/>
  <c r="O130" i="1"/>
  <c r="P130" i="1" s="1"/>
  <c r="O71" i="1"/>
  <c r="P71" i="1" s="1"/>
  <c r="O143" i="1"/>
  <c r="P143" i="1" s="1"/>
  <c r="O135" i="1"/>
  <c r="P135" i="1" s="1"/>
  <c r="O117" i="1"/>
  <c r="P117" i="1" s="1"/>
  <c r="O16" i="1"/>
  <c r="P16" i="1" s="1"/>
  <c r="O11" i="1"/>
  <c r="P11" i="1" s="1"/>
  <c r="O122" i="1"/>
  <c r="P122" i="1" s="1"/>
  <c r="O126" i="1"/>
  <c r="P126" i="1" s="1"/>
  <c r="O118" i="1"/>
  <c r="P118" i="1" s="1"/>
  <c r="O79" i="1"/>
  <c r="P79" i="1" s="1"/>
  <c r="O41" i="1"/>
  <c r="P41" i="1" s="1"/>
  <c r="O5" i="1"/>
  <c r="P5" i="1" s="1"/>
  <c r="O123" i="1"/>
  <c r="P123" i="1" s="1"/>
  <c r="O144" i="1"/>
  <c r="P144" i="1" s="1"/>
  <c r="O104" i="1"/>
  <c r="P104" i="1" s="1"/>
  <c r="O78" i="1"/>
  <c r="P78" i="1" s="1"/>
  <c r="O46" i="1"/>
  <c r="P46" i="1" s="1"/>
  <c r="O133" i="1"/>
  <c r="P133" i="1" s="1"/>
  <c r="O62" i="1"/>
  <c r="P62" i="1" s="1"/>
  <c r="O111" i="1"/>
  <c r="P111" i="1" s="1"/>
  <c r="O75" i="1"/>
  <c r="P75" i="1" s="1"/>
  <c r="O153" i="1"/>
  <c r="P153" i="1" s="1"/>
  <c r="O80" i="1"/>
  <c r="P80" i="1" s="1"/>
  <c r="O43" i="1"/>
  <c r="P43" i="1" s="1"/>
  <c r="O112" i="1"/>
  <c r="P112" i="1" s="1"/>
  <c r="O22" i="1"/>
  <c r="P22" i="1" s="1"/>
  <c r="O54" i="1"/>
  <c r="P54" i="1" s="1"/>
  <c r="O38" i="1"/>
  <c r="P38" i="1" s="1"/>
  <c r="O17" i="1"/>
  <c r="P17" i="1" s="1"/>
  <c r="O31" i="1"/>
  <c r="P31" i="1" s="1"/>
  <c r="O134" i="1"/>
  <c r="P134" i="1" s="1"/>
  <c r="O69" i="1"/>
  <c r="P69" i="1" s="1"/>
  <c r="O108" i="1"/>
  <c r="P108" i="1" s="1"/>
  <c r="O34" i="1"/>
  <c r="P34" i="1" s="1"/>
  <c r="O57" i="1"/>
  <c r="P57" i="1" s="1"/>
  <c r="O3" i="1"/>
  <c r="P3" i="1" s="1"/>
</calcChain>
</file>

<file path=xl/sharedStrings.xml><?xml version="1.0" encoding="utf-8"?>
<sst xmlns="http://schemas.openxmlformats.org/spreadsheetml/2006/main" count="200" uniqueCount="200">
  <si>
    <t>Plane</t>
  </si>
  <si>
    <t>Annual travels, max</t>
  </si>
  <si>
    <t>Annual profit</t>
  </si>
  <si>
    <t>Running cost</t>
  </si>
  <si>
    <t>Zeppelin NT</t>
  </si>
  <si>
    <t>Minbaserange</t>
  </si>
  <si>
    <t>ERJ 135</t>
  </si>
  <si>
    <t>minaddmultirange</t>
  </si>
  <si>
    <t>Dash 8-100</t>
  </si>
  <si>
    <t>rangemultipl</t>
  </si>
  <si>
    <t>Dash 8-200Q</t>
  </si>
  <si>
    <t>rangemultiplsmalladd</t>
  </si>
  <si>
    <t>Zeppelin</t>
  </si>
  <si>
    <t>ERJ 140</t>
  </si>
  <si>
    <t>late delivery, days</t>
  </si>
  <si>
    <t>42-300</t>
  </si>
  <si>
    <t>early delivery, days</t>
  </si>
  <si>
    <t>42-500</t>
  </si>
  <si>
    <t>CRJ 100ER</t>
  </si>
  <si>
    <t>CRJ 100LR</t>
  </si>
  <si>
    <t>CRJ 200ER</t>
  </si>
  <si>
    <t>CRJ 200LR</t>
  </si>
  <si>
    <t>Dash 8-300</t>
  </si>
  <si>
    <t>Dash 8-300Q</t>
  </si>
  <si>
    <t>ERJ 145 (EP,EU, MP)</t>
  </si>
  <si>
    <t>Ground time days per travel</t>
  </si>
  <si>
    <t>ERJ 145 LR</t>
  </si>
  <si>
    <t>ERJ 145 XR</t>
  </si>
  <si>
    <t>F50</t>
  </si>
  <si>
    <t>Tu124</t>
  </si>
  <si>
    <t>CRJ 700</t>
  </si>
  <si>
    <t>CRJ 700ER</t>
  </si>
  <si>
    <t>72-200</t>
  </si>
  <si>
    <t>72-500</t>
  </si>
  <si>
    <t>1-11-200</t>
  </si>
  <si>
    <t>1-11-300</t>
  </si>
  <si>
    <t>Dash 8-400Q</t>
  </si>
  <si>
    <t>E170 STD</t>
  </si>
  <si>
    <t>E170 LR</t>
  </si>
  <si>
    <t>E170 AR</t>
  </si>
  <si>
    <t>F70</t>
  </si>
  <si>
    <t>Caravelle III</t>
  </si>
  <si>
    <t>Tu104</t>
  </si>
  <si>
    <t>Tu134</t>
  </si>
  <si>
    <t>L049 Constellation</t>
  </si>
  <si>
    <t>B737-100</t>
  </si>
  <si>
    <t>E175 STD</t>
  </si>
  <si>
    <t>E175 LR</t>
  </si>
  <si>
    <t>E175 AR</t>
  </si>
  <si>
    <t>CRJ 900</t>
  </si>
  <si>
    <t>CRJ 900ER</t>
  </si>
  <si>
    <t>CRJ 900LR</t>
  </si>
  <si>
    <t>1-11-400</t>
  </si>
  <si>
    <t>DC9-10</t>
  </si>
  <si>
    <t>DC9-20</t>
  </si>
  <si>
    <t>146-100/ARJ70</t>
  </si>
  <si>
    <t>B737-200</t>
  </si>
  <si>
    <t>Concorde</t>
  </si>
  <si>
    <t>CRJ 1000</t>
  </si>
  <si>
    <t>CRJ 1000EL</t>
  </si>
  <si>
    <t>CRJ 1000ER</t>
  </si>
  <si>
    <t>E190 STD</t>
  </si>
  <si>
    <t>E190 LR</t>
  </si>
  <si>
    <t>E190 AR</t>
  </si>
  <si>
    <t>A318</t>
  </si>
  <si>
    <t>F100</t>
  </si>
  <si>
    <t>B737-500</t>
  </si>
  <si>
    <t>B737-600</t>
  </si>
  <si>
    <t>146-200/ARJ85</t>
  </si>
  <si>
    <t>DC9-30</t>
  </si>
  <si>
    <t>B717-200</t>
  </si>
  <si>
    <t>E195 STD</t>
  </si>
  <si>
    <t>E195 LR</t>
  </si>
  <si>
    <t>E195 AR</t>
  </si>
  <si>
    <t>1-11-500</t>
  </si>
  <si>
    <t>A319</t>
  </si>
  <si>
    <t>DC9-40</t>
  </si>
  <si>
    <t>146-300/ARJ100</t>
  </si>
  <si>
    <t>B737-300</t>
  </si>
  <si>
    <t>B737-700</t>
  </si>
  <si>
    <t>MD87</t>
  </si>
  <si>
    <t>B727-100</t>
  </si>
  <si>
    <t>DC9-50</t>
  </si>
  <si>
    <t>A319neo</t>
  </si>
  <si>
    <t>B720 (B707-020)</t>
  </si>
  <si>
    <t>Tu144</t>
  </si>
  <si>
    <t>B737-400</t>
  </si>
  <si>
    <t>B727-200</t>
  </si>
  <si>
    <t>B707-120</t>
  </si>
  <si>
    <t>A320-100</t>
  </si>
  <si>
    <t>A320-200</t>
  </si>
  <si>
    <t>Tu154</t>
  </si>
  <si>
    <t>MD81</t>
  </si>
  <si>
    <t>MD82</t>
  </si>
  <si>
    <t>MD83</t>
  </si>
  <si>
    <t>MD88</t>
  </si>
  <si>
    <t>MD90</t>
  </si>
  <si>
    <t>B737-800</t>
  </si>
  <si>
    <t>B737MAX 8</t>
  </si>
  <si>
    <t>A320neo</t>
  </si>
  <si>
    <t>Il62</t>
  </si>
  <si>
    <t>Tu204</t>
  </si>
  <si>
    <t>Tu214</t>
  </si>
  <si>
    <t>DC-8-10</t>
  </si>
  <si>
    <t>DC-8-20</t>
  </si>
  <si>
    <t>DC-8-30</t>
  </si>
  <si>
    <t>DC-8-40</t>
  </si>
  <si>
    <t>B737-900</t>
  </si>
  <si>
    <t>B737-900ER</t>
  </si>
  <si>
    <t>B767-200</t>
  </si>
  <si>
    <t>A321-100</t>
  </si>
  <si>
    <t>A321-200</t>
  </si>
  <si>
    <t>B707-320</t>
  </si>
  <si>
    <t>B707-420</t>
  </si>
  <si>
    <t>DC-8-50</t>
  </si>
  <si>
    <t>B757-200</t>
  </si>
  <si>
    <t>A321neo</t>
  </si>
  <si>
    <t>A310-200</t>
  </si>
  <si>
    <t>A310-300</t>
  </si>
  <si>
    <t>B767-300ER</t>
  </si>
  <si>
    <t>A300B2</t>
  </si>
  <si>
    <t>A300B4</t>
  </si>
  <si>
    <t>A300-600</t>
  </si>
  <si>
    <t>A300-600R</t>
  </si>
  <si>
    <t>B747SP</t>
  </si>
  <si>
    <t>A340-200</t>
  </si>
  <si>
    <t>B787-8</t>
  </si>
  <si>
    <t>B757-300</t>
  </si>
  <si>
    <t>B747-300M</t>
  </si>
  <si>
    <t>B767-400ER</t>
  </si>
  <si>
    <t>A330-200</t>
  </si>
  <si>
    <t>DC10-10</t>
  </si>
  <si>
    <t>DC10-30</t>
  </si>
  <si>
    <t>DC10-40</t>
  </si>
  <si>
    <t>Il96</t>
  </si>
  <si>
    <t>B747-400M</t>
  </si>
  <si>
    <t>B767-300</t>
  </si>
  <si>
    <t>A350-800</t>
  </si>
  <si>
    <t>B787-9</t>
  </si>
  <si>
    <t>MD11</t>
  </si>
  <si>
    <t>A330-300</t>
  </si>
  <si>
    <t>A340-300</t>
  </si>
  <si>
    <t>A340-500</t>
  </si>
  <si>
    <t>A350-900</t>
  </si>
  <si>
    <t>A350-900R</t>
  </si>
  <si>
    <t>B777-200</t>
  </si>
  <si>
    <t>B777-200ER</t>
  </si>
  <si>
    <t>A350-1000</t>
  </si>
  <si>
    <t>B777-200LR</t>
  </si>
  <si>
    <t>Il86</t>
  </si>
  <si>
    <t>B747-100</t>
  </si>
  <si>
    <t>B747-200</t>
  </si>
  <si>
    <t>A340-600</t>
  </si>
  <si>
    <t>B747-100SUD</t>
  </si>
  <si>
    <t>B747-200SUD</t>
  </si>
  <si>
    <t>B777-300ER</t>
  </si>
  <si>
    <t>B747-300</t>
  </si>
  <si>
    <t>B747-400</t>
  </si>
  <si>
    <t>B777-300</t>
  </si>
  <si>
    <t>B747-8</t>
  </si>
  <si>
    <t>B747-400D</t>
  </si>
  <si>
    <t>A380-800</t>
  </si>
  <si>
    <t>A380-900</t>
  </si>
  <si>
    <t>test</t>
  </si>
  <si>
    <t>ROI, % lifetime</t>
  </si>
  <si>
    <t>Total cost</t>
  </si>
  <si>
    <t>Economy factor</t>
  </si>
  <si>
    <t>test2</t>
  </si>
  <si>
    <t>Capacity</t>
  </si>
  <si>
    <t>payment rate</t>
  </si>
  <si>
    <t>formula_vsig_time</t>
  </si>
  <si>
    <t>Time factor</t>
  </si>
  <si>
    <t>Income per travel</t>
  </si>
  <si>
    <t>GBP_to_Currency</t>
  </si>
  <si>
    <t>cost factor</t>
  </si>
  <si>
    <t>runningcost factor</t>
  </si>
  <si>
    <t>Running cost weight</t>
  </si>
  <si>
    <t>IG running cost factor</t>
  </si>
  <si>
    <t>Buying cost</t>
  </si>
  <si>
    <t>Profit</t>
  </si>
  <si>
    <t>IG buying cost factor</t>
  </si>
  <si>
    <t>Speed</t>
  </si>
  <si>
    <t>Base range</t>
  </si>
  <si>
    <t>Range</t>
  </si>
  <si>
    <t>In_game_life</t>
  </si>
  <si>
    <t>ge_travel_time</t>
  </si>
  <si>
    <t>Travel_time</t>
  </si>
  <si>
    <t>days</t>
  </si>
  <si>
    <t>Buying/distance</t>
  </si>
  <si>
    <t>Running/distance</t>
  </si>
  <si>
    <t>Newgrf cost factor</t>
  </si>
  <si>
    <t>in-game cost</t>
  </si>
  <si>
    <t>multiplier</t>
  </si>
  <si>
    <t>Newgrf running factor</t>
  </si>
  <si>
    <t>in-game running</t>
  </si>
  <si>
    <t>mulpilier</t>
  </si>
  <si>
    <t>buying_cost_convert</t>
  </si>
  <si>
    <t>running_cost_convert</t>
  </si>
  <si>
    <t>test running</t>
  </si>
  <si>
    <t>test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</si>
</sst>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_-;\-* #,##0_-;_-* \-??_-;_-@_-"/>
    <numFmt numFmtId="166" formatCode="#,##0.0"/>
  </numFmts>
  <fonts count="5" x14ac:knownFonts="1"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theme="0" tint="-0.49998474074526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165" fontId="3" fillId="0" borderId="0" xfId="1" applyNumberFormat="1" applyBorder="1" applyProtection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5" fontId="3" fillId="0" borderId="4" xfId="1" applyNumberFormat="1" applyBorder="1" applyAlignment="1" applyProtection="1">
      <alignment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4" fontId="3" fillId="0" borderId="0" xfId="1" applyNumberFormat="1" applyBorder="1" applyProtection="1"/>
    <xf numFmtId="0" fontId="1" fillId="0" borderId="1" xfId="0" applyFont="1" applyBorder="1" applyProtection="1">
      <protection locked="0"/>
    </xf>
    <xf numFmtId="0" fontId="1" fillId="0" borderId="1" xfId="0" applyFont="1" applyBorder="1"/>
    <xf numFmtId="0" fontId="2" fillId="0" borderId="0" xfId="0" applyFont="1"/>
    <xf numFmtId="4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/>
    <xf numFmtId="165" fontId="3" fillId="0" borderId="0" xfId="1" applyNumberFormat="1"/>
    <xf numFmtId="3" fontId="3" fillId="0" borderId="0" xfId="1" applyNumberFormat="1" applyBorder="1" applyProtection="1"/>
    <xf numFmtId="165" fontId="3" fillId="0" borderId="4" xfId="1" applyNumberFormat="1" applyBorder="1" applyAlignment="1">
      <alignment wrapText="1"/>
    </xf>
    <xf numFmtId="166" fontId="3" fillId="0" borderId="0" xfId="1" applyNumberFormat="1" applyBorder="1" applyProtection="1"/>
    <xf numFmtId="164" fontId="3" fillId="0" borderId="0" xfId="1" applyNumberFormat="1"/>
    <xf numFmtId="10" fontId="3" fillId="0" borderId="0" xfId="2" applyNumberFormat="1"/>
  </cellXfs>
  <cellStyles count="3">
    <cellStyle name="Comma" xfId="1" builtinId="3"/>
    <cellStyle name="Normal" xfId="0" builtinId="0"/>
    <cellStyle name="Percent" xfId="2" builtinId="5"/>
  </cellStyles>
  <dxfs count="26">
    <dxf>
      <numFmt numFmtId="165" formatCode="_-* #,##0_-;\-* #,##0_-;_-* \-??_-;_-@_-"/>
    </dxf>
    <dxf>
      <numFmt numFmtId="165" formatCode="_-* #,##0_-;\-* #,##0_-;_-* \-??_-;_-@_-"/>
    </dxf>
    <dxf>
      <fill>
        <patternFill>
          <bgColor theme="9" tint="0.39988402966399123"/>
        </patternFill>
      </fill>
    </dxf>
    <dxf>
      <fill>
        <patternFill>
          <bgColor theme="9" tint="0.39988402966399123"/>
        </patternFill>
      </fill>
    </dxf>
    <dxf>
      <numFmt numFmtId="164" formatCode="_-* #,##0.00_-;\-* #,##0.00_-;_-* \-??_-;_-@_-"/>
    </dxf>
    <dxf>
      <numFmt numFmtId="164" formatCode="_-* #,##0.00_-;\-* #,##0.00_-;_-* \-??_-;_-@_-"/>
    </dxf>
    <dxf>
      <numFmt numFmtId="164" formatCode="_-* #,##0.00_-;\-* #,##0.00_-;_-* \-??_-;_-@_-"/>
    </dxf>
    <dxf>
      <numFmt numFmtId="164" formatCode="_-* #,##0.00_-;\-* #,##0.0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165" formatCode="_-* #,##0_-;\-* #,##0_-;_-* \-??_-;_-@_-"/>
    </dxf>
    <dxf>
      <numFmt numFmtId="4" formatCode="#,##0.00"/>
    </dxf>
    <dxf>
      <numFmt numFmtId="165" formatCode="_-* #,##0_-;\-* #,##0_-;_-* \-??_-;_-@_-"/>
    </dxf>
    <dxf>
      <numFmt numFmtId="3" formatCode="#,##0"/>
      <protection locked="1" hidden="0"/>
    </dxf>
    <dxf>
      <numFmt numFmtId="166" formatCode="#,##0.0"/>
      <protection locked="1" hidden="0"/>
    </dxf>
    <dxf>
      <numFmt numFmtId="4" formatCode="#,##0.00"/>
    </dxf>
    <dxf>
      <numFmt numFmtId="0" formatCode="General"/>
    </dxf>
    <dxf>
      <alignment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2:AB156" totalsRowShown="0" headerRowDxfId="25">
  <autoFilter ref="A2:AB156" xr:uid="{00000000-0009-0000-0100-000001000000}">
    <filterColumn colId="21">
      <customFilters>
        <customFilter operator="notEqual" val=" "/>
      </customFilters>
    </filterColumn>
  </autoFilter>
  <tableColumns count="28">
    <tableColumn id="1" xr3:uid="{00000000-0010-0000-0000-000001000000}" name="Plane"/>
    <tableColumn id="2" xr3:uid="{00000000-0010-0000-0000-000002000000}" name="Speed"/>
    <tableColumn id="3" xr3:uid="{00000000-0010-0000-0000-000003000000}" name="Capacity"/>
    <tableColumn id="4" xr3:uid="{00000000-0010-0000-0000-000004000000}" name="Base range"/>
    <tableColumn id="5" xr3:uid="{00000000-0010-0000-0000-000005000000}" name="Range" dataDxfId="24">
      <calculatedColumnFormula>IF(D:D&lt;minaddmultirange,MAX(Table13[[#This Row],[Base range]],Minbaserange)*rangemultipl*rangemultiplsmalladd/10000,MAX(Table13[[#This Row],[Base range]],Minbaserange)*minaddmultirange/100)</calculatedColumnFormula>
    </tableColumn>
    <tableColumn id="6" xr3:uid="{00000000-0010-0000-0000-000006000000}" name="In_game_life"/>
    <tableColumn id="10" xr3:uid="{00000000-0010-0000-0000-00000A000000}" name="Travel_time" dataDxfId="23">
      <calculatedColumnFormula>Table13[[#This Row],[Base range]]/((Table13[[#This Row],[Speed]]/3600*16*256)/(74*2)*24/10*2)+$AE$10</calculatedColumnFormula>
    </tableColumn>
    <tableColumn id="19" xr3:uid="{0B5BF492-BF15-48FD-B22C-685F83077714}" name="ge_travel_time" dataDxfId="22" dataCellStyle="Comma">
      <calculatedColumnFormula>ROUNDDOWN(Table13[[#This Row],[Travel_time]]*formula_vsig_time,0)</calculatedColumnFormula>
    </tableColumn>
    <tableColumn id="18" xr3:uid="{E717DFE4-93A8-4090-863E-67903FAE4E18}" name="Time factor" dataDxfId="21" dataCellStyle="Comma">
      <calculatedColumnFormula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calculatedColumnFormula>
    </tableColumn>
    <tableColumn id="11" xr3:uid="{00000000-0010-0000-0000-00000B000000}" name="Income per travel" dataDxfId="20">
      <calculatedColumnFormula>Table13[[#This Row],[Capacity]]*Table13[[#This Row],[Range]]*payment_rate*Table13[[#This Row],[Time factor]]/2^21*GBP_to_Currency</calculatedColumnFormula>
    </tableColumn>
    <tableColumn id="12" xr3:uid="{00000000-0010-0000-0000-00000C000000}" name="Annual travels, max" dataDxfId="19">
      <calculatedColumnFormula>365/Table13[[#This Row],[Travel_time]]</calculatedColumnFormula>
    </tableColumn>
    <tableColumn id="13" xr3:uid="{00000000-0010-0000-0000-00000D000000}" name="Annual profit" dataDxfId="18" dataCellStyle="Comma">
      <calculatedColumnFormula>Table13[[#This Row],[Income per travel]]*Table13[[#This Row],[Annual travels, max]]</calculatedColumnFormula>
    </tableColumn>
    <tableColumn id="14" xr3:uid="{00000000-0010-0000-0000-00000E000000}" name="Buying cost" dataDxfId="17" dataCellStyle="Comma">
      <calculatedColumnFormula>Table13[[#This Row],[In_game_life]]*Table13[[#This Row],[Annual profit]]*ROI____lifetime*cost_factor</calculatedColumnFormula>
    </tableColumn>
    <tableColumn id="15" xr3:uid="{00000000-0010-0000-0000-00000F000000}" name="Running cost" dataDxfId="16" dataCellStyle="Comma">
      <calculatedColumnFormula>Table13[[#This Row],[Annual profit]]*Running_cost_weight*runningcost_factor</calculatedColumnFormula>
    </tableColumn>
    <tableColumn id="8" xr3:uid="{578B6714-71BB-49DD-9C2D-5ED2D5B1B52D}" name="Total cost" dataDxfId="15" dataCellStyle="Comma">
      <calculatedColumnFormula>Table13[[#This Row],[Buying cost]]+Table13[[#This Row],[Running cost]]*Table13[[#This Row],[In_game_life]]</calculatedColumnFormula>
    </tableColumn>
    <tableColumn id="7" xr3:uid="{5E00EA85-ED51-42F5-B0BD-2371D0FBF792}" name="Profit" dataDxfId="8" dataCellStyle="Comma">
      <calculatedColumnFormula>Table13[[#This Row],[Annual profit]]*Table13[[#This Row],[In_game_life]]-Table13[[#This Row],[Total cost]]</calculatedColumnFormula>
    </tableColumn>
    <tableColumn id="16" xr3:uid="{00000000-0010-0000-0000-000010000000}" name="IG buying cost factor" dataDxfId="6" dataCellStyle="Comma">
      <calculatedColumnFormula>Table13[[#This Row],[Buying cost]]/buying_cost_convert*10000</calculatedColumnFormula>
    </tableColumn>
    <tableColumn id="9" xr3:uid="{E133B083-CD50-47FC-8449-C567F464A0F4}" name="IG running cost factor" dataDxfId="5" dataCellStyle="Comma">
      <calculatedColumnFormula>Table13[[#This Row],[Running cost]]/running_cost_convert*1000</calculatedColumnFormula>
    </tableColumn>
    <tableColumn id="17" xr3:uid="{074ED2F3-38D6-479D-961E-D74136D777D6}" name="Buying/distance" dataDxfId="4" dataCellStyle="Comma">
      <calculatedColumnFormula>ROUND(Table13[IG buying cost factor]/Table13[Range],0)</calculatedColumnFormula>
    </tableColumn>
    <tableColumn id="20" xr3:uid="{73442F75-C631-45B6-8D62-291CE126D3E9}" name="Running/distance" dataDxfId="7" dataCellStyle="Comma">
      <calculatedColumnFormula>ROUND(Table13[IG running cost factor]/Table13[Range],0)</calculatedColumnFormula>
    </tableColumn>
    <tableColumn id="21" xr3:uid="{4D739DF1-7025-401A-B1E0-600A7EBDC234}" name="Newgrf cost factor" dataDxfId="9" dataCellStyle="Comma"/>
    <tableColumn id="22" xr3:uid="{26C692AD-8A1F-4FAF-86FE-47123AA0FE95}" name="in-game cost" dataDxfId="14" dataCellStyle="Comma"/>
    <tableColumn id="23" xr3:uid="{1EF3888E-AB88-4DB5-AC8D-505C3E1F150C}" name="multiplier" dataDxfId="11" dataCellStyle="Comma">
      <calculatedColumnFormula>IFERROR(Table13[[#This Row],[in-game cost]]/Table13[[#This Row],[Newgrf cost factor]],0)</calculatedColumnFormula>
    </tableColumn>
    <tableColumn id="24" xr3:uid="{CB790111-53B7-498A-A5C4-D779A044CE22}" name="Newgrf running factor" dataDxfId="13" dataCellStyle="Comma"/>
    <tableColumn id="25" xr3:uid="{790EF64E-2A1B-4A90-9C5D-E69ABCFD7FD1}" name="in-game running" dataDxfId="12" dataCellStyle="Comma"/>
    <tableColumn id="26" xr3:uid="{96267076-1129-4571-980A-9151520C4BFD}" name="mulpilier" dataDxfId="10" dataCellStyle="Comma">
      <calculatedColumnFormula>IFERROR(Table13[[#This Row],[in-game running]]/Table13[[#This Row],[Newgrf running factor]],0)</calculatedColumnFormula>
    </tableColumn>
    <tableColumn id="28" xr3:uid="{67172917-973C-49CE-9763-97928ABA74ED}" name="test buying" dataDxfId="1" dataCellStyle="Comma">
      <calculatedColumnFormula>(Table13[[#This Row],[Buying/distance]]*Table13[Range]/10000*buying_cost_convert-Table13[Buying cost])/Table13[Buying cost]</calculatedColumnFormula>
    </tableColumn>
    <tableColumn id="27" xr3:uid="{1F6E28F3-54DC-483B-A4D9-9552BDAC4677}" name="test running" dataDxfId="0" dataCellStyle="Comma">
      <calculatedColumnFormula>(Table13[Running/distance]*Table13[Range]/1000*running_cost_convert-Table13[Running cost])/Table13[Running cost]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3"/>
  <sheetViews>
    <sheetView tabSelected="1" zoomScaleNormal="100" workbookViewId="0">
      <pane xSplit="1" ySplit="2" topLeftCell="L3" activePane="bottomRight" state="frozen"/>
      <selection pane="topRight" activeCell="B1" sqref="B1"/>
      <selection pane="bottomLeft" activeCell="A129" sqref="A129"/>
      <selection pane="bottomRight" activeCell="R162" sqref="R162"/>
    </sheetView>
  </sheetViews>
  <sheetFormatPr defaultColWidth="8.88671875" defaultRowHeight="14.4" outlineLevelCol="1" x14ac:dyDescent="0.3"/>
  <cols>
    <col min="1" max="1" width="15.44140625" style="1" customWidth="1"/>
    <col min="2" max="6" width="7.109375" customWidth="1"/>
    <col min="7" max="7" width="8.6640625" style="2" customWidth="1"/>
    <col min="8" max="8" width="6.6640625" style="2" customWidth="1"/>
    <col min="9" max="9" width="14.109375" style="2" customWidth="1"/>
    <col min="10" max="10" width="15.88671875" style="2" customWidth="1"/>
    <col min="11" max="11" width="17.21875" style="2" customWidth="1"/>
    <col min="12" max="12" width="12.77734375" style="18" customWidth="1"/>
    <col min="13" max="13" width="12.88671875" style="18" customWidth="1"/>
    <col min="14" max="14" width="13" customWidth="1"/>
    <col min="15" max="15" width="14.33203125" customWidth="1"/>
    <col min="16" max="16" width="11.5546875" customWidth="1"/>
    <col min="17" max="17" width="13.6640625" customWidth="1"/>
    <col min="18" max="18" width="12.109375" customWidth="1"/>
    <col min="19" max="19" width="9.77734375" customWidth="1"/>
    <col min="20" max="20" width="11.6640625" customWidth="1"/>
    <col min="21" max="21" width="9.88671875" customWidth="1" outlineLevel="1"/>
    <col min="22" max="22" width="11.21875" customWidth="1" outlineLevel="1"/>
    <col min="23" max="25" width="8.88671875" customWidth="1" outlineLevel="1"/>
    <col min="27" max="27" width="10.21875" bestFit="1" customWidth="1"/>
    <col min="30" max="31" width="15.88671875" customWidth="1"/>
  </cols>
  <sheetData>
    <row r="1" spans="1:31" x14ac:dyDescent="0.3">
      <c r="A1" s="3"/>
      <c r="B1" s="2"/>
      <c r="C1" s="2"/>
      <c r="D1" s="2"/>
      <c r="G1" s="2" t="s">
        <v>187</v>
      </c>
    </row>
    <row r="2" spans="1:31" s="7" customFormat="1" ht="30" customHeight="1" x14ac:dyDescent="0.3">
      <c r="A2" s="4" t="s">
        <v>0</v>
      </c>
      <c r="B2" s="5" t="s">
        <v>181</v>
      </c>
      <c r="C2" s="5" t="s">
        <v>168</v>
      </c>
      <c r="D2" s="5" t="s">
        <v>182</v>
      </c>
      <c r="E2" s="5" t="s">
        <v>183</v>
      </c>
      <c r="F2" s="5" t="s">
        <v>184</v>
      </c>
      <c r="G2" s="6" t="s">
        <v>186</v>
      </c>
      <c r="H2" s="6" t="s">
        <v>185</v>
      </c>
      <c r="I2" s="6" t="s">
        <v>171</v>
      </c>
      <c r="J2" s="6" t="s">
        <v>172</v>
      </c>
      <c r="K2" s="6" t="s">
        <v>1</v>
      </c>
      <c r="L2" s="6" t="s">
        <v>2</v>
      </c>
      <c r="M2" s="6" t="s">
        <v>178</v>
      </c>
      <c r="N2" s="20" t="s">
        <v>3</v>
      </c>
      <c r="O2" s="20" t="s">
        <v>165</v>
      </c>
      <c r="P2" s="20" t="s">
        <v>179</v>
      </c>
      <c r="Q2" s="20" t="s">
        <v>180</v>
      </c>
      <c r="R2" s="20" t="s">
        <v>177</v>
      </c>
      <c r="S2" s="20" t="s">
        <v>188</v>
      </c>
      <c r="T2" s="20" t="s">
        <v>189</v>
      </c>
      <c r="U2" s="20" t="s">
        <v>190</v>
      </c>
      <c r="V2" s="20" t="s">
        <v>191</v>
      </c>
      <c r="W2" s="5" t="s">
        <v>192</v>
      </c>
      <c r="X2" s="5" t="s">
        <v>193</v>
      </c>
      <c r="Y2" s="5" t="s">
        <v>194</v>
      </c>
      <c r="Z2" s="5" t="s">
        <v>195</v>
      </c>
      <c r="AA2" s="5" t="s">
        <v>199</v>
      </c>
      <c r="AB2" s="5" t="s">
        <v>198</v>
      </c>
      <c r="AD2" s="7" t="e">
        <f>#REF!*AC2</f>
        <v>#REF!</v>
      </c>
      <c r="AE2" s="7" t="e">
        <f>AD2*2</f>
        <v>#REF!</v>
      </c>
    </row>
    <row r="3" spans="1:31" hidden="1" x14ac:dyDescent="0.3">
      <c r="A3" s="15" t="s">
        <v>163</v>
      </c>
      <c r="B3" s="2">
        <v>1016</v>
      </c>
      <c r="C3" s="2">
        <v>721</v>
      </c>
      <c r="D3" s="2">
        <v>2000</v>
      </c>
      <c r="E3">
        <f>IF(D:D&lt;minaddmultirange,MAX(Table13[[#This Row],[Base range]],Minbaserange)*rangemultipl*rangemultiplsmalladd/10000,MAX(Table13[[#This Row],[Base range]],Minbaserange)*minaddmultirange/100)</f>
        <v>2000</v>
      </c>
      <c r="F3">
        <v>20</v>
      </c>
      <c r="G3" s="9">
        <f>Table13[[#This Row],[Base range]]/((Table13[[#This Row],[Speed]]/3600*16*256)/(74*2)*24/10*2)+$AE$10</f>
        <v>65.345687746062993</v>
      </c>
      <c r="H3" s="21">
        <f>ROUNDDOWN(Table13[[#This Row],[Travel_time]]*formula_vsig_time,0)</f>
        <v>26</v>
      </c>
      <c r="I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227</v>
      </c>
      <c r="J3" s="2">
        <f>Table13[[#This Row],[Capacity]]*Table13[[#This Row],[Range]]*payment_rate*Table13[[#This Row],[Time factor]]/2^21*GBP_to_Currency</f>
        <v>497130.77068328857</v>
      </c>
      <c r="K3" s="9">
        <f>365/Table13[[#This Row],[Travel_time]]</f>
        <v>5.5856784523932239</v>
      </c>
      <c r="L3" s="2">
        <f>Table13[[#This Row],[Income per travel]]*Table13[[#This Row],[Annual travels, max]]</f>
        <v>2776812.6338272821</v>
      </c>
      <c r="M3" s="2">
        <f>Table13[[#This Row],[In_game_life]]*Table13[[#This Row],[Annual profit]]*ROI____lifetime*cost_factor</f>
        <v>13884063.169136411</v>
      </c>
      <c r="N3" s="18">
        <f>Table13[[#This Row],[Annual profit]]*Running_cost_weight*runningcost_factor</f>
        <v>694203.15845682053</v>
      </c>
      <c r="O3" s="18">
        <f>Table13[[#This Row],[Buying cost]]+Table13[[#This Row],[Running cost]]*Table13[[#This Row],[In_game_life]]</f>
        <v>27768126.338272821</v>
      </c>
      <c r="P3" s="18">
        <f>Table13[[#This Row],[Annual profit]]*Table13[[#This Row],[In_game_life]]-Table13[[#This Row],[Total cost]]</f>
        <v>27768126.338272821</v>
      </c>
      <c r="Q3" s="22">
        <f>Table13[[#This Row],[Buying cost]]/buying_cost_convert*10000</f>
        <v>793375.03823636635</v>
      </c>
      <c r="R3" s="22">
        <f>Table13[[#This Row],[Running cost]]/running_cost_convert*1000</f>
        <v>2314010.5281894016</v>
      </c>
      <c r="S3" s="22">
        <f>ROUND(Table13[IG buying cost factor]/Table13[Range],0)</f>
        <v>397</v>
      </c>
      <c r="T3" s="22">
        <f>ROUND(Table13[IG running cost factor]/Table13[Range],0)</f>
        <v>1157</v>
      </c>
      <c r="U3" s="18"/>
      <c r="V3" s="18"/>
      <c r="W3" s="18">
        <f>IFERROR(Table13[[#This Row],[in-game cost]]/Table13[[#This Row],[Newgrf cost factor]],0)</f>
        <v>0</v>
      </c>
      <c r="X3" s="18"/>
      <c r="Y3" s="18"/>
      <c r="Z3" s="18">
        <f>IFERROR(Table13[[#This Row],[in-game running]]/Table13[[#This Row],[Newgrf running factor]],0)</f>
        <v>0</v>
      </c>
      <c r="AA3" s="23">
        <f>(Table13[[#This Row],[Buying/distance]]*Table13[Range]/10000*buying_cost_convert-Table13[Buying cost])/Table13[Buying cost]</f>
        <v>7.8772551884547177E-4</v>
      </c>
      <c r="AB3" s="23">
        <f>(Table13[Running/distance]*Table13[Range]/1000*running_cost_convert-Table13[Running cost])/Table13[Running cost]</f>
        <v>-4.5497586434928479E-6</v>
      </c>
      <c r="AD3" t="s">
        <v>5</v>
      </c>
      <c r="AE3">
        <v>1</v>
      </c>
    </row>
    <row r="4" spans="1:31" hidden="1" x14ac:dyDescent="0.3">
      <c r="A4" s="15" t="s">
        <v>167</v>
      </c>
      <c r="B4" s="16">
        <v>2200</v>
      </c>
      <c r="C4" s="16">
        <v>160</v>
      </c>
      <c r="D4" s="16">
        <v>2000</v>
      </c>
      <c r="E4">
        <f>IF(D:D&lt;minaddmultirange,MAX(Table13[[#This Row],[Base range]],Minbaserange)*rangemultipl*rangemultiplsmalladd/10000,MAX(Table13[[#This Row],[Base range]],Minbaserange)*minaddmultirange/100)</f>
        <v>2000</v>
      </c>
      <c r="F4">
        <v>20</v>
      </c>
      <c r="G4" s="9">
        <f>Table13[[#This Row],[Base range]]/((Table13[[#This Row],[Speed]]/3600*16*256)/(74*2)*24/10*2)+$AE$10</f>
        <v>36.636008522727266</v>
      </c>
      <c r="H4" s="21">
        <f>ROUNDDOWN(Table13[[#This Row],[Travel_time]]*formula_vsig_time,0)</f>
        <v>14</v>
      </c>
      <c r="I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241</v>
      </c>
      <c r="J4" s="2">
        <f>Table13[[#This Row],[Capacity]]*Table13[[#This Row],[Range]]*payment_rate*Table13[[#This Row],[Time factor]]/2^21*GBP_to_Currency</f>
        <v>117124.17602539063</v>
      </c>
      <c r="K4" s="9">
        <f>365/Table13[[#This Row],[Travel_time]]</f>
        <v>9.9628757257650236</v>
      </c>
      <c r="L4" s="2">
        <f>Table13[[#This Row],[Income per travel]]*Table13[[#This Row],[Annual travels, max]]</f>
        <v>1166893.6102235939</v>
      </c>
      <c r="M4" s="2">
        <f>Table13[[#This Row],[In_game_life]]*Table13[[#This Row],[Annual profit]]*ROI____lifetime*cost_factor</f>
        <v>5834468.0511179697</v>
      </c>
      <c r="N4" s="18">
        <f>Table13[[#This Row],[Annual profit]]*Running_cost_weight*runningcost_factor</f>
        <v>291723.40255589847</v>
      </c>
      <c r="O4" s="18">
        <f>Table13[[#This Row],[Buying cost]]+Table13[[#This Row],[Running cost]]*Table13[[#This Row],[In_game_life]]</f>
        <v>11668936.102235939</v>
      </c>
      <c r="P4" s="18">
        <f>Table13[[#This Row],[Annual profit]]*Table13[[#This Row],[In_game_life]]-Table13[[#This Row],[Total cost]]</f>
        <v>11668936.102235939</v>
      </c>
      <c r="Q4" s="22">
        <f>Table13[[#This Row],[Buying cost]]/buying_cost_convert*10000</f>
        <v>333398.17434959824</v>
      </c>
      <c r="R4" s="22">
        <f>Table13[[#This Row],[Running cost]]/running_cost_convert*1000</f>
        <v>972411.34185299498</v>
      </c>
      <c r="S4" s="22">
        <f>ROUND(Table13[IG buying cost factor]/Table13[Range],0)</f>
        <v>167</v>
      </c>
      <c r="T4" s="22">
        <f>ROUND(Table13[IG running cost factor]/Table13[Range],0)</f>
        <v>486</v>
      </c>
      <c r="U4" s="18"/>
      <c r="V4" s="18"/>
      <c r="W4" s="18">
        <f>IFERROR(Table13[[#This Row],[in-game cost]]/Table13[[#This Row],[Newgrf cost factor]],0)</f>
        <v>0</v>
      </c>
      <c r="X4" s="18"/>
      <c r="Y4" s="18"/>
      <c r="Z4" s="18">
        <f>IFERROR(Table13[[#This Row],[in-game running]]/Table13[[#This Row],[Newgrf running factor]],0)</f>
        <v>0</v>
      </c>
      <c r="AA4" s="23">
        <f>(Table13[[#This Row],[Buying/distance]]*Table13[Range]/10000*buying_cost_convert-Table13[Buying cost])/Table13[Buying cost]</f>
        <v>1.8051258126286676E-3</v>
      </c>
      <c r="AB4" s="23">
        <f>(Table13[Running/distance]*Table13[Range]/1000*running_cost_convert-Table13[Running cost])/Table13[Running cost]</f>
        <v>-4.2301219174497483E-4</v>
      </c>
      <c r="AD4" t="s">
        <v>7</v>
      </c>
      <c r="AE4">
        <v>100</v>
      </c>
    </row>
    <row r="5" spans="1:31" hidden="1" x14ac:dyDescent="0.3">
      <c r="A5" s="8" t="s">
        <v>4</v>
      </c>
      <c r="B5">
        <v>126</v>
      </c>
      <c r="C5">
        <v>15</v>
      </c>
      <c r="D5">
        <v>160</v>
      </c>
      <c r="E5">
        <f>IF(D:D&lt;minaddmultirange,MAX(Table13[[#This Row],[Base range]],Minbaserange)*rangemultipl*rangemultiplsmalladd/10000,MAX(Table13[[#This Row],[Base range]],Minbaserange)*minaddmultirange/100)</f>
        <v>160</v>
      </c>
      <c r="F5">
        <v>25</v>
      </c>
      <c r="G5" s="9">
        <f>Table13[[#This Row],[Base range]]/((Table13[[#This Row],[Speed]]/3600*16*256)/(74*2)*24/10*2)+$AE$10</f>
        <v>46.41220238095238</v>
      </c>
      <c r="H5" s="21">
        <f>ROUNDDOWN(Table13[[#This Row],[Travel_time]]*formula_vsig_time,0)</f>
        <v>18</v>
      </c>
      <c r="I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237</v>
      </c>
      <c r="J5" s="2">
        <f>Table13[[#This Row],[Capacity]]*Table13[[#This Row],[Range]]*payment_rate*Table13[[#This Row],[Time factor]]/2^21*GBP_to_Currency</f>
        <v>863.85154724121094</v>
      </c>
      <c r="K5" s="9">
        <f>365/Table13[[#This Row],[Travel_time]]</f>
        <v>7.8643111353361768</v>
      </c>
      <c r="L5" s="2">
        <f>Table13[[#This Row],[Income per travel]]*Table13[[#This Row],[Annual travels, max]]</f>
        <v>6793.5973422464403</v>
      </c>
      <c r="M5" s="2">
        <f>Table13[[#This Row],[In_game_life]]*Table13[[#This Row],[Annual profit]]*ROI____lifetime*cost_factor</f>
        <v>42459.983389040251</v>
      </c>
      <c r="N5" s="18">
        <f>Table13[[#This Row],[Annual profit]]*Running_cost_weight*runningcost_factor</f>
        <v>1698.3993355616101</v>
      </c>
      <c r="O5" s="18">
        <f>Table13[[#This Row],[Buying cost]]+Table13[[#This Row],[Running cost]]*Table13[[#This Row],[In_game_life]]</f>
        <v>84919.966778080503</v>
      </c>
      <c r="P5" s="18">
        <f>Table13[[#This Row],[Annual profit]]*Table13[[#This Row],[In_game_life]]-Table13[[#This Row],[Total cost]]</f>
        <v>84919.966778080503</v>
      </c>
      <c r="Q5" s="22">
        <f>Table13[[#This Row],[Buying cost]]/buying_cost_convert*10000</f>
        <v>2426.2847650880144</v>
      </c>
      <c r="R5" s="22">
        <f>Table13[[#This Row],[Running cost]]/running_cost_convert*1000</f>
        <v>5661.3311185387001</v>
      </c>
      <c r="S5" s="22">
        <f>ROUND(Table13[IG buying cost factor]/Table13[Range],0)</f>
        <v>15</v>
      </c>
      <c r="T5" s="22">
        <f>ROUND(Table13[IG running cost factor]/Table13[Range],0)</f>
        <v>35</v>
      </c>
      <c r="U5" s="18"/>
      <c r="V5" s="18"/>
      <c r="W5" s="18">
        <f>IFERROR(Table13[[#This Row],[in-game cost]]/Table13[[#This Row],[Newgrf cost factor]],0)</f>
        <v>0</v>
      </c>
      <c r="X5" s="18"/>
      <c r="Y5" s="18"/>
      <c r="Z5" s="18">
        <f>IFERROR(Table13[[#This Row],[in-game running]]/Table13[[#This Row],[Newgrf running factor]],0)</f>
        <v>0</v>
      </c>
      <c r="AA5" s="23">
        <f>(Table13[[#This Row],[Buying/distance]]*Table13[Range]/10000*buying_cost_convert-Table13[Buying cost])/Table13[Buying cost]</f>
        <v>-1.0833338883476392E-2</v>
      </c>
      <c r="AB5" s="23">
        <f>(Table13[Running/distance]*Table13[Range]/1000*running_cost_convert-Table13[Running cost])/Table13[Running cost]</f>
        <v>-1.0833338883476408E-2</v>
      </c>
      <c r="AD5" t="s">
        <v>9</v>
      </c>
      <c r="AE5">
        <v>100</v>
      </c>
    </row>
    <row r="6" spans="1:31" hidden="1" x14ac:dyDescent="0.3">
      <c r="A6" s="10" t="s">
        <v>6</v>
      </c>
      <c r="B6">
        <v>829</v>
      </c>
      <c r="C6">
        <v>37</v>
      </c>
      <c r="D6">
        <v>435</v>
      </c>
      <c r="E6">
        <f>IF(D:D&lt;minaddmultirange,MAX(Table13[[#This Row],[Base range]],Minbaserange)*rangemultipl*rangemultiplsmalladd/10000,MAX(Table13[[#This Row],[Base range]],Minbaserange)*minaddmultirange/100)</f>
        <v>435</v>
      </c>
      <c r="F6">
        <v>18</v>
      </c>
      <c r="G6" s="9">
        <f>Table13[[#This Row],[Base range]]/((Table13[[#This Row],[Speed]]/3600*16*256)/(74*2)*24/10*2)+$AE$10</f>
        <v>26.219939780609167</v>
      </c>
      <c r="H6" s="21">
        <f>ROUNDDOWN(Table13[[#This Row],[Travel_time]]*formula_vsig_time,0)</f>
        <v>10</v>
      </c>
      <c r="I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6" s="2">
        <f>Table13[[#This Row],[Capacity]]*Table13[[#This Row],[Range]]*payment_rate*Table13[[#This Row],[Time factor]]/2^21*GBP_to_Currency</f>
        <v>5988.7556433677673</v>
      </c>
      <c r="K6" s="9">
        <f>365/Table13[[#This Row],[Travel_time]]</f>
        <v>13.920703214960625</v>
      </c>
      <c r="L6" s="2">
        <f>Table13[[#This Row],[Income per travel]]*Table13[[#This Row],[Annual travels, max]]</f>
        <v>83367.68993824326</v>
      </c>
      <c r="M6" s="2">
        <f>Table13[[#This Row],[In_game_life]]*Table13[[#This Row],[Annual profit]]*ROI____lifetime*cost_factor</f>
        <v>375154.60472209466</v>
      </c>
      <c r="N6" s="18">
        <f>Table13[[#This Row],[Annual profit]]*Running_cost_weight*runningcost_factor</f>
        <v>20841.922484560815</v>
      </c>
      <c r="O6" s="18">
        <f>Table13[[#This Row],[Buying cost]]+Table13[[#This Row],[Running cost]]*Table13[[#This Row],[In_game_life]]</f>
        <v>750309.20944418933</v>
      </c>
      <c r="P6" s="18">
        <f>Table13[[#This Row],[Annual profit]]*Table13[[#This Row],[In_game_life]]-Table13[[#This Row],[Total cost]]</f>
        <v>750309.20944418933</v>
      </c>
      <c r="Q6" s="22">
        <f>Table13[[#This Row],[Buying cost]]/buying_cost_convert*10000</f>
        <v>21437.405984119694</v>
      </c>
      <c r="R6" s="22">
        <f>Table13[[#This Row],[Running cost]]/running_cost_convert*1000</f>
        <v>69473.074948536057</v>
      </c>
      <c r="S6" s="22">
        <f>ROUND(Table13[IG buying cost factor]/Table13[Range],0)</f>
        <v>49</v>
      </c>
      <c r="T6" s="22">
        <f>ROUND(Table13[IG running cost factor]/Table13[Range],0)</f>
        <v>160</v>
      </c>
      <c r="U6" s="18"/>
      <c r="V6" s="18"/>
      <c r="W6" s="18">
        <f>IFERROR(Table13[[#This Row],[in-game cost]]/Table13[[#This Row],[Newgrf cost factor]],0)</f>
        <v>0</v>
      </c>
      <c r="X6" s="18"/>
      <c r="Y6" s="18"/>
      <c r="Z6" s="18">
        <f>IFERROR(Table13[[#This Row],[in-game running]]/Table13[[#This Row],[Newgrf running factor]],0)</f>
        <v>0</v>
      </c>
      <c r="AA6" s="23">
        <f>(Table13[[#This Row],[Buying/distance]]*Table13[Range]/10000*buying_cost_convert-Table13[Buying cost])/Table13[Buying cost]</f>
        <v>-5.7099251751993891E-3</v>
      </c>
      <c r="AB6" s="23">
        <f>(Table13[Running/distance]*Table13[Range]/1000*running_cost_convert-Table13[Running cost])/Table13[Running cost]</f>
        <v>1.8269675202655525E-3</v>
      </c>
      <c r="AD6" t="s">
        <v>11</v>
      </c>
      <c r="AE6">
        <v>100</v>
      </c>
    </row>
    <row r="7" spans="1:31" hidden="1" x14ac:dyDescent="0.3">
      <c r="A7" s="11" t="s">
        <v>8</v>
      </c>
      <c r="B7">
        <v>499</v>
      </c>
      <c r="C7">
        <v>39</v>
      </c>
      <c r="D7">
        <v>340</v>
      </c>
      <c r="E7">
        <f>IF(D:D&lt;minaddmultirange,MAX(Table13[[#This Row],[Base range]],Minbaserange)*rangemultipl*rangemultiplsmalladd/10000,MAX(Table13[[#This Row],[Base range]],Minbaserange)*minaddmultirange/100)</f>
        <v>340</v>
      </c>
      <c r="F7">
        <v>25</v>
      </c>
      <c r="G7" s="9">
        <f>Table13[[#This Row],[Base range]]/((Table13[[#This Row],[Speed]]/3600*16*256)/(74*2)*24/10*2)+$AE$10</f>
        <v>30.46466370240481</v>
      </c>
      <c r="H7" s="21">
        <f>ROUNDDOWN(Table13[[#This Row],[Travel_time]]*formula_vsig_time,0)</f>
        <v>12</v>
      </c>
      <c r="I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7" s="2">
        <f>Table13[[#This Row],[Capacity]]*Table13[[#This Row],[Range]]*payment_rate*Table13[[#This Row],[Time factor]]/2^21*GBP_to_Currency</f>
        <v>4893.6096668243408</v>
      </c>
      <c r="K7" s="9">
        <f>365/Table13[[#This Row],[Travel_time]]</f>
        <v>11.981094016514213</v>
      </c>
      <c r="L7" s="2">
        <f>Table13[[#This Row],[Income per travel]]*Table13[[#This Row],[Annual travels, max]]</f>
        <v>58630.797498345222</v>
      </c>
      <c r="M7" s="2">
        <f>Table13[[#This Row],[In_game_life]]*Table13[[#This Row],[Annual profit]]*ROI____lifetime*cost_factor</f>
        <v>366442.48436465766</v>
      </c>
      <c r="N7" s="18">
        <f>Table13[[#This Row],[Annual profit]]*Running_cost_weight*runningcost_factor</f>
        <v>14657.699374586306</v>
      </c>
      <c r="O7" s="18">
        <f>Table13[[#This Row],[Buying cost]]+Table13[[#This Row],[Running cost]]*Table13[[#This Row],[In_game_life]]</f>
        <v>732884.96872931533</v>
      </c>
      <c r="P7" s="18">
        <f>Table13[[#This Row],[Annual profit]]*Table13[[#This Row],[In_game_life]]-Table13[[#This Row],[Total cost]]</f>
        <v>732884.96872931533</v>
      </c>
      <c r="Q7" s="22">
        <f>Table13[[#This Row],[Buying cost]]/buying_cost_convert*10000</f>
        <v>20939.570535123294</v>
      </c>
      <c r="R7" s="22">
        <f>Table13[[#This Row],[Running cost]]/running_cost_convert*1000</f>
        <v>48858.997915287691</v>
      </c>
      <c r="S7" s="22">
        <f>ROUND(Table13[IG buying cost factor]/Table13[Range],0)</f>
        <v>62</v>
      </c>
      <c r="T7" s="22">
        <f>ROUND(Table13[IG running cost factor]/Table13[Range],0)</f>
        <v>144</v>
      </c>
      <c r="U7" s="18"/>
      <c r="V7" s="18"/>
      <c r="W7" s="18">
        <f>IFERROR(Table13[[#This Row],[in-game cost]]/Table13[[#This Row],[Newgrf cost factor]],0)</f>
        <v>0</v>
      </c>
      <c r="X7" s="18"/>
      <c r="Y7" s="18"/>
      <c r="Z7" s="18">
        <f>IFERROR(Table13[[#This Row],[in-game running]]/Table13[[#This Row],[Newgrf running factor]],0)</f>
        <v>0</v>
      </c>
      <c r="AA7" s="23">
        <f>(Table13[[#This Row],[Buying/distance]]*Table13[Range]/10000*buying_cost_convert-Table13[Buying cost])/Table13[Buying cost]</f>
        <v>6.7064157137871365E-3</v>
      </c>
      <c r="AB7" s="23">
        <f>(Table13[Running/distance]*Table13[Range]/1000*running_cost_convert-Table13[Running cost])/Table13[Running cost]</f>
        <v>2.0672156413734355E-3</v>
      </c>
      <c r="AD7" t="s">
        <v>169</v>
      </c>
      <c r="AE7">
        <v>3185</v>
      </c>
    </row>
    <row r="8" spans="1:31" hidden="1" x14ac:dyDescent="0.3">
      <c r="A8" s="11" t="s">
        <v>10</v>
      </c>
      <c r="B8">
        <v>544</v>
      </c>
      <c r="C8">
        <v>39</v>
      </c>
      <c r="D8">
        <v>310</v>
      </c>
      <c r="E8">
        <f>IF(D:D&lt;minaddmultirange,MAX(Table13[[#This Row],[Base range]],Minbaserange)*rangemultipl*rangemultiplsmalladd/10000,MAX(Table13[[#This Row],[Base range]],Minbaserange)*minaddmultirange/100)</f>
        <v>310</v>
      </c>
      <c r="F8">
        <v>25</v>
      </c>
      <c r="G8" s="9">
        <f>Table13[[#This Row],[Base range]]/((Table13[[#This Row],[Speed]]/3600*16*256)/(74*2)*24/10*2)+$AE$10</f>
        <v>27.442792107077207</v>
      </c>
      <c r="H8" s="21">
        <f>ROUNDDOWN(Table13[[#This Row],[Travel_time]]*formula_vsig_time,0)</f>
        <v>10</v>
      </c>
      <c r="I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8" s="2">
        <f>Table13[[#This Row],[Capacity]]*Table13[[#This Row],[Range]]*payment_rate*Table13[[#This Row],[Time factor]]/2^21*GBP_to_Currency</f>
        <v>4498.543381690979</v>
      </c>
      <c r="K8" s="9">
        <f>365/Table13[[#This Row],[Travel_time]]</f>
        <v>13.300395913645767</v>
      </c>
      <c r="L8" s="2">
        <f>Table13[[#This Row],[Income per travel]]*Table13[[#This Row],[Annual travels, max]]</f>
        <v>59832.408011200911</v>
      </c>
      <c r="M8" s="2">
        <f>Table13[[#This Row],[In_game_life]]*Table13[[#This Row],[Annual profit]]*ROI____lifetime*cost_factor</f>
        <v>373952.5500700057</v>
      </c>
      <c r="N8" s="18">
        <f>Table13[[#This Row],[Annual profit]]*Running_cost_weight*runningcost_factor</f>
        <v>14958.102002800228</v>
      </c>
      <c r="O8" s="18">
        <f>Table13[[#This Row],[Buying cost]]+Table13[[#This Row],[Running cost]]*Table13[[#This Row],[In_game_life]]</f>
        <v>747905.1001400114</v>
      </c>
      <c r="P8" s="18">
        <f>Table13[[#This Row],[Annual profit]]*Table13[[#This Row],[In_game_life]]-Table13[[#This Row],[Total cost]]</f>
        <v>747905.1001400114</v>
      </c>
      <c r="Q8" s="22">
        <f>Table13[[#This Row],[Buying cost]]/buying_cost_convert*10000</f>
        <v>21368.717146857467</v>
      </c>
      <c r="R8" s="22">
        <f>Table13[[#This Row],[Running cost]]/running_cost_convert*1000</f>
        <v>49860.340009334097</v>
      </c>
      <c r="S8" s="22">
        <f>ROUND(Table13[IG buying cost factor]/Table13[Range],0)</f>
        <v>69</v>
      </c>
      <c r="T8" s="22">
        <f>ROUND(Table13[IG running cost factor]/Table13[Range],0)</f>
        <v>161</v>
      </c>
      <c r="U8" s="18"/>
      <c r="V8" s="18"/>
      <c r="W8" s="18">
        <f>IFERROR(Table13[[#This Row],[in-game cost]]/Table13[[#This Row],[Newgrf cost factor]],0)</f>
        <v>0</v>
      </c>
      <c r="X8" s="18"/>
      <c r="Y8" s="18"/>
      <c r="Z8" s="18">
        <f>IFERROR(Table13[[#This Row],[in-game running]]/Table13[[#This Row],[Newgrf running factor]],0)</f>
        <v>0</v>
      </c>
      <c r="AA8" s="23">
        <f>(Table13[[#This Row],[Buying/distance]]*Table13[Range]/10000*buying_cost_convert-Table13[Buying cost])/Table13[Buying cost]</f>
        <v>9.9598178946637894E-4</v>
      </c>
      <c r="AB8" s="23">
        <f>(Table13[Running/distance]*Table13[Range]/1000*running_cost_convert-Table13[Running cost])/Table13[Running cost]</f>
        <v>9.9598178946644226E-4</v>
      </c>
      <c r="AD8" t="s">
        <v>14</v>
      </c>
      <c r="AE8">
        <v>24</v>
      </c>
    </row>
    <row r="9" spans="1:31" hidden="1" x14ac:dyDescent="0.3">
      <c r="A9" s="8" t="s">
        <v>12</v>
      </c>
      <c r="B9">
        <v>89</v>
      </c>
      <c r="C9">
        <v>44</v>
      </c>
      <c r="D9">
        <v>135</v>
      </c>
      <c r="E9">
        <f>IF(D:D&lt;minaddmultirange,MAX(Table13[[#This Row],[Base range]],Minbaserange)*rangemultipl*rangemultiplsmalladd/10000,MAX(Table13[[#This Row],[Base range]],Minbaserange)*minaddmultirange/100)</f>
        <v>135</v>
      </c>
      <c r="F9">
        <v>8</v>
      </c>
      <c r="G9" s="9">
        <f>Table13[[#This Row],[Base range]]/((Table13[[#This Row],[Speed]]/3600*16*256)/(74*2)*24/10*2)+$AE$10</f>
        <v>53.106149051966284</v>
      </c>
      <c r="H9" s="21">
        <f>ROUNDDOWN(Table13[[#This Row],[Travel_time]]*formula_vsig_time,0)</f>
        <v>21</v>
      </c>
      <c r="I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234</v>
      </c>
      <c r="J9" s="2">
        <f>Table13[[#This Row],[Capacity]]*Table13[[#This Row],[Range]]*payment_rate*Table13[[#This Row],[Time factor]]/2^21*GBP_to_Currency</f>
        <v>2110.9688758850098</v>
      </c>
      <c r="K9" s="9">
        <f>365/Table13[[#This Row],[Travel_time]]</f>
        <v>6.8730270696682281</v>
      </c>
      <c r="L9" s="2">
        <f>Table13[[#This Row],[Income per travel]]*Table13[[#This Row],[Annual travels, max]]</f>
        <v>14508.746227184782</v>
      </c>
      <c r="M9" s="2">
        <f>Table13[[#This Row],[In_game_life]]*Table13[[#This Row],[Annual profit]]*ROI____lifetime*cost_factor</f>
        <v>29017.492454369563</v>
      </c>
      <c r="N9" s="18">
        <f>Table13[[#This Row],[Annual profit]]*Running_cost_weight*runningcost_factor</f>
        <v>3627.1865567961954</v>
      </c>
      <c r="O9" s="18">
        <f>Table13[[#This Row],[Buying cost]]+Table13[[#This Row],[Running cost]]*Table13[[#This Row],[In_game_life]]</f>
        <v>58034.984908739127</v>
      </c>
      <c r="P9" s="18">
        <f>Table13[[#This Row],[Annual profit]]*Table13[[#This Row],[In_game_life]]-Table13[[#This Row],[Total cost]]</f>
        <v>58034.984908739127</v>
      </c>
      <c r="Q9" s="22">
        <f>Table13[[#This Row],[Buying cost]]/buying_cost_convert*10000</f>
        <v>1658.1424259639753</v>
      </c>
      <c r="R9" s="22">
        <f>Table13[[#This Row],[Running cost]]/running_cost_convert*1000</f>
        <v>12090.62185598732</v>
      </c>
      <c r="S9" s="22">
        <f>ROUND(Table13[IG buying cost factor]/Table13[Range],0)</f>
        <v>12</v>
      </c>
      <c r="T9" s="22">
        <f>ROUND(Table13[IG running cost factor]/Table13[Range],0)</f>
        <v>90</v>
      </c>
      <c r="U9" s="18"/>
      <c r="V9" s="18"/>
      <c r="W9" s="18">
        <f>IFERROR(Table13[[#This Row],[in-game cost]]/Table13[[#This Row],[Newgrf cost factor]],0)</f>
        <v>0</v>
      </c>
      <c r="X9" s="18"/>
      <c r="Y9" s="18"/>
      <c r="Z9" s="18">
        <f>IFERROR(Table13[[#This Row],[in-game running]]/Table13[[#This Row],[Newgrf running factor]],0)</f>
        <v>0</v>
      </c>
      <c r="AA9" s="23">
        <f>(Table13[[#This Row],[Buying/distance]]*Table13[Range]/10000*buying_cost_convert-Table13[Buying cost])/Table13[Buying cost]</f>
        <v>-2.300310598578444E-2</v>
      </c>
      <c r="AB9" s="23">
        <f>(Table13[Running/distance]*Table13[Range]/1000*running_cost_convert-Table13[Running cost])/Table13[Running cost]</f>
        <v>4.9110909860502891E-3</v>
      </c>
      <c r="AD9" t="s">
        <v>16</v>
      </c>
      <c r="AE9">
        <v>0</v>
      </c>
    </row>
    <row r="10" spans="1:31" hidden="1" x14ac:dyDescent="0.3">
      <c r="A10" s="10" t="s">
        <v>13</v>
      </c>
      <c r="B10">
        <v>829</v>
      </c>
      <c r="C10">
        <v>44</v>
      </c>
      <c r="D10">
        <v>415</v>
      </c>
      <c r="E10">
        <f>IF(D:D&lt;minaddmultirange,MAX(Table13[[#This Row],[Base range]],Minbaserange)*rangemultipl*rangemultiplsmalladd/10000,MAX(Table13[[#This Row],[Base range]],Minbaserange)*minaddmultirange/100)</f>
        <v>415</v>
      </c>
      <c r="F10">
        <v>18</v>
      </c>
      <c r="G10" s="9">
        <f>Table13[[#This Row],[Base range]]/((Table13[[#This Row],[Speed]]/3600*16*256)/(74*2)*24/10*2)+$AE$10</f>
        <v>25.566149445868518</v>
      </c>
      <c r="H10" s="21">
        <f>ROUNDDOWN(Table13[[#This Row],[Travel_time]]*formula_vsig_time,0)</f>
        <v>10</v>
      </c>
      <c r="I1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10" s="2">
        <f>Table13[[#This Row],[Capacity]]*Table13[[#This Row],[Range]]*payment_rate*Table13[[#This Row],[Time factor]]/2^21*GBP_to_Currency</f>
        <v>6794.3260669708252</v>
      </c>
      <c r="K10" s="9">
        <f>365/Table13[[#This Row],[Travel_time]]</f>
        <v>14.276690385965958</v>
      </c>
      <c r="L10" s="2">
        <f>Table13[[#This Row],[Income per travel]]*Table13[[#This Row],[Annual travels, max]]</f>
        <v>97000.489639440275</v>
      </c>
      <c r="M10" s="2">
        <f>Table13[[#This Row],[In_game_life]]*Table13[[#This Row],[Annual profit]]*ROI____lifetime*cost_factor</f>
        <v>436502.20337748126</v>
      </c>
      <c r="N10" s="18">
        <f>Table13[[#This Row],[Annual profit]]*Running_cost_weight*runningcost_factor</f>
        <v>24250.122409860069</v>
      </c>
      <c r="O10" s="18">
        <f>Table13[[#This Row],[Buying cost]]+Table13[[#This Row],[Running cost]]*Table13[[#This Row],[In_game_life]]</f>
        <v>873004.40675496252</v>
      </c>
      <c r="P10" s="18">
        <f>Table13[[#This Row],[Annual profit]]*Table13[[#This Row],[In_game_life]]-Table13[[#This Row],[Total cost]]</f>
        <v>873004.40675496252</v>
      </c>
      <c r="Q10" s="22">
        <f>Table13[[#This Row],[Buying cost]]/buying_cost_convert*10000</f>
        <v>24942.983050141785</v>
      </c>
      <c r="R10" s="22">
        <f>Table13[[#This Row],[Running cost]]/running_cost_convert*1000</f>
        <v>80833.741366200236</v>
      </c>
      <c r="S10" s="22">
        <f>ROUND(Table13[IG buying cost factor]/Table13[Range],0)</f>
        <v>60</v>
      </c>
      <c r="T10" s="22">
        <f>ROUND(Table13[IG running cost factor]/Table13[Range],0)</f>
        <v>195</v>
      </c>
      <c r="U10" s="18"/>
      <c r="V10" s="18"/>
      <c r="W10" s="18">
        <f>IFERROR(Table13[[#This Row],[in-game cost]]/Table13[[#This Row],[Newgrf cost factor]],0)</f>
        <v>0</v>
      </c>
      <c r="X10" s="18"/>
      <c r="Y10" s="18"/>
      <c r="Z10" s="18">
        <f>IFERROR(Table13[[#This Row],[in-game running]]/Table13[[#This Row],[Newgrf running factor]],0)</f>
        <v>0</v>
      </c>
      <c r="AA10" s="23">
        <f>(Table13[[#This Row],[Buying/distance]]*Table13[Range]/10000*buying_cost_convert-Table13[Buying cost])/Table13[Buying cost]</f>
        <v>-1.7232521890174865E-3</v>
      </c>
      <c r="AB10" s="23">
        <f>(Table13[Running/distance]*Table13[Range]/1000*running_cost_convert-Table13[Running cost])/Table13[Running cost]</f>
        <v>1.1289670904423797E-3</v>
      </c>
      <c r="AD10" t="s">
        <v>25</v>
      </c>
      <c r="AE10">
        <v>12</v>
      </c>
    </row>
    <row r="11" spans="1:31" hidden="1" x14ac:dyDescent="0.3">
      <c r="A11" s="11" t="s">
        <v>15</v>
      </c>
      <c r="B11">
        <v>492</v>
      </c>
      <c r="C11">
        <v>48</v>
      </c>
      <c r="D11">
        <v>165</v>
      </c>
      <c r="E11">
        <f>IF(D:D&lt;minaddmultirange,MAX(Table13[[#This Row],[Base range]],Minbaserange)*rangemultipl*rangemultiplsmalladd/10000,MAX(Table13[[#This Row],[Base range]],Minbaserange)*minaddmultirange/100)</f>
        <v>165</v>
      </c>
      <c r="F11">
        <v>11</v>
      </c>
      <c r="G11" s="9">
        <f>Table13[[#This Row],[Base range]]/((Table13[[#This Row],[Speed]]/3600*16*256)/(74*2)*24/10*2)+$AE$10</f>
        <v>21.08828363185976</v>
      </c>
      <c r="H11" s="21">
        <f>ROUNDDOWN(Table13[[#This Row],[Travel_time]]*formula_vsig_time,0)</f>
        <v>8</v>
      </c>
      <c r="I1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247</v>
      </c>
      <c r="J11" s="2">
        <f>Table13[[#This Row],[Capacity]]*Table13[[#This Row],[Range]]*payment_rate*Table13[[#This Row],[Time factor]]/2^21*GBP_to_Currency</f>
        <v>2970.9932327270508</v>
      </c>
      <c r="K11" s="9">
        <f>365/Table13[[#This Row],[Travel_time]]</f>
        <v>17.30818905757533</v>
      </c>
      <c r="L11" s="2">
        <f>Table13[[#This Row],[Income per travel]]*Table13[[#This Row],[Annual travels, max]]</f>
        <v>51422.512560816693</v>
      </c>
      <c r="M11" s="2">
        <f>Table13[[#This Row],[In_game_life]]*Table13[[#This Row],[Annual profit]]*ROI____lifetime*cost_factor</f>
        <v>141411.90954224591</v>
      </c>
      <c r="N11" s="18">
        <f>Table13[[#This Row],[Annual profit]]*Running_cost_weight*runningcost_factor</f>
        <v>12855.628140204173</v>
      </c>
      <c r="O11" s="18">
        <f>Table13[[#This Row],[Buying cost]]+Table13[[#This Row],[Running cost]]*Table13[[#This Row],[In_game_life]]</f>
        <v>282823.81908449181</v>
      </c>
      <c r="P11" s="18">
        <f>Table13[[#This Row],[Annual profit]]*Table13[[#This Row],[In_game_life]]-Table13[[#This Row],[Total cost]]</f>
        <v>282823.81908449181</v>
      </c>
      <c r="Q11" s="22">
        <f>Table13[[#This Row],[Buying cost]]/buying_cost_convert*10000</f>
        <v>8080.6805452711951</v>
      </c>
      <c r="R11" s="22">
        <f>Table13[[#This Row],[Running cost]]/running_cost_convert*1000</f>
        <v>42852.093800680581</v>
      </c>
      <c r="S11" s="22">
        <f>ROUND(Table13[IG buying cost factor]/Table13[Range],0)</f>
        <v>49</v>
      </c>
      <c r="T11" s="22">
        <f>ROUND(Table13[IG running cost factor]/Table13[Range],0)</f>
        <v>260</v>
      </c>
      <c r="U11" s="18"/>
      <c r="V11" s="18"/>
      <c r="W11" s="18">
        <f>IFERROR(Table13[[#This Row],[in-game cost]]/Table13[[#This Row],[Newgrf cost factor]],0)</f>
        <v>0</v>
      </c>
      <c r="X11" s="18"/>
      <c r="Y11" s="18"/>
      <c r="Z11" s="18">
        <f>IFERROR(Table13[[#This Row],[in-game running]]/Table13[[#This Row],[Newgrf running factor]],0)</f>
        <v>0</v>
      </c>
      <c r="AA11" s="23">
        <f>(Table13[[#This Row],[Buying/distance]]*Table13[Range]/10000*buying_cost_convert-Table13[Buying cost])/Table13[Buying cost]</f>
        <v>5.3454095909447464E-4</v>
      </c>
      <c r="AB11" s="23">
        <f>(Table13[Running/distance]*Table13[Range]/1000*running_cost_convert-Table13[Running cost])/Table13[Running cost]</f>
        <v>1.1179430237936679E-3</v>
      </c>
      <c r="AD11" t="s">
        <v>164</v>
      </c>
      <c r="AE11" s="17">
        <v>0.25</v>
      </c>
    </row>
    <row r="12" spans="1:31" hidden="1" x14ac:dyDescent="0.3">
      <c r="A12" s="8" t="s">
        <v>17</v>
      </c>
      <c r="B12">
        <v>563</v>
      </c>
      <c r="C12">
        <v>48</v>
      </c>
      <c r="D12">
        <v>280</v>
      </c>
      <c r="E12">
        <f>IF(D:D&lt;minaddmultirange,MAX(Table13[[#This Row],[Base range]],Minbaserange)*rangemultipl*rangemultiplsmalladd/10000,MAX(Table13[[#This Row],[Base range]],Minbaserange)*minaddmultirange/100)</f>
        <v>280</v>
      </c>
      <c r="F12">
        <v>11</v>
      </c>
      <c r="G12" s="9">
        <f>Table13[[#This Row],[Base range]]/((Table13[[#This Row],[Speed]]/3600*16*256)/(74*2)*24/10*2)+$AE$10</f>
        <v>25.477603241563056</v>
      </c>
      <c r="H12" s="21">
        <f>ROUNDDOWN(Table13[[#This Row],[Travel_time]]*formula_vsig_time,0)</f>
        <v>10</v>
      </c>
      <c r="I1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12" s="2">
        <f>Table13[[#This Row],[Capacity]]*Table13[[#This Row],[Range]]*payment_rate*Table13[[#This Row],[Time factor]]/2^21*GBP_to_Currency</f>
        <v>5000.8621215820313</v>
      </c>
      <c r="K12" s="9">
        <f>365/Table13[[#This Row],[Travel_time]]</f>
        <v>14.326308347739509</v>
      </c>
      <c r="L12" s="2">
        <f>Table13[[#This Row],[Income per travel]]*Table13[[#This Row],[Annual travels, max]]</f>
        <v>71643.892758314963</v>
      </c>
      <c r="M12" s="2">
        <f>Table13[[#This Row],[In_game_life]]*Table13[[#This Row],[Annual profit]]*ROI____lifetime*cost_factor</f>
        <v>197020.70508536615</v>
      </c>
      <c r="N12" s="18">
        <f>Table13[[#This Row],[Annual profit]]*Running_cost_weight*runningcost_factor</f>
        <v>17910.973189578741</v>
      </c>
      <c r="O12" s="18">
        <f>Table13[[#This Row],[Buying cost]]+Table13[[#This Row],[Running cost]]*Table13[[#This Row],[In_game_life]]</f>
        <v>394041.4101707323</v>
      </c>
      <c r="P12" s="18">
        <f>Table13[[#This Row],[Annual profit]]*Table13[[#This Row],[In_game_life]]-Table13[[#This Row],[Total cost]]</f>
        <v>394041.4101707323</v>
      </c>
      <c r="Q12" s="22">
        <f>Table13[[#This Row],[Buying cost]]/buying_cost_convert*10000</f>
        <v>11258.326004878065</v>
      </c>
      <c r="R12" s="22">
        <f>Table13[[#This Row],[Running cost]]/running_cost_convert*1000</f>
        <v>59703.243965262467</v>
      </c>
      <c r="S12" s="22">
        <f>ROUND(Table13[IG buying cost factor]/Table13[Range],0)</f>
        <v>40</v>
      </c>
      <c r="T12" s="22">
        <f>ROUND(Table13[IG running cost factor]/Table13[Range],0)</f>
        <v>213</v>
      </c>
      <c r="U12" s="18"/>
      <c r="V12" s="18"/>
      <c r="W12" s="18">
        <f>IFERROR(Table13[[#This Row],[in-game cost]]/Table13[[#This Row],[Newgrf cost factor]],0)</f>
        <v>0</v>
      </c>
      <c r="X12" s="18"/>
      <c r="Y12" s="18"/>
      <c r="Z12" s="18">
        <f>IFERROR(Table13[[#This Row],[in-game running]]/Table13[[#This Row],[Newgrf running factor]],0)</f>
        <v>0</v>
      </c>
      <c r="AA12" s="23">
        <f>(Table13[[#This Row],[Buying/distance]]*Table13[Range]/10000*buying_cost_convert-Table13[Buying cost])/Table13[Buying cost]</f>
        <v>-5.1806995864920082E-3</v>
      </c>
      <c r="AB12" s="23">
        <f>(Table13[Running/distance]*Table13[Range]/1000*running_cost_convert-Table13[Running cost])/Table13[Running cost]</f>
        <v>-1.0593053419219092E-3</v>
      </c>
      <c r="AD12" t="s">
        <v>176</v>
      </c>
      <c r="AE12" s="17">
        <v>0.25</v>
      </c>
    </row>
    <row r="13" spans="1:31" hidden="1" x14ac:dyDescent="0.3">
      <c r="A13" s="10" t="s">
        <v>18</v>
      </c>
      <c r="B13">
        <v>810</v>
      </c>
      <c r="C13">
        <v>50</v>
      </c>
      <c r="D13">
        <v>540</v>
      </c>
      <c r="E13">
        <f>IF(D:D&lt;minaddmultirange,MAX(Table13[[#This Row],[Base range]],Minbaserange)*rangemultipl*rangemultiplsmalladd/10000,MAX(Table13[[#This Row],[Base range]],Minbaserange)*minaddmultirange/100)</f>
        <v>540</v>
      </c>
      <c r="F13">
        <v>25</v>
      </c>
      <c r="G13" s="9">
        <f>Table13[[#This Row],[Base range]]/((Table13[[#This Row],[Speed]]/3600*16*256)/(74*2)*24/10*2)+$AE$10</f>
        <v>30.06640625</v>
      </c>
      <c r="H13" s="21">
        <f>ROUNDDOWN(Table13[[#This Row],[Travel_time]]*formula_vsig_time,0)</f>
        <v>12</v>
      </c>
      <c r="I1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13" s="2">
        <f>Table13[[#This Row],[Capacity]]*Table13[[#This Row],[Range]]*payment_rate*Table13[[#This Row],[Time factor]]/2^21*GBP_to_Currency</f>
        <v>9964.3635749816895</v>
      </c>
      <c r="K13" s="9">
        <f>365/Table13[[#This Row],[Travel_time]]</f>
        <v>12.139794725217618</v>
      </c>
      <c r="L13" s="2">
        <f>Table13[[#This Row],[Income per travel]]*Table13[[#This Row],[Annual travels, max]]</f>
        <v>120965.32836771327</v>
      </c>
      <c r="M13" s="2">
        <f>Table13[[#This Row],[In_game_life]]*Table13[[#This Row],[Annual profit]]*ROI____lifetime*cost_factor</f>
        <v>756033.302298208</v>
      </c>
      <c r="N13" s="18">
        <f>Table13[[#This Row],[Annual profit]]*Running_cost_weight*runningcost_factor</f>
        <v>30241.332091928318</v>
      </c>
      <c r="O13" s="18">
        <f>Table13[[#This Row],[Buying cost]]+Table13[[#This Row],[Running cost]]*Table13[[#This Row],[In_game_life]]</f>
        <v>1512066.604596416</v>
      </c>
      <c r="P13" s="18">
        <f>Table13[[#This Row],[Annual profit]]*Table13[[#This Row],[In_game_life]]-Table13[[#This Row],[Total cost]]</f>
        <v>1512066.604596416</v>
      </c>
      <c r="Q13" s="22">
        <f>Table13[[#This Row],[Buying cost]]/buying_cost_convert*10000</f>
        <v>43201.902988469032</v>
      </c>
      <c r="R13" s="22">
        <f>Table13[[#This Row],[Running cost]]/running_cost_convert*1000</f>
        <v>100804.44030642773</v>
      </c>
      <c r="S13" s="22">
        <f>ROUND(Table13[IG buying cost factor]/Table13[Range],0)</f>
        <v>80</v>
      </c>
      <c r="T13" s="22">
        <f>ROUND(Table13[IG running cost factor]/Table13[Range],0)</f>
        <v>187</v>
      </c>
      <c r="U13" s="18"/>
      <c r="V13" s="18"/>
      <c r="W13" s="18">
        <f>IFERROR(Table13[[#This Row],[in-game cost]]/Table13[[#This Row],[Newgrf cost factor]],0)</f>
        <v>0</v>
      </c>
      <c r="X13" s="18"/>
      <c r="Y13" s="18"/>
      <c r="Z13" s="18">
        <f>IFERROR(Table13[[#This Row],[in-game running]]/Table13[[#This Row],[Newgrf running factor]],0)</f>
        <v>0</v>
      </c>
      <c r="AA13" s="23">
        <f>(Table13[[#This Row],[Buying/distance]]*Table13[Range]/10000*buying_cost_convert-Table13[Buying cost])/Table13[Buying cost]</f>
        <v>-4.404871863020719E-5</v>
      </c>
      <c r="AB13" s="23">
        <f>(Table13[Running/distance]*Table13[Range]/1000*running_cost_convert-Table13[Running cost])/Table13[Running cost]</f>
        <v>1.7415869086580254E-3</v>
      </c>
      <c r="AD13" t="s">
        <v>166</v>
      </c>
      <c r="AE13">
        <v>1</v>
      </c>
    </row>
    <row r="14" spans="1:31" hidden="1" x14ac:dyDescent="0.3">
      <c r="A14" s="10" t="s">
        <v>19</v>
      </c>
      <c r="B14">
        <v>810</v>
      </c>
      <c r="C14">
        <v>50</v>
      </c>
      <c r="D14">
        <v>670</v>
      </c>
      <c r="E14">
        <f>IF(D:D&lt;minaddmultirange,MAX(Table13[[#This Row],[Base range]],Minbaserange)*rangemultipl*rangemultiplsmalladd/10000,MAX(Table13[[#This Row],[Base range]],Minbaserange)*minaddmultirange/100)</f>
        <v>670</v>
      </c>
      <c r="F14">
        <v>25</v>
      </c>
      <c r="G14" s="9">
        <f>Table13[[#This Row],[Base range]]/((Table13[[#This Row],[Speed]]/3600*16*256)/(74*2)*24/10*2)+$AE$10</f>
        <v>34.415726273148152</v>
      </c>
      <c r="H14" s="21">
        <f>ROUNDDOWN(Table13[[#This Row],[Travel_time]]*formula_vsig_time,0)</f>
        <v>13</v>
      </c>
      <c r="I1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14" s="2">
        <f>Table13[[#This Row],[Capacity]]*Table13[[#This Row],[Range]]*payment_rate*Table13[[#This Row],[Time factor]]/2^21*GBP_to_Currency</f>
        <v>12312.314510345459</v>
      </c>
      <c r="K14" s="9">
        <f>365/Table13[[#This Row],[Travel_time]]</f>
        <v>10.605616662077546</v>
      </c>
      <c r="L14" s="2">
        <f>Table13[[#This Row],[Income per travel]]*Table13[[#This Row],[Annual travels, max]]</f>
        <v>130579.68791965894</v>
      </c>
      <c r="M14" s="2">
        <f>Table13[[#This Row],[In_game_life]]*Table13[[#This Row],[Annual profit]]*ROI____lifetime*cost_factor</f>
        <v>816123.0494978684</v>
      </c>
      <c r="N14" s="18">
        <f>Table13[[#This Row],[Annual profit]]*Running_cost_weight*runningcost_factor</f>
        <v>32644.921979914736</v>
      </c>
      <c r="O14" s="18">
        <f>Table13[[#This Row],[Buying cost]]+Table13[[#This Row],[Running cost]]*Table13[[#This Row],[In_game_life]]</f>
        <v>1632246.0989957368</v>
      </c>
      <c r="P14" s="18">
        <f>Table13[[#This Row],[Annual profit]]*Table13[[#This Row],[In_game_life]]-Table13[[#This Row],[Total cost]]</f>
        <v>1632246.0989957368</v>
      </c>
      <c r="Q14" s="22">
        <f>Table13[[#This Row],[Buying cost]]/buying_cost_convert*10000</f>
        <v>46635.602828449621</v>
      </c>
      <c r="R14" s="22">
        <f>Table13[[#This Row],[Running cost]]/running_cost_convert*1000</f>
        <v>108816.40659971579</v>
      </c>
      <c r="S14" s="22">
        <f>ROUND(Table13[IG buying cost factor]/Table13[Range],0)</f>
        <v>70</v>
      </c>
      <c r="T14" s="22">
        <f>ROUND(Table13[IG running cost factor]/Table13[Range],0)</f>
        <v>162</v>
      </c>
      <c r="U14" s="18"/>
      <c r="V14" s="18"/>
      <c r="W14" s="18">
        <f>IFERROR(Table13[[#This Row],[in-game cost]]/Table13[[#This Row],[Newgrf cost factor]],0)</f>
        <v>0</v>
      </c>
      <c r="X14" s="18"/>
      <c r="Y14" s="18"/>
      <c r="Z14" s="18">
        <f>IFERROR(Table13[[#This Row],[in-game running]]/Table13[[#This Row],[Newgrf running factor]],0)</f>
        <v>0</v>
      </c>
      <c r="AA14" s="23">
        <f>(Table13[[#This Row],[Buying/distance]]*Table13[Range]/10000*buying_cost_convert-Table13[Buying cost])/Table13[Buying cost]</f>
        <v>5.6694275513704886E-3</v>
      </c>
      <c r="AB14" s="23">
        <f>(Table13[Running/distance]*Table13[Range]/1000*running_cost_convert-Table13[Running cost])/Table13[Running cost]</f>
        <v>-2.540118795987663E-3</v>
      </c>
      <c r="AD14" t="s">
        <v>170</v>
      </c>
      <c r="AE14">
        <f>1/2.5</f>
        <v>0.4</v>
      </c>
    </row>
    <row r="15" spans="1:31" hidden="1" x14ac:dyDescent="0.3">
      <c r="A15" s="10" t="s">
        <v>20</v>
      </c>
      <c r="B15">
        <v>810</v>
      </c>
      <c r="C15">
        <v>50</v>
      </c>
      <c r="D15">
        <v>550</v>
      </c>
      <c r="E15">
        <f>IF(D:D&lt;minaddmultirange,MAX(Table13[[#This Row],[Base range]],Minbaserange)*rangemultipl*rangemultiplsmalladd/10000,MAX(Table13[[#This Row],[Base range]],Minbaserange)*minaddmultirange/100)</f>
        <v>550</v>
      </c>
      <c r="F15">
        <v>25</v>
      </c>
      <c r="G15" s="9">
        <f>Table13[[#This Row],[Base range]]/((Table13[[#This Row],[Speed]]/3600*16*256)/(74*2)*24/10*2)+$AE$10</f>
        <v>30.400969328703702</v>
      </c>
      <c r="H15" s="21">
        <f>ROUNDDOWN(Table13[[#This Row],[Travel_time]]*formula_vsig_time,0)</f>
        <v>12</v>
      </c>
      <c r="I1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15" s="2">
        <f>Table13[[#This Row],[Capacity]]*Table13[[#This Row],[Range]]*payment_rate*Table13[[#This Row],[Time factor]]/2^21*GBP_to_Currency</f>
        <v>10148.888826370239</v>
      </c>
      <c r="K15" s="9">
        <f>365/Table13[[#This Row],[Travel_time]]</f>
        <v>12.006196120048637</v>
      </c>
      <c r="L15" s="2">
        <f>Table13[[#This Row],[Income per travel]]*Table13[[#This Row],[Annual travels, max]]</f>
        <v>121849.54964997133</v>
      </c>
      <c r="M15" s="2">
        <f>Table13[[#This Row],[In_game_life]]*Table13[[#This Row],[Annual profit]]*ROI____lifetime*cost_factor</f>
        <v>761559.68531232083</v>
      </c>
      <c r="N15" s="18">
        <f>Table13[[#This Row],[Annual profit]]*Running_cost_weight*runningcost_factor</f>
        <v>30462.387412492833</v>
      </c>
      <c r="O15" s="18">
        <f>Table13[[#This Row],[Buying cost]]+Table13[[#This Row],[Running cost]]*Table13[[#This Row],[In_game_life]]</f>
        <v>1523119.3706246417</v>
      </c>
      <c r="P15" s="18">
        <f>Table13[[#This Row],[Annual profit]]*Table13[[#This Row],[In_game_life]]-Table13[[#This Row],[Total cost]]</f>
        <v>1523119.3706246417</v>
      </c>
      <c r="Q15" s="22">
        <f>Table13[[#This Row],[Buying cost]]/buying_cost_convert*10000</f>
        <v>43517.696303561192</v>
      </c>
      <c r="R15" s="22">
        <f>Table13[[#This Row],[Running cost]]/running_cost_convert*1000</f>
        <v>101541.29137497611</v>
      </c>
      <c r="S15" s="22">
        <f>ROUND(Table13[IG buying cost factor]/Table13[Range],0)</f>
        <v>79</v>
      </c>
      <c r="T15" s="22">
        <f>ROUND(Table13[IG running cost factor]/Table13[Range],0)</f>
        <v>185</v>
      </c>
      <c r="U15" s="18"/>
      <c r="V15" s="18"/>
      <c r="W15" s="18">
        <f>IFERROR(Table13[[#This Row],[in-game cost]]/Table13[[#This Row],[Newgrf cost factor]],0)</f>
        <v>0</v>
      </c>
      <c r="X15" s="18"/>
      <c r="Y15" s="18"/>
      <c r="Z15" s="18">
        <f>IFERROR(Table13[[#This Row],[in-game running]]/Table13[[#This Row],[Newgrf running factor]],0)</f>
        <v>0</v>
      </c>
      <c r="AA15" s="23">
        <f>(Table13[[#This Row],[Buying/distance]]*Table13[Range]/10000*buying_cost_convert-Table13[Buying cost])/Table13[Buying cost]</f>
        <v>-1.5556040257501025E-3</v>
      </c>
      <c r="AB15" s="23">
        <f>(Table13[Running/distance]*Table13[Range]/1000*running_cost_convert-Table13[Running cost])/Table13[Running cost]</f>
        <v>2.0554064479361444E-3</v>
      </c>
      <c r="AD15" t="s">
        <v>173</v>
      </c>
      <c r="AE15">
        <v>1</v>
      </c>
    </row>
    <row r="16" spans="1:31" hidden="1" x14ac:dyDescent="0.3">
      <c r="A16" s="10" t="s">
        <v>21</v>
      </c>
      <c r="B16">
        <v>810</v>
      </c>
      <c r="C16">
        <v>50</v>
      </c>
      <c r="D16">
        <v>670</v>
      </c>
      <c r="E16">
        <f>IF(D:D&lt;minaddmultirange,MAX(Table13[[#This Row],[Base range]],Minbaserange)*rangemultipl*rangemultiplsmalladd/10000,MAX(Table13[[#This Row],[Base range]],Minbaserange)*minaddmultirange/100)</f>
        <v>670</v>
      </c>
      <c r="F16">
        <v>25</v>
      </c>
      <c r="G16" s="9">
        <f>Table13[[#This Row],[Base range]]/((Table13[[#This Row],[Speed]]/3600*16*256)/(74*2)*24/10*2)+$AE$10</f>
        <v>34.415726273148152</v>
      </c>
      <c r="H16" s="21">
        <f>ROUNDDOWN(Table13[[#This Row],[Travel_time]]*formula_vsig_time,0)</f>
        <v>13</v>
      </c>
      <c r="I1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16" s="2">
        <f>Table13[[#This Row],[Capacity]]*Table13[[#This Row],[Range]]*payment_rate*Table13[[#This Row],[Time factor]]/2^21*GBP_to_Currency</f>
        <v>12312.314510345459</v>
      </c>
      <c r="K16" s="9">
        <f>365/Table13[[#This Row],[Travel_time]]</f>
        <v>10.605616662077546</v>
      </c>
      <c r="L16" s="2">
        <f>Table13[[#This Row],[Income per travel]]*Table13[[#This Row],[Annual travels, max]]</f>
        <v>130579.68791965894</v>
      </c>
      <c r="M16" s="2">
        <f>Table13[[#This Row],[In_game_life]]*Table13[[#This Row],[Annual profit]]*ROI____lifetime*cost_factor</f>
        <v>816123.0494978684</v>
      </c>
      <c r="N16" s="18">
        <f>Table13[[#This Row],[Annual profit]]*Running_cost_weight*runningcost_factor</f>
        <v>32644.921979914736</v>
      </c>
      <c r="O16" s="18">
        <f>Table13[[#This Row],[Buying cost]]+Table13[[#This Row],[Running cost]]*Table13[[#This Row],[In_game_life]]</f>
        <v>1632246.0989957368</v>
      </c>
      <c r="P16" s="18">
        <f>Table13[[#This Row],[Annual profit]]*Table13[[#This Row],[In_game_life]]-Table13[[#This Row],[Total cost]]</f>
        <v>1632246.0989957368</v>
      </c>
      <c r="Q16" s="22">
        <f>Table13[[#This Row],[Buying cost]]/buying_cost_convert*10000</f>
        <v>46635.602828449621</v>
      </c>
      <c r="R16" s="22">
        <f>Table13[[#This Row],[Running cost]]/running_cost_convert*1000</f>
        <v>108816.40659971579</v>
      </c>
      <c r="S16" s="22">
        <f>ROUND(Table13[IG buying cost factor]/Table13[Range],0)</f>
        <v>70</v>
      </c>
      <c r="T16" s="22">
        <f>ROUND(Table13[IG running cost factor]/Table13[Range],0)</f>
        <v>162</v>
      </c>
      <c r="U16" s="18"/>
      <c r="V16" s="18"/>
      <c r="W16" s="18">
        <f>IFERROR(Table13[[#This Row],[in-game cost]]/Table13[[#This Row],[Newgrf cost factor]],0)</f>
        <v>0</v>
      </c>
      <c r="X16" s="18"/>
      <c r="Y16" s="18"/>
      <c r="Z16" s="18">
        <f>IFERROR(Table13[[#This Row],[in-game running]]/Table13[[#This Row],[Newgrf running factor]],0)</f>
        <v>0</v>
      </c>
      <c r="AA16" s="23">
        <f>(Table13[[#This Row],[Buying/distance]]*Table13[Range]/10000*buying_cost_convert-Table13[Buying cost])/Table13[Buying cost]</f>
        <v>5.6694275513704886E-3</v>
      </c>
      <c r="AB16" s="23">
        <f>(Table13[Running/distance]*Table13[Range]/1000*running_cost_convert-Table13[Running cost])/Table13[Running cost]</f>
        <v>-2.540118795987663E-3</v>
      </c>
      <c r="AD16" s="12" t="s">
        <v>174</v>
      </c>
      <c r="AE16">
        <v>1</v>
      </c>
    </row>
    <row r="17" spans="1:31" hidden="1" x14ac:dyDescent="0.3">
      <c r="A17" s="11" t="s">
        <v>22</v>
      </c>
      <c r="B17">
        <v>531</v>
      </c>
      <c r="C17">
        <v>50</v>
      </c>
      <c r="D17">
        <v>280</v>
      </c>
      <c r="E17">
        <f>IF(D:D&lt;minaddmultirange,MAX(Table13[[#This Row],[Base range]],Minbaserange)*rangemultipl*rangemultiplsmalladd/10000,MAX(Table13[[#This Row],[Base range]],Minbaserange)*minaddmultirange/100)</f>
        <v>280</v>
      </c>
      <c r="F17">
        <v>25</v>
      </c>
      <c r="G17" s="9">
        <f>Table13[[#This Row],[Base range]]/((Table13[[#This Row],[Speed]]/3600*16*256)/(74*2)*24/10*2)+$AE$10</f>
        <v>26.289812853107346</v>
      </c>
      <c r="H17" s="21">
        <f>ROUNDDOWN(Table13[[#This Row],[Travel_time]]*formula_vsig_time,0)</f>
        <v>10</v>
      </c>
      <c r="I1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17" s="2">
        <f>Table13[[#This Row],[Capacity]]*Table13[[#This Row],[Range]]*payment_rate*Table13[[#This Row],[Time factor]]/2^21*GBP_to_Currency</f>
        <v>5209.2313766479492</v>
      </c>
      <c r="K17" s="9">
        <f>365/Table13[[#This Row],[Travel_time]]</f>
        <v>13.883704765774265</v>
      </c>
      <c r="L17" s="2">
        <f>Table13[[#This Row],[Income per travel]]*Table13[[#This Row],[Annual travels, max]]</f>
        <v>72323.430489987964</v>
      </c>
      <c r="M17" s="2">
        <f>Table13[[#This Row],[In_game_life]]*Table13[[#This Row],[Annual profit]]*ROI____lifetime*cost_factor</f>
        <v>452021.44056242477</v>
      </c>
      <c r="N17" s="18">
        <f>Table13[[#This Row],[Annual profit]]*Running_cost_weight*runningcost_factor</f>
        <v>18080.857622496991</v>
      </c>
      <c r="O17" s="18">
        <f>Table13[[#This Row],[Buying cost]]+Table13[[#This Row],[Running cost]]*Table13[[#This Row],[In_game_life]]</f>
        <v>904042.88112484955</v>
      </c>
      <c r="P17" s="18">
        <f>Table13[[#This Row],[Annual profit]]*Table13[[#This Row],[In_game_life]]-Table13[[#This Row],[Total cost]]</f>
        <v>904042.88112484955</v>
      </c>
      <c r="Q17" s="22">
        <f>Table13[[#This Row],[Buying cost]]/buying_cost_convert*10000</f>
        <v>25829.796603567127</v>
      </c>
      <c r="R17" s="22">
        <f>Table13[[#This Row],[Running cost]]/running_cost_convert*1000</f>
        <v>60269.525408323301</v>
      </c>
      <c r="S17" s="22">
        <f>ROUND(Table13[IG buying cost factor]/Table13[Range],0)</f>
        <v>92</v>
      </c>
      <c r="T17" s="22">
        <f>ROUND(Table13[IG running cost factor]/Table13[Range],0)</f>
        <v>215</v>
      </c>
      <c r="U17" s="18"/>
      <c r="V17" s="18"/>
      <c r="W17" s="18">
        <f>IFERROR(Table13[[#This Row],[in-game cost]]/Table13[[#This Row],[Newgrf cost factor]],0)</f>
        <v>0</v>
      </c>
      <c r="X17" s="18"/>
      <c r="Y17" s="18"/>
      <c r="Z17" s="18">
        <f>IFERROR(Table13[[#This Row],[in-game running]]/Table13[[#This Row],[Newgrf running factor]],0)</f>
        <v>0</v>
      </c>
      <c r="AA17" s="23">
        <f>(Table13[[#This Row],[Buying/distance]]*Table13[Range]/10000*buying_cost_convert-Table13[Buying cost])/Table13[Buying cost]</f>
        <v>-2.7021739519811367E-3</v>
      </c>
      <c r="AB17" s="23">
        <f>(Table13[Running/distance]*Table13[Range]/1000*running_cost_convert-Table13[Running cost])/Table13[Running cost]</f>
        <v>-1.1535748432109291E-3</v>
      </c>
      <c r="AD17" t="s">
        <v>175</v>
      </c>
      <c r="AE17" s="13">
        <v>1</v>
      </c>
    </row>
    <row r="18" spans="1:31" hidden="1" x14ac:dyDescent="0.3">
      <c r="A18" s="11" t="s">
        <v>23</v>
      </c>
      <c r="B18">
        <v>531</v>
      </c>
      <c r="C18">
        <v>50</v>
      </c>
      <c r="D18">
        <v>280</v>
      </c>
      <c r="E18">
        <f>IF(D:D&lt;minaddmultirange,MAX(Table13[[#This Row],[Base range]],Minbaserange)*rangemultipl*rangemultiplsmalladd/10000,MAX(Table13[[#This Row],[Base range]],Minbaserange)*minaddmultirange/100)</f>
        <v>280</v>
      </c>
      <c r="F18">
        <v>25</v>
      </c>
      <c r="G18" s="9">
        <f>Table13[[#This Row],[Base range]]/((Table13[[#This Row],[Speed]]/3600*16*256)/(74*2)*24/10*2)+$AE$10</f>
        <v>26.289812853107346</v>
      </c>
      <c r="H18" s="21">
        <f>ROUNDDOWN(Table13[[#This Row],[Travel_time]]*formula_vsig_time,0)</f>
        <v>10</v>
      </c>
      <c r="I1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18" s="2">
        <f>Table13[[#This Row],[Capacity]]*Table13[[#This Row],[Range]]*payment_rate*Table13[[#This Row],[Time factor]]/2^21*GBP_to_Currency</f>
        <v>5209.2313766479492</v>
      </c>
      <c r="K18" s="9">
        <f>365/Table13[[#This Row],[Travel_time]]</f>
        <v>13.883704765774265</v>
      </c>
      <c r="L18" s="2">
        <f>Table13[[#This Row],[Income per travel]]*Table13[[#This Row],[Annual travels, max]]</f>
        <v>72323.430489987964</v>
      </c>
      <c r="M18" s="2">
        <f>Table13[[#This Row],[In_game_life]]*Table13[[#This Row],[Annual profit]]*ROI____lifetime*cost_factor</f>
        <v>452021.44056242477</v>
      </c>
      <c r="N18" s="18">
        <f>Table13[[#This Row],[Annual profit]]*Running_cost_weight*runningcost_factor</f>
        <v>18080.857622496991</v>
      </c>
      <c r="O18" s="18">
        <f>Table13[[#This Row],[Buying cost]]+Table13[[#This Row],[Running cost]]*Table13[[#This Row],[In_game_life]]</f>
        <v>904042.88112484955</v>
      </c>
      <c r="P18" s="18">
        <f>Table13[[#This Row],[Annual profit]]*Table13[[#This Row],[In_game_life]]-Table13[[#This Row],[Total cost]]</f>
        <v>904042.88112484955</v>
      </c>
      <c r="Q18" s="22">
        <f>Table13[[#This Row],[Buying cost]]/buying_cost_convert*10000</f>
        <v>25829.796603567127</v>
      </c>
      <c r="R18" s="22">
        <f>Table13[[#This Row],[Running cost]]/running_cost_convert*1000</f>
        <v>60269.525408323301</v>
      </c>
      <c r="S18" s="22">
        <f>ROUND(Table13[IG buying cost factor]/Table13[Range],0)</f>
        <v>92</v>
      </c>
      <c r="T18" s="22">
        <f>ROUND(Table13[IG running cost factor]/Table13[Range],0)</f>
        <v>215</v>
      </c>
      <c r="U18" s="18"/>
      <c r="V18" s="18"/>
      <c r="W18" s="18">
        <f>IFERROR(Table13[[#This Row],[in-game cost]]/Table13[[#This Row],[Newgrf cost factor]],0)</f>
        <v>0</v>
      </c>
      <c r="X18" s="18"/>
      <c r="Y18" s="18"/>
      <c r="Z18" s="18">
        <f>IFERROR(Table13[[#This Row],[in-game running]]/Table13[[#This Row],[Newgrf running factor]],0)</f>
        <v>0</v>
      </c>
      <c r="AA18" s="23">
        <f>(Table13[[#This Row],[Buying/distance]]*Table13[Range]/10000*buying_cost_convert-Table13[Buying cost])/Table13[Buying cost]</f>
        <v>-2.7021739519811367E-3</v>
      </c>
      <c r="AB18" s="23">
        <f>(Table13[Running/distance]*Table13[Range]/1000*running_cost_convert-Table13[Running cost])/Table13[Running cost]</f>
        <v>-1.1535748432109291E-3</v>
      </c>
      <c r="AD18" t="s">
        <v>196</v>
      </c>
      <c r="AE18">
        <f>MAX(Table13[multiplier])</f>
        <v>175000</v>
      </c>
    </row>
    <row r="19" spans="1:31" hidden="1" x14ac:dyDescent="0.3">
      <c r="A19" s="10" t="s">
        <v>24</v>
      </c>
      <c r="B19">
        <v>829</v>
      </c>
      <c r="C19">
        <v>50</v>
      </c>
      <c r="D19">
        <v>515</v>
      </c>
      <c r="E19">
        <f>IF(D:D&lt;minaddmultirange,MAX(Table13[[#This Row],[Base range]],Minbaserange)*rangemultipl*rangemultiplsmalladd/10000,MAX(Table13[[#This Row],[Base range]],Minbaserange)*minaddmultirange/100)</f>
        <v>515</v>
      </c>
      <c r="F19">
        <v>18</v>
      </c>
      <c r="G19" s="9">
        <f>Table13[[#This Row],[Base range]]/((Table13[[#This Row],[Speed]]/3600*16*256)/(74*2)*24/10*2)+$AE$10</f>
        <v>28.835101119571771</v>
      </c>
      <c r="H19" s="21">
        <f>ROUNDDOWN(Table13[[#This Row],[Travel_time]]*formula_vsig_time,0)</f>
        <v>11</v>
      </c>
      <c r="I1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19" s="2">
        <f>Table13[[#This Row],[Capacity]]*Table13[[#This Row],[Range]]*payment_rate*Table13[[#This Row],[Time factor]]/2^21*GBP_to_Currency</f>
        <v>9542.1576499938965</v>
      </c>
      <c r="K19" s="9">
        <f>365/Table13[[#This Row],[Travel_time]]</f>
        <v>12.658183457947263</v>
      </c>
      <c r="L19" s="2">
        <f>Table13[[#This Row],[Income per travel]]*Table13[[#This Row],[Annual travels, max]]</f>
        <v>120786.38211827767</v>
      </c>
      <c r="M19" s="2">
        <f>Table13[[#This Row],[In_game_life]]*Table13[[#This Row],[Annual profit]]*ROI____lifetime*cost_factor</f>
        <v>543538.7195322495</v>
      </c>
      <c r="N19" s="18">
        <f>Table13[[#This Row],[Annual profit]]*Running_cost_weight*runningcost_factor</f>
        <v>30196.595529569418</v>
      </c>
      <c r="O19" s="18">
        <f>Table13[[#This Row],[Buying cost]]+Table13[[#This Row],[Running cost]]*Table13[[#This Row],[In_game_life]]</f>
        <v>1087077.439064499</v>
      </c>
      <c r="P19" s="18">
        <f>Table13[[#This Row],[Annual profit]]*Table13[[#This Row],[In_game_life]]-Table13[[#This Row],[Total cost]]</f>
        <v>1087077.439064499</v>
      </c>
      <c r="Q19" s="22">
        <f>Table13[[#This Row],[Buying cost]]/buying_cost_convert*10000</f>
        <v>31059.355401842826</v>
      </c>
      <c r="R19" s="22">
        <f>Table13[[#This Row],[Running cost]]/running_cost_convert*1000</f>
        <v>100655.31843189806</v>
      </c>
      <c r="S19" s="22">
        <f>ROUND(Table13[IG buying cost factor]/Table13[Range],0)</f>
        <v>60</v>
      </c>
      <c r="T19" s="22">
        <f>ROUND(Table13[IG running cost factor]/Table13[Range],0)</f>
        <v>195</v>
      </c>
      <c r="U19" s="18"/>
      <c r="V19" s="18"/>
      <c r="W19" s="18">
        <f>IFERROR(Table13[[#This Row],[in-game cost]]/Table13[[#This Row],[Newgrf cost factor]],0)</f>
        <v>0</v>
      </c>
      <c r="X19" s="18"/>
      <c r="Y19" s="18"/>
      <c r="Z19" s="18">
        <f>IFERROR(Table13[[#This Row],[in-game running]]/Table13[[#This Row],[Newgrf running factor]],0)</f>
        <v>0</v>
      </c>
      <c r="AA19" s="23">
        <f>(Table13[[#This Row],[Buying/distance]]*Table13[Range]/10000*buying_cost_convert-Table13[Buying cost])/Table13[Buying cost]</f>
        <v>-5.1306731830427282E-3</v>
      </c>
      <c r="AB19" s="23">
        <f>(Table13[Running/distance]*Table13[Range]/1000*running_cost_convert-Table13[Running cost])/Table13[Running cost]</f>
        <v>-2.2881893921372033E-3</v>
      </c>
      <c r="AD19" t="s">
        <v>197</v>
      </c>
      <c r="AE19">
        <f>MAX(Table13[mulpilier])</f>
        <v>300</v>
      </c>
    </row>
    <row r="20" spans="1:31" hidden="1" x14ac:dyDescent="0.3">
      <c r="A20" s="10" t="s">
        <v>26</v>
      </c>
      <c r="B20">
        <v>829</v>
      </c>
      <c r="C20">
        <v>50</v>
      </c>
      <c r="D20">
        <v>515</v>
      </c>
      <c r="E20">
        <f>IF(D:D&lt;minaddmultirange,MAX(Table13[[#This Row],[Base range]],Minbaserange)*rangemultipl*rangemultiplsmalladd/10000,MAX(Table13[[#This Row],[Base range]],Minbaserange)*minaddmultirange/100)</f>
        <v>515</v>
      </c>
      <c r="F20">
        <v>18</v>
      </c>
      <c r="G20" s="9">
        <f>Table13[[#This Row],[Base range]]/((Table13[[#This Row],[Speed]]/3600*16*256)/(74*2)*24/10*2)+$AE$10</f>
        <v>28.835101119571771</v>
      </c>
      <c r="H20" s="21">
        <f>ROUNDDOWN(Table13[[#This Row],[Travel_time]]*formula_vsig_time,0)</f>
        <v>11</v>
      </c>
      <c r="I2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20" s="2">
        <f>Table13[[#This Row],[Capacity]]*Table13[[#This Row],[Range]]*payment_rate*Table13[[#This Row],[Time factor]]/2^21*GBP_to_Currency</f>
        <v>9542.1576499938965</v>
      </c>
      <c r="K20" s="9">
        <f>365/Table13[[#This Row],[Travel_time]]</f>
        <v>12.658183457947263</v>
      </c>
      <c r="L20" s="2">
        <f>Table13[[#This Row],[Income per travel]]*Table13[[#This Row],[Annual travels, max]]</f>
        <v>120786.38211827767</v>
      </c>
      <c r="M20" s="2">
        <f>Table13[[#This Row],[In_game_life]]*Table13[[#This Row],[Annual profit]]*ROI____lifetime*cost_factor</f>
        <v>543538.7195322495</v>
      </c>
      <c r="N20" s="18">
        <f>Table13[[#This Row],[Annual profit]]*Running_cost_weight*runningcost_factor</f>
        <v>30196.595529569418</v>
      </c>
      <c r="O20" s="18">
        <f>Table13[[#This Row],[Buying cost]]+Table13[[#This Row],[Running cost]]*Table13[[#This Row],[In_game_life]]</f>
        <v>1087077.439064499</v>
      </c>
      <c r="P20" s="18">
        <f>Table13[[#This Row],[Annual profit]]*Table13[[#This Row],[In_game_life]]-Table13[[#This Row],[Total cost]]</f>
        <v>1087077.439064499</v>
      </c>
      <c r="Q20" s="22">
        <f>Table13[[#This Row],[Buying cost]]/buying_cost_convert*10000</f>
        <v>31059.355401842826</v>
      </c>
      <c r="R20" s="22">
        <f>Table13[[#This Row],[Running cost]]/running_cost_convert*1000</f>
        <v>100655.31843189806</v>
      </c>
      <c r="S20" s="22">
        <f>ROUND(Table13[IG buying cost factor]/Table13[Range],0)</f>
        <v>60</v>
      </c>
      <c r="T20" s="22">
        <f>ROUND(Table13[IG running cost factor]/Table13[Range],0)</f>
        <v>195</v>
      </c>
      <c r="U20" s="18"/>
      <c r="V20" s="18"/>
      <c r="W20" s="18">
        <f>IFERROR(Table13[[#This Row],[in-game cost]]/Table13[[#This Row],[Newgrf cost factor]],0)</f>
        <v>0</v>
      </c>
      <c r="X20" s="18"/>
      <c r="Y20" s="18"/>
      <c r="Z20" s="18">
        <f>IFERROR(Table13[[#This Row],[in-game running]]/Table13[[#This Row],[Newgrf running factor]],0)</f>
        <v>0</v>
      </c>
      <c r="AA20" s="23">
        <f>(Table13[[#This Row],[Buying/distance]]*Table13[Range]/10000*buying_cost_convert-Table13[Buying cost])/Table13[Buying cost]</f>
        <v>-5.1306731830427282E-3</v>
      </c>
      <c r="AB20" s="23">
        <f>(Table13[Running/distance]*Table13[Range]/1000*running_cost_convert-Table13[Running cost])/Table13[Running cost]</f>
        <v>-2.2881893921372033E-3</v>
      </c>
    </row>
    <row r="21" spans="1:31" hidden="1" x14ac:dyDescent="0.3">
      <c r="A21" s="10" t="s">
        <v>27</v>
      </c>
      <c r="B21">
        <v>829</v>
      </c>
      <c r="C21">
        <v>50</v>
      </c>
      <c r="D21">
        <v>665</v>
      </c>
      <c r="E21">
        <f>IF(D:D&lt;minaddmultirange,MAX(Table13[[#This Row],[Base range]],Minbaserange)*rangemultipl*rangemultiplsmalladd/10000,MAX(Table13[[#This Row],[Base range]],Minbaserange)*minaddmultirange/100)</f>
        <v>665</v>
      </c>
      <c r="F21">
        <v>18</v>
      </c>
      <c r="G21" s="9">
        <f>Table13[[#This Row],[Base range]]/((Table13[[#This Row],[Speed]]/3600*16*256)/(74*2)*24/10*2)+$AE$10</f>
        <v>33.738528630126659</v>
      </c>
      <c r="H21" s="21">
        <f>ROUNDDOWN(Table13[[#This Row],[Travel_time]]*formula_vsig_time,0)</f>
        <v>13</v>
      </c>
      <c r="I2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21" s="2">
        <f>Table13[[#This Row],[Capacity]]*Table13[[#This Row],[Range]]*payment_rate*Table13[[#This Row],[Time factor]]/2^21*GBP_to_Currency</f>
        <v>12220.431566238403</v>
      </c>
      <c r="K21" s="9">
        <f>365/Table13[[#This Row],[Travel_time]]</f>
        <v>10.818491938444375</v>
      </c>
      <c r="L21" s="2">
        <f>Table13[[#This Row],[Income per travel]]*Table13[[#This Row],[Annual travels, max]]</f>
        <v>132206.64038366132</v>
      </c>
      <c r="M21" s="2">
        <f>Table13[[#This Row],[In_game_life]]*Table13[[#This Row],[Annual profit]]*ROI____lifetime*cost_factor</f>
        <v>594929.8817264759</v>
      </c>
      <c r="N21" s="18">
        <f>Table13[[#This Row],[Annual profit]]*Running_cost_weight*runningcost_factor</f>
        <v>33051.660095915329</v>
      </c>
      <c r="O21" s="18">
        <f>Table13[[#This Row],[Buying cost]]+Table13[[#This Row],[Running cost]]*Table13[[#This Row],[In_game_life]]</f>
        <v>1189859.7634529518</v>
      </c>
      <c r="P21" s="18">
        <f>Table13[[#This Row],[Annual profit]]*Table13[[#This Row],[In_game_life]]-Table13[[#This Row],[Total cost]]</f>
        <v>1189859.7634529518</v>
      </c>
      <c r="Q21" s="22">
        <f>Table13[[#This Row],[Buying cost]]/buying_cost_convert*10000</f>
        <v>33995.993241512908</v>
      </c>
      <c r="R21" s="22">
        <f>Table13[[#This Row],[Running cost]]/running_cost_convert*1000</f>
        <v>110172.20031971775</v>
      </c>
      <c r="S21" s="22">
        <f>ROUND(Table13[IG buying cost factor]/Table13[Range],0)</f>
        <v>51</v>
      </c>
      <c r="T21" s="22">
        <f>ROUND(Table13[IG running cost factor]/Table13[Range],0)</f>
        <v>166</v>
      </c>
      <c r="U21" s="18"/>
      <c r="V21" s="18"/>
      <c r="W21" s="18">
        <f>IFERROR(Table13[[#This Row],[in-game cost]]/Table13[[#This Row],[Newgrf cost factor]],0)</f>
        <v>0</v>
      </c>
      <c r="X21" s="18"/>
      <c r="Y21" s="18"/>
      <c r="Z21" s="18">
        <f>IFERROR(Table13[[#This Row],[in-game running]]/Table13[[#This Row],[Newgrf running factor]],0)</f>
        <v>0</v>
      </c>
      <c r="AA21" s="23">
        <f>(Table13[[#This Row],[Buying/distance]]*Table13[Range]/10000*buying_cost_convert-Table13[Buying cost])/Table13[Buying cost]</f>
        <v>-2.3824349221839079E-3</v>
      </c>
      <c r="AB21" s="23">
        <f>(Table13[Running/distance]*Table13[Range]/1000*running_cost_convert-Table13[Running cost])/Table13[Running cost]</f>
        <v>1.9769023369796091E-3</v>
      </c>
    </row>
    <row r="22" spans="1:31" hidden="1" x14ac:dyDescent="0.3">
      <c r="A22" s="11" t="s">
        <v>28</v>
      </c>
      <c r="B22">
        <v>531</v>
      </c>
      <c r="C22">
        <v>50</v>
      </c>
      <c r="D22">
        <v>370</v>
      </c>
      <c r="E22">
        <f>IF(D:D&lt;minaddmultirange,MAX(Table13[[#This Row],[Base range]],Minbaserange)*rangemultipl*rangemultiplsmalladd/10000,MAX(Table13[[#This Row],[Base range]],Minbaserange)*minaddmultirange/100)</f>
        <v>370</v>
      </c>
      <c r="F22">
        <v>20</v>
      </c>
      <c r="G22" s="9">
        <f>Table13[[#This Row],[Base range]]/((Table13[[#This Row],[Speed]]/3600*16*256)/(74*2)*24/10*2)+$AE$10</f>
        <v>30.88296698446328</v>
      </c>
      <c r="H22" s="21">
        <f>ROUNDDOWN(Table13[[#This Row],[Travel_time]]*formula_vsig_time,0)</f>
        <v>12</v>
      </c>
      <c r="I2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22" s="2">
        <f>Table13[[#This Row],[Capacity]]*Table13[[#This Row],[Range]]*payment_rate*Table13[[#This Row],[Time factor]]/2^21*GBP_to_Currency</f>
        <v>6827.4343013763428</v>
      </c>
      <c r="K22" s="9">
        <f>365/Table13[[#This Row],[Travel_time]]</f>
        <v>11.818812621974617</v>
      </c>
      <c r="L22" s="2">
        <f>Table13[[#This Row],[Income per travel]]*Table13[[#This Row],[Annual travels, max]]</f>
        <v>80692.166696809174</v>
      </c>
      <c r="M22" s="2">
        <f>Table13[[#This Row],[In_game_life]]*Table13[[#This Row],[Annual profit]]*ROI____lifetime*cost_factor</f>
        <v>403460.83348404587</v>
      </c>
      <c r="N22" s="18">
        <f>Table13[[#This Row],[Annual profit]]*Running_cost_weight*runningcost_factor</f>
        <v>20173.041674202294</v>
      </c>
      <c r="O22" s="18">
        <f>Table13[[#This Row],[Buying cost]]+Table13[[#This Row],[Running cost]]*Table13[[#This Row],[In_game_life]]</f>
        <v>806921.66696809174</v>
      </c>
      <c r="P22" s="18">
        <f>Table13[[#This Row],[Annual profit]]*Table13[[#This Row],[In_game_life]]-Table13[[#This Row],[Total cost]]</f>
        <v>806921.66696809174</v>
      </c>
      <c r="Q22" s="22">
        <f>Table13[[#This Row],[Buying cost]]/buying_cost_convert*10000</f>
        <v>23054.904770516907</v>
      </c>
      <c r="R22" s="22">
        <f>Table13[[#This Row],[Running cost]]/running_cost_convert*1000</f>
        <v>67243.472247340978</v>
      </c>
      <c r="S22" s="22">
        <f>ROUND(Table13[IG buying cost factor]/Table13[Range],0)</f>
        <v>62</v>
      </c>
      <c r="T22" s="22">
        <f>ROUND(Table13[IG running cost factor]/Table13[Range],0)</f>
        <v>182</v>
      </c>
      <c r="U22" s="18"/>
      <c r="V22" s="18"/>
      <c r="W22" s="18">
        <f>IFERROR(Table13[[#This Row],[in-game cost]]/Table13[[#This Row],[Newgrf cost factor]],0)</f>
        <v>0</v>
      </c>
      <c r="X22" s="18"/>
      <c r="Y22" s="18"/>
      <c r="Z22" s="18">
        <f>IFERROR(Table13[[#This Row],[in-game running]]/Table13[[#This Row],[Newgrf running factor]],0)</f>
        <v>0</v>
      </c>
      <c r="AA22" s="23">
        <f>(Table13[[#This Row],[Buying/distance]]*Table13[Range]/10000*buying_cost_convert-Table13[Buying cost])/Table13[Buying cost]</f>
        <v>-4.9839620532221626E-3</v>
      </c>
      <c r="AB22" s="23">
        <f>(Table13[Running/distance]*Table13[Range]/1000*running_cost_convert-Table13[Running cost])/Table13[Running cost]</f>
        <v>1.4354962561118883E-3</v>
      </c>
    </row>
    <row r="23" spans="1:31" hidden="1" x14ac:dyDescent="0.3">
      <c r="A23" s="14" t="s">
        <v>29</v>
      </c>
      <c r="B23">
        <v>969</v>
      </c>
      <c r="C23">
        <v>56</v>
      </c>
      <c r="D23">
        <v>380</v>
      </c>
      <c r="E23">
        <f>IF(D:D&lt;minaddmultirange,MAX(Table13[[#This Row],[Base range]],Minbaserange)*rangemultipl*rangemultiplsmalladd/10000,MAX(Table13[[#This Row],[Base range]],Minbaserange)*minaddmultirange/100)</f>
        <v>380</v>
      </c>
      <c r="F23">
        <v>15</v>
      </c>
      <c r="G23" s="9">
        <f>Table13[[#This Row],[Base range]]/((Table13[[#This Row],[Speed]]/3600*16*256)/(74*2)*24/10*2)+$AE$10</f>
        <v>22.627297794117645</v>
      </c>
      <c r="H23" s="21">
        <f>ROUNDDOWN(Table13[[#This Row],[Travel_time]]*formula_vsig_time,0)</f>
        <v>9</v>
      </c>
      <c r="I2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246</v>
      </c>
      <c r="J23" s="2">
        <f>Table13[[#This Row],[Capacity]]*Table13[[#This Row],[Range]]*payment_rate*Table13[[#This Row],[Time factor]]/2^21*GBP_to_Currency</f>
        <v>7950.3501892089844</v>
      </c>
      <c r="K23" s="9">
        <f>365/Table13[[#This Row],[Travel_time]]</f>
        <v>16.130958425574264</v>
      </c>
      <c r="L23" s="2">
        <f>Table13[[#This Row],[Income per travel]]*Table13[[#This Row],[Annual travels, max]]</f>
        <v>128246.76837088661</v>
      </c>
      <c r="M23" s="2">
        <f>Table13[[#This Row],[In_game_life]]*Table13[[#This Row],[Annual profit]]*ROI____lifetime*cost_factor</f>
        <v>480925.3813908248</v>
      </c>
      <c r="N23" s="18">
        <f>Table13[[#This Row],[Annual profit]]*Running_cost_weight*runningcost_factor</f>
        <v>32061.692092721652</v>
      </c>
      <c r="O23" s="18">
        <f>Table13[[#This Row],[Buying cost]]+Table13[[#This Row],[Running cost]]*Table13[[#This Row],[In_game_life]]</f>
        <v>961850.7627816496</v>
      </c>
      <c r="P23" s="18">
        <f>Table13[[#This Row],[Annual profit]]*Table13[[#This Row],[In_game_life]]-Table13[[#This Row],[Total cost]]</f>
        <v>961850.7627816496</v>
      </c>
      <c r="Q23" s="22">
        <f>Table13[[#This Row],[Buying cost]]/buying_cost_convert*10000</f>
        <v>27481.45036518999</v>
      </c>
      <c r="R23" s="22">
        <f>Table13[[#This Row],[Running cost]]/running_cost_convert*1000</f>
        <v>106872.30697573884</v>
      </c>
      <c r="S23" s="22">
        <f>ROUND(Table13[IG buying cost factor]/Table13[Range],0)</f>
        <v>72</v>
      </c>
      <c r="T23" s="22">
        <f>ROUND(Table13[IG running cost factor]/Table13[Range],0)</f>
        <v>281</v>
      </c>
      <c r="U23" s="18"/>
      <c r="V23" s="18"/>
      <c r="W23" s="18">
        <f>IFERROR(Table13[[#This Row],[in-game cost]]/Table13[[#This Row],[Newgrf cost factor]],0)</f>
        <v>0</v>
      </c>
      <c r="X23" s="18"/>
      <c r="Y23" s="18"/>
      <c r="Z23" s="18">
        <f>IFERROR(Table13[[#This Row],[in-game running]]/Table13[[#This Row],[Newgrf running factor]],0)</f>
        <v>0</v>
      </c>
      <c r="AA23" s="23">
        <f>(Table13[[#This Row],[Buying/distance]]*Table13[Range]/10000*buying_cost_convert-Table13[Buying cost])/Table13[Buying cost]</f>
        <v>-4.4193579151056385E-3</v>
      </c>
      <c r="AB23" s="23">
        <f>(Table13[Running/distance]*Table13[Range]/1000*running_cost_convert-Table13[Running cost])/Table13[Running cost]</f>
        <v>-8.6371276480254279E-4</v>
      </c>
    </row>
    <row r="24" spans="1:31" hidden="1" x14ac:dyDescent="0.3">
      <c r="A24" s="10" t="s">
        <v>30</v>
      </c>
      <c r="B24">
        <v>829</v>
      </c>
      <c r="C24">
        <v>70</v>
      </c>
      <c r="D24">
        <v>405</v>
      </c>
      <c r="E24">
        <f>IF(D:D&lt;minaddmultirange,MAX(Table13[[#This Row],[Base range]],Minbaserange)*rangemultipl*rangemultiplsmalladd/10000,MAX(Table13[[#This Row],[Base range]],Minbaserange)*minaddmultirange/100)</f>
        <v>405</v>
      </c>
      <c r="F24">
        <v>25</v>
      </c>
      <c r="G24" s="9">
        <f>Table13[[#This Row],[Base range]]/((Table13[[#This Row],[Speed]]/3600*16*256)/(74*2)*24/10*2)+$AE$10</f>
        <v>25.239254278498191</v>
      </c>
      <c r="H24" s="21">
        <f>ROUNDDOWN(Table13[[#This Row],[Travel_time]]*formula_vsig_time,0)</f>
        <v>10</v>
      </c>
      <c r="I2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24" s="2">
        <f>Table13[[#This Row],[Capacity]]*Table13[[#This Row],[Range]]*payment_rate*Table13[[#This Row],[Time factor]]/2^21*GBP_to_Currency</f>
        <v>10548.693537712097</v>
      </c>
      <c r="K24" s="9">
        <f>365/Table13[[#This Row],[Travel_time]]</f>
        <v>14.461600012919185</v>
      </c>
      <c r="L24" s="2">
        <f>Table13[[#This Row],[Income per travel]]*Table13[[#This Row],[Annual travels, max]]</f>
        <v>152550.98660125778</v>
      </c>
      <c r="M24" s="2">
        <f>Table13[[#This Row],[In_game_life]]*Table13[[#This Row],[Annual profit]]*ROI____lifetime*cost_factor</f>
        <v>953443.66625786119</v>
      </c>
      <c r="N24" s="18">
        <f>Table13[[#This Row],[Annual profit]]*Running_cost_weight*runningcost_factor</f>
        <v>38137.746650314446</v>
      </c>
      <c r="O24" s="18">
        <f>Table13[[#This Row],[Buying cost]]+Table13[[#This Row],[Running cost]]*Table13[[#This Row],[In_game_life]]</f>
        <v>1906887.3325157224</v>
      </c>
      <c r="P24" s="18">
        <f>Table13[[#This Row],[Annual profit]]*Table13[[#This Row],[In_game_life]]-Table13[[#This Row],[Total cost]]</f>
        <v>1906887.3325157224</v>
      </c>
      <c r="Q24" s="22">
        <f>Table13[[#This Row],[Buying cost]]/buying_cost_convert*10000</f>
        <v>54482.495214734925</v>
      </c>
      <c r="R24" s="22">
        <f>Table13[[#This Row],[Running cost]]/running_cost_convert*1000</f>
        <v>127125.82216771481</v>
      </c>
      <c r="S24" s="22">
        <f>ROUND(Table13[IG buying cost factor]/Table13[Range],0)</f>
        <v>135</v>
      </c>
      <c r="T24" s="22">
        <f>ROUND(Table13[IG running cost factor]/Table13[Range],0)</f>
        <v>314</v>
      </c>
      <c r="U24" s="18"/>
      <c r="V24" s="18"/>
      <c r="W24" s="18">
        <f>IFERROR(Table13[[#This Row],[in-game cost]]/Table13[[#This Row],[Newgrf cost factor]],0)</f>
        <v>0</v>
      </c>
      <c r="X24" s="18"/>
      <c r="Y24" s="18"/>
      <c r="Z24" s="18">
        <f>IFERROR(Table13[[#This Row],[in-game running]]/Table13[[#This Row],[Newgrf running factor]],0)</f>
        <v>0</v>
      </c>
      <c r="AA24" s="23">
        <f>(Table13[[#This Row],[Buying/distance]]*Table13[Range]/10000*buying_cost_convert-Table13[Buying cost])/Table13[Buying cost]</f>
        <v>3.5333327614006133E-3</v>
      </c>
      <c r="AB24" s="23">
        <f>(Table13[Running/distance]*Table13[Range]/1000*running_cost_convert-Table13[Running cost])/Table13[Running cost]</f>
        <v>3.4751265739620493E-4</v>
      </c>
    </row>
    <row r="25" spans="1:31" hidden="1" x14ac:dyDescent="0.3">
      <c r="A25" s="10" t="s">
        <v>31</v>
      </c>
      <c r="B25">
        <v>829</v>
      </c>
      <c r="C25">
        <v>70</v>
      </c>
      <c r="D25">
        <v>500</v>
      </c>
      <c r="E25">
        <f>IF(D:D&lt;minaddmultirange,MAX(Table13[[#This Row],[Base range]],Minbaserange)*rangemultipl*rangemultiplsmalladd/10000,MAX(Table13[[#This Row],[Base range]],Minbaserange)*minaddmultirange/100)</f>
        <v>500</v>
      </c>
      <c r="F25">
        <v>25</v>
      </c>
      <c r="G25" s="9">
        <f>Table13[[#This Row],[Base range]]/((Table13[[#This Row],[Speed]]/3600*16*256)/(74*2)*24/10*2)+$AE$10</f>
        <v>28.344758368516285</v>
      </c>
      <c r="H25" s="21">
        <f>ROUNDDOWN(Table13[[#This Row],[Travel_time]]*formula_vsig_time,0)</f>
        <v>11</v>
      </c>
      <c r="I2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25" s="2">
        <f>Table13[[#This Row],[Capacity]]*Table13[[#This Row],[Range]]*payment_rate*Table13[[#This Row],[Time factor]]/2^21*GBP_to_Currency</f>
        <v>12969.92301940918</v>
      </c>
      <c r="K25" s="9">
        <f>365/Table13[[#This Row],[Travel_time]]</f>
        <v>12.877160399625097</v>
      </c>
      <c r="L25" s="2">
        <f>Table13[[#This Row],[Income per travel]]*Table13[[#This Row],[Annual travels, max]]</f>
        <v>167015.77909172187</v>
      </c>
      <c r="M25" s="2">
        <f>Table13[[#This Row],[In_game_life]]*Table13[[#This Row],[Annual profit]]*ROI____lifetime*cost_factor</f>
        <v>1043848.6193232617</v>
      </c>
      <c r="N25" s="18">
        <f>Table13[[#This Row],[Annual profit]]*Running_cost_weight*runningcost_factor</f>
        <v>41753.944772930467</v>
      </c>
      <c r="O25" s="18">
        <f>Table13[[#This Row],[Buying cost]]+Table13[[#This Row],[Running cost]]*Table13[[#This Row],[In_game_life]]</f>
        <v>2087697.2386465233</v>
      </c>
      <c r="P25" s="18">
        <f>Table13[[#This Row],[Annual profit]]*Table13[[#This Row],[In_game_life]]-Table13[[#This Row],[Total cost]]</f>
        <v>2087697.2386465233</v>
      </c>
      <c r="Q25" s="22">
        <f>Table13[[#This Row],[Buying cost]]/buying_cost_convert*10000</f>
        <v>59648.492532757809</v>
      </c>
      <c r="R25" s="22">
        <f>Table13[[#This Row],[Running cost]]/running_cost_convert*1000</f>
        <v>139179.81590976822</v>
      </c>
      <c r="S25" s="22">
        <f>ROUND(Table13[IG buying cost factor]/Table13[Range],0)</f>
        <v>119</v>
      </c>
      <c r="T25" s="22">
        <f>ROUND(Table13[IG running cost factor]/Table13[Range],0)</f>
        <v>278</v>
      </c>
      <c r="U25" s="18"/>
      <c r="V25" s="18"/>
      <c r="W25" s="18">
        <f>IFERROR(Table13[[#This Row],[in-game cost]]/Table13[[#This Row],[Newgrf cost factor]],0)</f>
        <v>0</v>
      </c>
      <c r="X25" s="18"/>
      <c r="Y25" s="18"/>
      <c r="Z25" s="18">
        <f>IFERROR(Table13[[#This Row],[in-game running]]/Table13[[#This Row],[Newgrf running factor]],0)</f>
        <v>0</v>
      </c>
      <c r="AA25" s="23">
        <f>(Table13[[#This Row],[Buying/distance]]*Table13[Range]/10000*buying_cost_convert-Table13[Buying cost])/Table13[Buying cost]</f>
        <v>-2.4894599419467327E-3</v>
      </c>
      <c r="AB25" s="23">
        <f>(Table13[Running/distance]*Table13[Range]/1000*running_cost_convert-Table13[Running cost])/Table13[Running cost]</f>
        <v>-1.291968297219178E-3</v>
      </c>
    </row>
    <row r="26" spans="1:31" hidden="1" x14ac:dyDescent="0.3">
      <c r="A26" s="8" t="s">
        <v>32</v>
      </c>
      <c r="B26">
        <v>518</v>
      </c>
      <c r="C26">
        <v>74</v>
      </c>
      <c r="D26">
        <v>290</v>
      </c>
      <c r="E26">
        <f>IF(D:D&lt;minaddmultirange,MAX(Table13[[#This Row],[Base range]],Minbaserange)*rangemultipl*rangemultiplsmalladd/10000,MAX(Table13[[#This Row],[Base range]],Minbaserange)*minaddmultirange/100)</f>
        <v>290</v>
      </c>
      <c r="F26">
        <v>11</v>
      </c>
      <c r="G26" s="9">
        <f>Table13[[#This Row],[Base range]]/((Table13[[#This Row],[Speed]]/3600*16*256)/(74*2)*24/10*2)+$AE$10</f>
        <v>27.171595982142854</v>
      </c>
      <c r="H26" s="21">
        <f>ROUNDDOWN(Table13[[#This Row],[Travel_time]]*formula_vsig_time,0)</f>
        <v>10</v>
      </c>
      <c r="I2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26" s="2">
        <f>Table13[[#This Row],[Capacity]]*Table13[[#This Row],[Range]]*payment_rate*Table13[[#This Row],[Time factor]]/2^21*GBP_to_Currency</f>
        <v>7985.0075244903564</v>
      </c>
      <c r="K26" s="9">
        <f>365/Table13[[#This Row],[Travel_time]]</f>
        <v>13.433145415524272</v>
      </c>
      <c r="L26" s="2">
        <f>Table13[[#This Row],[Income per travel]]*Table13[[#This Row],[Annual travels, max]]</f>
        <v>107263.76722053446</v>
      </c>
      <c r="M26" s="2">
        <f>Table13[[#This Row],[In_game_life]]*Table13[[#This Row],[Annual profit]]*ROI____lifetime*cost_factor</f>
        <v>294975.35985646973</v>
      </c>
      <c r="N26" s="18">
        <f>Table13[[#This Row],[Annual profit]]*Running_cost_weight*runningcost_factor</f>
        <v>26815.941805133614</v>
      </c>
      <c r="O26" s="18">
        <f>Table13[[#This Row],[Buying cost]]+Table13[[#This Row],[Running cost]]*Table13[[#This Row],[In_game_life]]</f>
        <v>589950.71971293946</v>
      </c>
      <c r="P26" s="18">
        <f>Table13[[#This Row],[Annual profit]]*Table13[[#This Row],[In_game_life]]-Table13[[#This Row],[Total cost]]</f>
        <v>589950.71971293946</v>
      </c>
      <c r="Q26" s="22">
        <f>Table13[[#This Row],[Buying cost]]/buying_cost_convert*10000</f>
        <v>16855.734848941127</v>
      </c>
      <c r="R26" s="22">
        <f>Table13[[#This Row],[Running cost]]/running_cost_convert*1000</f>
        <v>89386.472683778717</v>
      </c>
      <c r="S26" s="22">
        <f>ROUND(Table13[IG buying cost factor]/Table13[Range],0)</f>
        <v>58</v>
      </c>
      <c r="T26" s="22">
        <f>ROUND(Table13[IG running cost factor]/Table13[Range],0)</f>
        <v>308</v>
      </c>
      <c r="U26" s="18"/>
      <c r="V26" s="18"/>
      <c r="W26" s="18">
        <f>IFERROR(Table13[[#This Row],[in-game cost]]/Table13[[#This Row],[Newgrf cost factor]],0)</f>
        <v>0</v>
      </c>
      <c r="X26" s="18"/>
      <c r="Y26" s="18"/>
      <c r="Z26" s="18">
        <f>IFERROR(Table13[[#This Row],[in-game running]]/Table13[[#This Row],[Newgrf running factor]],0)</f>
        <v>0</v>
      </c>
      <c r="AA26" s="23">
        <f>(Table13[[#This Row],[Buying/distance]]*Table13[Range]/10000*buying_cost_convert-Table13[Buying cost])/Table13[Buying cost]</f>
        <v>-2.1200409985905988E-3</v>
      </c>
      <c r="AB26" s="23">
        <f>(Table13[Running/distance]*Table13[Range]/1000*running_cost_convert-Table13[Running cost])/Table13[Running cost]</f>
        <v>-7.4365484824404917E-4</v>
      </c>
    </row>
    <row r="27" spans="1:31" hidden="1" x14ac:dyDescent="0.3">
      <c r="A27" s="8" t="s">
        <v>33</v>
      </c>
      <c r="B27">
        <v>512</v>
      </c>
      <c r="C27">
        <v>74</v>
      </c>
      <c r="D27">
        <v>295</v>
      </c>
      <c r="E27">
        <f>IF(D:D&lt;minaddmultirange,MAX(Table13[[#This Row],[Base range]],Minbaserange)*rangemultipl*rangemultiplsmalladd/10000,MAX(Table13[[#This Row],[Base range]],Minbaserange)*minaddmultirange/100)</f>
        <v>295</v>
      </c>
      <c r="F27">
        <v>11</v>
      </c>
      <c r="G27" s="9">
        <f>Table13[[#This Row],[Base range]]/((Table13[[#This Row],[Speed]]/3600*16*256)/(74*2)*24/10*2)+$AE$10</f>
        <v>27.614032745361328</v>
      </c>
      <c r="H27" s="21">
        <f>ROUNDDOWN(Table13[[#This Row],[Travel_time]]*formula_vsig_time,0)</f>
        <v>11</v>
      </c>
      <c r="I2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27" s="2">
        <f>Table13[[#This Row],[Capacity]]*Table13[[#This Row],[Range]]*payment_rate*Table13[[#This Row],[Time factor]]/2^21*GBP_to_Currency</f>
        <v>8089.5262718200684</v>
      </c>
      <c r="K27" s="9">
        <f>365/Table13[[#This Row],[Travel_time]]</f>
        <v>13.217917258438595</v>
      </c>
      <c r="L27" s="2">
        <f>Table13[[#This Row],[Income per travel]]*Table13[[#This Row],[Annual travels, max]]</f>
        <v>106926.68892088291</v>
      </c>
      <c r="M27" s="2">
        <f>Table13[[#This Row],[In_game_life]]*Table13[[#This Row],[Annual profit]]*ROI____lifetime*cost_factor</f>
        <v>294048.39453242801</v>
      </c>
      <c r="N27" s="18">
        <f>Table13[[#This Row],[Annual profit]]*Running_cost_weight*runningcost_factor</f>
        <v>26731.672230220727</v>
      </c>
      <c r="O27" s="18">
        <f>Table13[[#This Row],[Buying cost]]+Table13[[#This Row],[Running cost]]*Table13[[#This Row],[In_game_life]]</f>
        <v>588096.78906485601</v>
      </c>
      <c r="P27" s="18">
        <f>Table13[[#This Row],[Annual profit]]*Table13[[#This Row],[In_game_life]]-Table13[[#This Row],[Total cost]]</f>
        <v>588096.78906485601</v>
      </c>
      <c r="Q27" s="22">
        <f>Table13[[#This Row],[Buying cost]]/buying_cost_convert*10000</f>
        <v>16802.765401853027</v>
      </c>
      <c r="R27" s="22">
        <f>Table13[[#This Row],[Running cost]]/running_cost_convert*1000</f>
        <v>89105.574100735757</v>
      </c>
      <c r="S27" s="22">
        <f>ROUND(Table13[IG buying cost factor]/Table13[Range],0)</f>
        <v>57</v>
      </c>
      <c r="T27" s="22">
        <f>ROUND(Table13[IG running cost factor]/Table13[Range],0)</f>
        <v>302</v>
      </c>
      <c r="U27" s="18"/>
      <c r="V27" s="18"/>
      <c r="W27" s="18">
        <f>IFERROR(Table13[[#This Row],[in-game cost]]/Table13[[#This Row],[Newgrf cost factor]],0)</f>
        <v>0</v>
      </c>
      <c r="X27" s="18"/>
      <c r="Y27" s="18"/>
      <c r="Z27" s="18">
        <f>IFERROR(Table13[[#This Row],[in-game running]]/Table13[[#This Row],[Newgrf running factor]],0)</f>
        <v>0</v>
      </c>
      <c r="AA27" s="23">
        <f>(Table13[[#This Row],[Buying/distance]]*Table13[Range]/10000*buying_cost_convert-Table13[Buying cost])/Table13[Buying cost]</f>
        <v>7.2813003421578473E-4</v>
      </c>
      <c r="AB27" s="23">
        <f>(Table13[Running/distance]*Table13[Range]/1000*running_cost_convert-Table13[Running cost])/Table13[Running cost]</f>
        <v>-1.7478256431130256E-4</v>
      </c>
    </row>
    <row r="28" spans="1:31" hidden="1" x14ac:dyDescent="0.3">
      <c r="A28" s="11" t="s">
        <v>34</v>
      </c>
      <c r="B28">
        <v>882</v>
      </c>
      <c r="C28">
        <v>75</v>
      </c>
      <c r="D28">
        <v>235</v>
      </c>
      <c r="E28">
        <f>IF(D:D&lt;minaddmultirange,MAX(Table13[[#This Row],[Base range]],Minbaserange)*rangemultipl*rangemultiplsmalladd/10000,MAX(Table13[[#This Row],[Base range]],Minbaserange)*minaddmultirange/100)</f>
        <v>235</v>
      </c>
      <c r="F28">
        <v>12</v>
      </c>
      <c r="G28" s="9">
        <f>Table13[[#This Row],[Base range]]/((Table13[[#This Row],[Speed]]/3600*16*256)/(74*2)*24/10*2)+$AE$10</f>
        <v>19.220417463860542</v>
      </c>
      <c r="H28" s="21">
        <f>ROUNDDOWN(Table13[[#This Row],[Travel_time]]*formula_vsig_time,0)</f>
        <v>7</v>
      </c>
      <c r="I2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248</v>
      </c>
      <c r="J28" s="2">
        <f>Table13[[#This Row],[Capacity]]*Table13[[#This Row],[Range]]*payment_rate*Table13[[#This Row],[Time factor]]/2^21*GBP_to_Currency</f>
        <v>6638.3528709411621</v>
      </c>
      <c r="K28" s="9">
        <f>365/Table13[[#This Row],[Travel_time]]</f>
        <v>18.990222282439824</v>
      </c>
      <c r="L28" s="2">
        <f>Table13[[#This Row],[Income per travel]]*Table13[[#This Row],[Annual travels, max]]</f>
        <v>126063.79660844523</v>
      </c>
      <c r="M28" s="2">
        <f>Table13[[#This Row],[In_game_life]]*Table13[[#This Row],[Annual profit]]*ROI____lifetime*cost_factor</f>
        <v>378191.3898253357</v>
      </c>
      <c r="N28" s="18">
        <f>Table13[[#This Row],[Annual profit]]*Running_cost_weight*runningcost_factor</f>
        <v>31515.949152111309</v>
      </c>
      <c r="O28" s="18">
        <f>Table13[[#This Row],[Buying cost]]+Table13[[#This Row],[Running cost]]*Table13[[#This Row],[In_game_life]]</f>
        <v>756382.77965067141</v>
      </c>
      <c r="P28" s="18">
        <f>Table13[[#This Row],[Annual profit]]*Table13[[#This Row],[In_game_life]]-Table13[[#This Row],[Total cost]]</f>
        <v>756382.77965067141</v>
      </c>
      <c r="Q28" s="22">
        <f>Table13[[#This Row],[Buying cost]]/buying_cost_convert*10000</f>
        <v>21610.936561447754</v>
      </c>
      <c r="R28" s="22">
        <f>Table13[[#This Row],[Running cost]]/running_cost_convert*1000</f>
        <v>105053.16384037102</v>
      </c>
      <c r="S28" s="22">
        <f>ROUND(Table13[IG buying cost factor]/Table13[Range],0)</f>
        <v>92</v>
      </c>
      <c r="T28" s="22">
        <f>ROUND(Table13[IG running cost factor]/Table13[Range],0)</f>
        <v>447</v>
      </c>
      <c r="U28" s="18"/>
      <c r="V28" s="18"/>
      <c r="W28" s="18">
        <f>IFERROR(Table13[[#This Row],[in-game cost]]/Table13[[#This Row],[Newgrf cost factor]],0)</f>
        <v>0</v>
      </c>
      <c r="X28" s="18"/>
      <c r="Y28" s="18"/>
      <c r="Z28" s="18">
        <f>IFERROR(Table13[[#This Row],[in-game running]]/Table13[[#This Row],[Newgrf running factor]],0)</f>
        <v>0</v>
      </c>
      <c r="AA28" s="23">
        <f>(Table13[[#This Row],[Buying/distance]]*Table13[Range]/10000*buying_cost_convert-Table13[Buying cost])/Table13[Buying cost]</f>
        <v>4.1939128952023181E-4</v>
      </c>
      <c r="AB28" s="23">
        <f>(Table13[Running/distance]*Table13[Range]/1000*running_cost_convert-Table13[Running cost])/Table13[Running cost]</f>
        <v>-7.7711513604995653E-5</v>
      </c>
    </row>
    <row r="29" spans="1:31" hidden="1" x14ac:dyDescent="0.3">
      <c r="A29" s="11" t="s">
        <v>35</v>
      </c>
      <c r="B29">
        <v>882</v>
      </c>
      <c r="C29">
        <v>75</v>
      </c>
      <c r="D29">
        <v>465</v>
      </c>
      <c r="E29">
        <f>IF(D:D&lt;minaddmultirange,MAX(Table13[[#This Row],[Base range]],Minbaserange)*rangemultipl*rangemultiplsmalladd/10000,MAX(Table13[[#This Row],[Base range]],Minbaserange)*minaddmultirange/100)</f>
        <v>465</v>
      </c>
      <c r="F29">
        <v>12</v>
      </c>
      <c r="G29" s="9">
        <f>Table13[[#This Row],[Base range]]/((Table13[[#This Row],[Speed]]/3600*16*256)/(74*2)*24/10*2)+$AE$10</f>
        <v>26.287209024234691</v>
      </c>
      <c r="H29" s="21">
        <f>ROUNDDOWN(Table13[[#This Row],[Travel_time]]*formula_vsig_time,0)</f>
        <v>10</v>
      </c>
      <c r="I2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29" s="2">
        <f>Table13[[#This Row],[Capacity]]*Table13[[#This Row],[Range]]*payment_rate*Table13[[#This Row],[Time factor]]/2^21*GBP_to_Currency</f>
        <v>12976.567447185516</v>
      </c>
      <c r="K29" s="9">
        <f>365/Table13[[#This Row],[Travel_time]]</f>
        <v>13.885079989416122</v>
      </c>
      <c r="L29" s="2">
        <f>Table13[[#This Row],[Income per travel]]*Table13[[#This Row],[Annual travels, max]]</f>
        <v>180180.67699222427</v>
      </c>
      <c r="M29" s="2">
        <f>Table13[[#This Row],[In_game_life]]*Table13[[#This Row],[Annual profit]]*ROI____lifetime*cost_factor</f>
        <v>540542.03097667277</v>
      </c>
      <c r="N29" s="18">
        <f>Table13[[#This Row],[Annual profit]]*Running_cost_weight*runningcost_factor</f>
        <v>45045.169248056067</v>
      </c>
      <c r="O29" s="18">
        <f>Table13[[#This Row],[Buying cost]]+Table13[[#This Row],[Running cost]]*Table13[[#This Row],[In_game_life]]</f>
        <v>1081084.0619533455</v>
      </c>
      <c r="P29" s="18">
        <f>Table13[[#This Row],[Annual profit]]*Table13[[#This Row],[In_game_life]]-Table13[[#This Row],[Total cost]]</f>
        <v>1081084.0619533455</v>
      </c>
      <c r="Q29" s="22">
        <f>Table13[[#This Row],[Buying cost]]/buying_cost_convert*10000</f>
        <v>30888.116055809875</v>
      </c>
      <c r="R29" s="22">
        <f>Table13[[#This Row],[Running cost]]/running_cost_convert*1000</f>
        <v>150150.56416018688</v>
      </c>
      <c r="S29" s="22">
        <f>ROUND(Table13[IG buying cost factor]/Table13[Range],0)</f>
        <v>66</v>
      </c>
      <c r="T29" s="22">
        <f>ROUND(Table13[IG running cost factor]/Table13[Range],0)</f>
        <v>323</v>
      </c>
      <c r="U29" s="18"/>
      <c r="V29" s="18"/>
      <c r="W29" s="18">
        <f>IFERROR(Table13[[#This Row],[in-game cost]]/Table13[[#This Row],[Newgrf cost factor]],0)</f>
        <v>0</v>
      </c>
      <c r="X29" s="18"/>
      <c r="Y29" s="18"/>
      <c r="Z29" s="18">
        <f>IFERROR(Table13[[#This Row],[in-game running]]/Table13[[#This Row],[Newgrf running factor]],0)</f>
        <v>0</v>
      </c>
      <c r="AA29" s="23">
        <f>(Table13[[#This Row],[Buying/distance]]*Table13[Range]/10000*buying_cost_convert-Table13[Buying cost])/Table13[Buying cost]</f>
        <v>-6.4139896215071454E-3</v>
      </c>
      <c r="AB29" s="23">
        <f>(Table13[Running/distance]*Table13[Range]/1000*running_cost_convert-Table13[Running cost])/Table13[Running cost]</f>
        <v>2.9594187715275216E-4</v>
      </c>
    </row>
    <row r="30" spans="1:31" hidden="1" x14ac:dyDescent="0.3">
      <c r="A30" s="11" t="s">
        <v>36</v>
      </c>
      <c r="B30">
        <v>666</v>
      </c>
      <c r="C30">
        <v>78</v>
      </c>
      <c r="D30">
        <v>455</v>
      </c>
      <c r="E30">
        <f>IF(D:D&lt;minaddmultirange,MAX(Table13[[#This Row],[Base range]],Minbaserange)*rangemultipl*rangemultiplsmalladd/10000,MAX(Table13[[#This Row],[Base range]],Minbaserange)*minaddmultirange/100)</f>
        <v>455</v>
      </c>
      <c r="F30">
        <v>25</v>
      </c>
      <c r="G30" s="9">
        <f>Table13[[#This Row],[Base range]]/((Table13[[#This Row],[Speed]]/3600*16*256)/(74*2)*24/10*2)+$AE$10</f>
        <v>30.513997395833332</v>
      </c>
      <c r="H30" s="21">
        <f>ROUNDDOWN(Table13[[#This Row],[Travel_time]]*formula_vsig_time,0)</f>
        <v>12</v>
      </c>
      <c r="I3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30" s="2">
        <f>Table13[[#This Row],[Capacity]]*Table13[[#This Row],[Range]]*payment_rate*Table13[[#This Row],[Time factor]]/2^21*GBP_to_Currency</f>
        <v>13097.602343559265</v>
      </c>
      <c r="K30" s="9">
        <f>365/Table13[[#This Row],[Travel_time]]</f>
        <v>11.96172350889171</v>
      </c>
      <c r="L30" s="2">
        <f>Table13[[#This Row],[Income per travel]]*Table13[[#This Row],[Annual travels, max]]</f>
        <v>156669.89786306801</v>
      </c>
      <c r="M30" s="2">
        <f>Table13[[#This Row],[In_game_life]]*Table13[[#This Row],[Annual profit]]*ROI____lifetime*cost_factor</f>
        <v>979186.86164417502</v>
      </c>
      <c r="N30" s="18">
        <f>Table13[[#This Row],[Annual profit]]*Running_cost_weight*runningcost_factor</f>
        <v>39167.474465767002</v>
      </c>
      <c r="O30" s="18">
        <f>Table13[[#This Row],[Buying cost]]+Table13[[#This Row],[Running cost]]*Table13[[#This Row],[In_game_life]]</f>
        <v>1958373.72328835</v>
      </c>
      <c r="P30" s="18">
        <f>Table13[[#This Row],[Annual profit]]*Table13[[#This Row],[In_game_life]]-Table13[[#This Row],[Total cost]]</f>
        <v>1958373.72328835</v>
      </c>
      <c r="Q30" s="22">
        <f>Table13[[#This Row],[Buying cost]]/buying_cost_convert*10000</f>
        <v>55953.534951095717</v>
      </c>
      <c r="R30" s="22">
        <f>Table13[[#This Row],[Running cost]]/running_cost_convert*1000</f>
        <v>130558.24821922334</v>
      </c>
      <c r="S30" s="22">
        <f>ROUND(Table13[IG buying cost factor]/Table13[Range],0)</f>
        <v>123</v>
      </c>
      <c r="T30" s="22">
        <f>ROUND(Table13[IG running cost factor]/Table13[Range],0)</f>
        <v>287</v>
      </c>
      <c r="U30" s="18"/>
      <c r="V30" s="18"/>
      <c r="W30" s="18">
        <f>IFERROR(Table13[[#This Row],[in-game cost]]/Table13[[#This Row],[Newgrf cost factor]],0)</f>
        <v>0</v>
      </c>
      <c r="X30" s="18"/>
      <c r="Y30" s="18"/>
      <c r="Z30" s="18">
        <f>IFERROR(Table13[[#This Row],[in-game running]]/Table13[[#This Row],[Newgrf running factor]],0)</f>
        <v>0</v>
      </c>
      <c r="AA30" s="23">
        <f>(Table13[[#This Row],[Buying/distance]]*Table13[Range]/10000*buying_cost_convert-Table13[Buying cost])/Table13[Buying cost]</f>
        <v>2.0490303095783323E-4</v>
      </c>
      <c r="AB30" s="23">
        <f>(Table13[Running/distance]*Table13[Range]/1000*running_cost_convert-Table13[Running cost])/Table13[Running cost]</f>
        <v>2.0490303095781093E-4</v>
      </c>
    </row>
    <row r="31" spans="1:31" hidden="1" x14ac:dyDescent="0.3">
      <c r="A31" s="10" t="s">
        <v>37</v>
      </c>
      <c r="B31">
        <v>890</v>
      </c>
      <c r="C31">
        <v>78</v>
      </c>
      <c r="D31">
        <v>600</v>
      </c>
      <c r="E31">
        <f>IF(D:D&lt;minaddmultirange,MAX(Table13[[#This Row],[Base range]],Minbaserange)*rangemultipl*rangemultiplsmalladd/10000,MAX(Table13[[#This Row],[Base range]],Minbaserange)*minaddmultirange/100)</f>
        <v>600</v>
      </c>
      <c r="F31">
        <v>25</v>
      </c>
      <c r="G31" s="9">
        <f>Table13[[#This Row],[Base range]]/((Table13[[#This Row],[Speed]]/3600*16*256)/(74*2)*24/10*2)+$AE$10</f>
        <v>30.269399578651687</v>
      </c>
      <c r="H31" s="21">
        <f>ROUNDDOWN(Table13[[#This Row],[Travel_time]]*formula_vsig_time,0)</f>
        <v>12</v>
      </c>
      <c r="I3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31" s="2">
        <f>Table13[[#This Row],[Capacity]]*Table13[[#This Row],[Range]]*payment_rate*Table13[[#This Row],[Time factor]]/2^21*GBP_to_Currency</f>
        <v>17271.563529968262</v>
      </c>
      <c r="K31" s="9">
        <f>365/Table13[[#This Row],[Travel_time]]</f>
        <v>12.0583825606315</v>
      </c>
      <c r="L31" s="2">
        <f>Table13[[#This Row],[Income per travel]]*Table13[[#This Row],[Annual travels, max]]</f>
        <v>208267.12046460834</v>
      </c>
      <c r="M31" s="2">
        <f>Table13[[#This Row],[In_game_life]]*Table13[[#This Row],[Annual profit]]*ROI____lifetime*cost_factor</f>
        <v>1301669.5029038021</v>
      </c>
      <c r="N31" s="18">
        <f>Table13[[#This Row],[Annual profit]]*Running_cost_weight*runningcost_factor</f>
        <v>52066.780116152084</v>
      </c>
      <c r="O31" s="18">
        <f>Table13[[#This Row],[Buying cost]]+Table13[[#This Row],[Running cost]]*Table13[[#This Row],[In_game_life]]</f>
        <v>2603339.0058076042</v>
      </c>
      <c r="P31" s="18">
        <f>Table13[[#This Row],[Annual profit]]*Table13[[#This Row],[In_game_life]]-Table13[[#This Row],[Total cost]]</f>
        <v>2603339.0058076042</v>
      </c>
      <c r="Q31" s="22">
        <f>Table13[[#This Row],[Buying cost]]/buying_cost_convert*10000</f>
        <v>74381.11445164583</v>
      </c>
      <c r="R31" s="22">
        <f>Table13[[#This Row],[Running cost]]/running_cost_convert*1000</f>
        <v>173555.93372050693</v>
      </c>
      <c r="S31" s="22">
        <f>ROUND(Table13[IG buying cost factor]/Table13[Range],0)</f>
        <v>124</v>
      </c>
      <c r="T31" s="22">
        <f>ROUND(Table13[IG running cost factor]/Table13[Range],0)</f>
        <v>289</v>
      </c>
      <c r="U31" s="18"/>
      <c r="V31" s="18"/>
      <c r="W31" s="18">
        <f>IFERROR(Table13[[#This Row],[in-game cost]]/Table13[[#This Row],[Newgrf cost factor]],0)</f>
        <v>0</v>
      </c>
      <c r="X31" s="18"/>
      <c r="Y31" s="18"/>
      <c r="Z31" s="18">
        <f>IFERROR(Table13[[#This Row],[in-game running]]/Table13[[#This Row],[Newgrf running factor]],0)</f>
        <v>0</v>
      </c>
      <c r="AA31" s="23">
        <f>(Table13[[#This Row],[Buying/distance]]*Table13[Range]/10000*buying_cost_convert-Table13[Buying cost])/Table13[Buying cost]</f>
        <v>2.5390246561099417E-4</v>
      </c>
      <c r="AB31" s="23">
        <f>(Table13[Running/distance]*Table13[Range]/1000*running_cost_convert-Table13[Running cost])/Table13[Running cost]</f>
        <v>-8.9846378146920842E-4</v>
      </c>
    </row>
    <row r="32" spans="1:31" hidden="1" x14ac:dyDescent="0.3">
      <c r="A32" s="10" t="s">
        <v>38</v>
      </c>
      <c r="B32">
        <v>890</v>
      </c>
      <c r="C32">
        <v>78</v>
      </c>
      <c r="D32">
        <v>700</v>
      </c>
      <c r="E32">
        <f>IF(D:D&lt;minaddmultirange,MAX(Table13[[#This Row],[Base range]],Minbaserange)*rangemultipl*rangemultiplsmalladd/10000,MAX(Table13[[#This Row],[Base range]],Minbaserange)*minaddmultirange/100)</f>
        <v>700</v>
      </c>
      <c r="F32">
        <v>25</v>
      </c>
      <c r="G32" s="9">
        <f>Table13[[#This Row],[Base range]]/((Table13[[#This Row],[Speed]]/3600*16*256)/(74*2)*24/10*2)+$AE$10</f>
        <v>33.31429950842697</v>
      </c>
      <c r="H32" s="21">
        <f>ROUNDDOWN(Table13[[#This Row],[Travel_time]]*formula_vsig_time,0)</f>
        <v>13</v>
      </c>
      <c r="I3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32" s="2">
        <f>Table13[[#This Row],[Capacity]]*Table13[[#This Row],[Range]]*payment_rate*Table13[[#This Row],[Time factor]]/2^21*GBP_to_Currency</f>
        <v>20067.234992980957</v>
      </c>
      <c r="K32" s="9">
        <f>365/Table13[[#This Row],[Travel_time]]</f>
        <v>10.956256183854983</v>
      </c>
      <c r="L32" s="2">
        <f>Table13[[#This Row],[Income per travel]]*Table13[[#This Row],[Annual travels, max]]</f>
        <v>219861.7674847187</v>
      </c>
      <c r="M32" s="2">
        <f>Table13[[#This Row],[In_game_life]]*Table13[[#This Row],[Annual profit]]*ROI____lifetime*cost_factor</f>
        <v>1374136.0467794919</v>
      </c>
      <c r="N32" s="18">
        <f>Table13[[#This Row],[Annual profit]]*Running_cost_weight*runningcost_factor</f>
        <v>54965.441871179675</v>
      </c>
      <c r="O32" s="18">
        <f>Table13[[#This Row],[Buying cost]]+Table13[[#This Row],[Running cost]]*Table13[[#This Row],[In_game_life]]</f>
        <v>2748272.0935589839</v>
      </c>
      <c r="P32" s="18">
        <f>Table13[[#This Row],[Annual profit]]*Table13[[#This Row],[In_game_life]]-Table13[[#This Row],[Total cost]]</f>
        <v>2748272.0935589839</v>
      </c>
      <c r="Q32" s="22">
        <f>Table13[[#This Row],[Buying cost]]/buying_cost_convert*10000</f>
        <v>78522.059815970963</v>
      </c>
      <c r="R32" s="22">
        <f>Table13[[#This Row],[Running cost]]/running_cost_convert*1000</f>
        <v>183218.1395705989</v>
      </c>
      <c r="S32" s="22">
        <f>ROUND(Table13[IG buying cost factor]/Table13[Range],0)</f>
        <v>112</v>
      </c>
      <c r="T32" s="22">
        <f>ROUND(Table13[IG running cost factor]/Table13[Range],0)</f>
        <v>262</v>
      </c>
      <c r="U32" s="18"/>
      <c r="V32" s="18"/>
      <c r="W32" s="18">
        <f>IFERROR(Table13[[#This Row],[in-game cost]]/Table13[[#This Row],[Newgrf cost factor]],0)</f>
        <v>0</v>
      </c>
      <c r="X32" s="18"/>
      <c r="Y32" s="18"/>
      <c r="Z32" s="18">
        <f>IFERROR(Table13[[#This Row],[in-game running]]/Table13[[#This Row],[Newgrf running factor]],0)</f>
        <v>0</v>
      </c>
      <c r="AA32" s="23">
        <f>(Table13[[#This Row],[Buying/distance]]*Table13[Range]/10000*buying_cost_convert-Table13[Buying cost])/Table13[Buying cost]</f>
        <v>-1.5544652834761934E-3</v>
      </c>
      <c r="AB32" s="23">
        <f>(Table13[Running/distance]*Table13[Range]/1000*running_cost_convert-Table13[Running cost])/Table13[Running cost]</f>
        <v>9.9258965202518525E-4</v>
      </c>
    </row>
    <row r="33" spans="1:28" hidden="1" x14ac:dyDescent="0.3">
      <c r="A33" s="10" t="s">
        <v>39</v>
      </c>
      <c r="B33">
        <v>890</v>
      </c>
      <c r="C33">
        <v>78</v>
      </c>
      <c r="D33">
        <v>700</v>
      </c>
      <c r="E33">
        <f>IF(D:D&lt;minaddmultirange,MAX(Table13[[#This Row],[Base range]],Minbaserange)*rangemultipl*rangemultiplsmalladd/10000,MAX(Table13[[#This Row],[Base range]],Minbaserange)*minaddmultirange/100)</f>
        <v>700</v>
      </c>
      <c r="F33">
        <v>25</v>
      </c>
      <c r="G33" s="9">
        <f>Table13[[#This Row],[Base range]]/((Table13[[#This Row],[Speed]]/3600*16*256)/(74*2)*24/10*2)+$AE$10</f>
        <v>33.31429950842697</v>
      </c>
      <c r="H33" s="21">
        <f>ROUNDDOWN(Table13[[#This Row],[Travel_time]]*formula_vsig_time,0)</f>
        <v>13</v>
      </c>
      <c r="I3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33" s="2">
        <f>Table13[[#This Row],[Capacity]]*Table13[[#This Row],[Range]]*payment_rate*Table13[[#This Row],[Time factor]]/2^21*GBP_to_Currency</f>
        <v>20067.234992980957</v>
      </c>
      <c r="K33" s="9">
        <f>365/Table13[[#This Row],[Travel_time]]</f>
        <v>10.956256183854983</v>
      </c>
      <c r="L33" s="2">
        <f>Table13[[#This Row],[Income per travel]]*Table13[[#This Row],[Annual travels, max]]</f>
        <v>219861.7674847187</v>
      </c>
      <c r="M33" s="2">
        <f>Table13[[#This Row],[In_game_life]]*Table13[[#This Row],[Annual profit]]*ROI____lifetime*cost_factor</f>
        <v>1374136.0467794919</v>
      </c>
      <c r="N33" s="18">
        <f>Table13[[#This Row],[Annual profit]]*Running_cost_weight*runningcost_factor</f>
        <v>54965.441871179675</v>
      </c>
      <c r="O33" s="18">
        <f>Table13[[#This Row],[Buying cost]]+Table13[[#This Row],[Running cost]]*Table13[[#This Row],[In_game_life]]</f>
        <v>2748272.0935589839</v>
      </c>
      <c r="P33" s="18">
        <f>Table13[[#This Row],[Annual profit]]*Table13[[#This Row],[In_game_life]]-Table13[[#This Row],[Total cost]]</f>
        <v>2748272.0935589839</v>
      </c>
      <c r="Q33" s="22">
        <f>Table13[[#This Row],[Buying cost]]/buying_cost_convert*10000</f>
        <v>78522.059815970963</v>
      </c>
      <c r="R33" s="22">
        <f>Table13[[#This Row],[Running cost]]/running_cost_convert*1000</f>
        <v>183218.1395705989</v>
      </c>
      <c r="S33" s="22">
        <f>ROUND(Table13[IG buying cost factor]/Table13[Range],0)</f>
        <v>112</v>
      </c>
      <c r="T33" s="22">
        <f>ROUND(Table13[IG running cost factor]/Table13[Range],0)</f>
        <v>262</v>
      </c>
      <c r="U33" s="18"/>
      <c r="V33" s="18"/>
      <c r="W33" s="18">
        <f>IFERROR(Table13[[#This Row],[in-game cost]]/Table13[[#This Row],[Newgrf cost factor]],0)</f>
        <v>0</v>
      </c>
      <c r="X33" s="18"/>
      <c r="Y33" s="18"/>
      <c r="Z33" s="18">
        <f>IFERROR(Table13[[#This Row],[in-game running]]/Table13[[#This Row],[Newgrf running factor]],0)</f>
        <v>0</v>
      </c>
      <c r="AA33" s="23">
        <f>(Table13[[#This Row],[Buying/distance]]*Table13[Range]/10000*buying_cost_convert-Table13[Buying cost])/Table13[Buying cost]</f>
        <v>-1.5544652834761934E-3</v>
      </c>
      <c r="AB33" s="23">
        <f>(Table13[Running/distance]*Table13[Range]/1000*running_cost_convert-Table13[Running cost])/Table13[Running cost]</f>
        <v>9.9258965202518525E-4</v>
      </c>
    </row>
    <row r="34" spans="1:28" hidden="1" x14ac:dyDescent="0.3">
      <c r="A34" s="11" t="s">
        <v>40</v>
      </c>
      <c r="B34">
        <v>835</v>
      </c>
      <c r="C34">
        <v>79</v>
      </c>
      <c r="D34">
        <v>615</v>
      </c>
      <c r="E34">
        <f>IF(D:D&lt;minaddmultirange,MAX(Table13[[#This Row],[Base range]],Minbaserange)*rangemultipl*rangemultiplsmalladd/10000,MAX(Table13[[#This Row],[Base range]],Minbaserange)*minaddmultirange/100)</f>
        <v>615</v>
      </c>
      <c r="F34">
        <v>25</v>
      </c>
      <c r="G34" s="9">
        <f>Table13[[#This Row],[Base range]]/((Table13[[#This Row],[Speed]]/3600*16*256)/(74*2)*24/10*2)+$AE$10</f>
        <v>31.959592533682631</v>
      </c>
      <c r="H34" s="21">
        <f>ROUNDDOWN(Table13[[#This Row],[Travel_time]]*formula_vsig_time,0)</f>
        <v>12</v>
      </c>
      <c r="I3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34" s="2">
        <f>Table13[[#This Row],[Capacity]]*Table13[[#This Row],[Range]]*payment_rate*Table13[[#This Row],[Time factor]]/2^21*GBP_to_Currency</f>
        <v>17930.318677425385</v>
      </c>
      <c r="K34" s="9">
        <f>365/Table13[[#This Row],[Travel_time]]</f>
        <v>11.420671262167117</v>
      </c>
      <c r="L34" s="2">
        <f>Table13[[#This Row],[Income per travel]]*Table13[[#This Row],[Annual travels, max]]</f>
        <v>204776.2752407704</v>
      </c>
      <c r="M34" s="2">
        <f>Table13[[#This Row],[In_game_life]]*Table13[[#This Row],[Annual profit]]*ROI____lifetime*cost_factor</f>
        <v>1279851.720254815</v>
      </c>
      <c r="N34" s="18">
        <f>Table13[[#This Row],[Annual profit]]*Running_cost_weight*runningcost_factor</f>
        <v>51194.068810192599</v>
      </c>
      <c r="O34" s="18">
        <f>Table13[[#This Row],[Buying cost]]+Table13[[#This Row],[Running cost]]*Table13[[#This Row],[In_game_life]]</f>
        <v>2559703.4405096299</v>
      </c>
      <c r="P34" s="18">
        <f>Table13[[#This Row],[Annual profit]]*Table13[[#This Row],[In_game_life]]-Table13[[#This Row],[Total cost]]</f>
        <v>2559703.4405096299</v>
      </c>
      <c r="Q34" s="22">
        <f>Table13[[#This Row],[Buying cost]]/buying_cost_convert*10000</f>
        <v>73134.384014560856</v>
      </c>
      <c r="R34" s="22">
        <f>Table13[[#This Row],[Running cost]]/running_cost_convert*1000</f>
        <v>170646.89603397532</v>
      </c>
      <c r="S34" s="22">
        <f>ROUND(Table13[IG buying cost factor]/Table13[Range],0)</f>
        <v>119</v>
      </c>
      <c r="T34" s="22">
        <f>ROUND(Table13[IG running cost factor]/Table13[Range],0)</f>
        <v>277</v>
      </c>
      <c r="U34" s="18"/>
      <c r="V34" s="18"/>
      <c r="W34" s="18">
        <f>IFERROR(Table13[[#This Row],[in-game cost]]/Table13[[#This Row],[Newgrf cost factor]],0)</f>
        <v>0</v>
      </c>
      <c r="X34" s="18"/>
      <c r="Y34" s="18"/>
      <c r="Z34" s="18">
        <f>IFERROR(Table13[[#This Row],[in-game running]]/Table13[[#This Row],[Newgrf running factor]],0)</f>
        <v>0</v>
      </c>
      <c r="AA34" s="23">
        <f>(Table13[[#This Row],[Buying/distance]]*Table13[Range]/10000*buying_cost_convert-Table13[Buying cost])/Table13[Buying cost]</f>
        <v>6.9209560073778937E-4</v>
      </c>
      <c r="AB34" s="23">
        <f>(Table13[Running/distance]*Table13[Range]/1000*running_cost_convert-Table13[Running cost])/Table13[Running cost]</f>
        <v>-1.7105264775353077E-3</v>
      </c>
    </row>
    <row r="35" spans="1:28" hidden="1" x14ac:dyDescent="0.3">
      <c r="A35" s="14" t="s">
        <v>41</v>
      </c>
      <c r="B35">
        <v>805</v>
      </c>
      <c r="C35">
        <v>80</v>
      </c>
      <c r="D35">
        <v>655</v>
      </c>
      <c r="E35">
        <f>IF(D:D&lt;minaddmultirange,MAX(Table13[[#This Row],[Base range]],Minbaserange)*rangemultipl*rangemultiplsmalladd/10000,MAX(Table13[[#This Row],[Base range]],Minbaserange)*minaddmultirange/100)</f>
        <v>655</v>
      </c>
      <c r="F35">
        <v>20</v>
      </c>
      <c r="G35" s="9">
        <f>Table13[[#This Row],[Base range]]/((Table13[[#This Row],[Speed]]/3600*16*256)/(74*2)*24/10*2)+$AE$10</f>
        <v>34.049992721273291</v>
      </c>
      <c r="H35" s="21">
        <f>ROUNDDOWN(Table13[[#This Row],[Travel_time]]*formula_vsig_time,0)</f>
        <v>13</v>
      </c>
      <c r="I3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35" s="2">
        <f>Table13[[#This Row],[Capacity]]*Table13[[#This Row],[Range]]*payment_rate*Table13[[#This Row],[Time factor]]/2^21*GBP_to_Currency</f>
        <v>19258.665084838867</v>
      </c>
      <c r="K35" s="9">
        <f>365/Table13[[#This Row],[Travel_time]]</f>
        <v>10.719532394259817</v>
      </c>
      <c r="L35" s="2">
        <f>Table13[[#This Row],[Income per travel]]*Table13[[#This Row],[Annual travels, max]]</f>
        <v>206443.88424713071</v>
      </c>
      <c r="M35" s="2">
        <f>Table13[[#This Row],[In_game_life]]*Table13[[#This Row],[Annual profit]]*ROI____lifetime*cost_factor</f>
        <v>1032219.4212356536</v>
      </c>
      <c r="N35" s="18">
        <f>Table13[[#This Row],[Annual profit]]*Running_cost_weight*runningcost_factor</f>
        <v>51610.971061782679</v>
      </c>
      <c r="O35" s="18">
        <f>Table13[[#This Row],[Buying cost]]+Table13[[#This Row],[Running cost]]*Table13[[#This Row],[In_game_life]]</f>
        <v>2064438.8424713071</v>
      </c>
      <c r="P35" s="18">
        <f>Table13[[#This Row],[Annual profit]]*Table13[[#This Row],[In_game_life]]-Table13[[#This Row],[Total cost]]</f>
        <v>2064438.8424713071</v>
      </c>
      <c r="Q35" s="22">
        <f>Table13[[#This Row],[Buying cost]]/buying_cost_convert*10000</f>
        <v>58983.966927751637</v>
      </c>
      <c r="R35" s="22">
        <f>Table13[[#This Row],[Running cost]]/running_cost_convert*1000</f>
        <v>172036.57020594226</v>
      </c>
      <c r="S35" s="22">
        <f>ROUND(Table13[IG buying cost factor]/Table13[Range],0)</f>
        <v>90</v>
      </c>
      <c r="T35" s="22">
        <f>ROUND(Table13[IG running cost factor]/Table13[Range],0)</f>
        <v>263</v>
      </c>
      <c r="U35" s="18"/>
      <c r="V35" s="18"/>
      <c r="W35" s="18">
        <f>IFERROR(Table13[[#This Row],[in-game cost]]/Table13[[#This Row],[Newgrf cost factor]],0)</f>
        <v>0</v>
      </c>
      <c r="X35" s="18"/>
      <c r="Y35" s="18"/>
      <c r="Z35" s="18">
        <f>IFERROR(Table13[[#This Row],[in-game running]]/Table13[[#This Row],[Newgrf running factor]],0)</f>
        <v>0</v>
      </c>
      <c r="AA35" s="23">
        <f>(Table13[[#This Row],[Buying/distance]]*Table13[Range]/10000*buying_cost_convert-Table13[Buying cost])/Table13[Buying cost]</f>
        <v>-5.7586713001593778E-4</v>
      </c>
      <c r="AB35" s="23">
        <f>(Table13[Running/distance]*Table13[Range]/1000*running_cost_convert-Table13[Running cost])/Table13[Running cost]</f>
        <v>1.3277978849744801E-3</v>
      </c>
    </row>
    <row r="36" spans="1:28" hidden="1" x14ac:dyDescent="0.3">
      <c r="A36" s="14" t="s">
        <v>42</v>
      </c>
      <c r="B36">
        <v>950</v>
      </c>
      <c r="C36">
        <v>80</v>
      </c>
      <c r="D36">
        <v>475</v>
      </c>
      <c r="E36">
        <f>IF(D:D&lt;minaddmultirange,MAX(Table13[[#This Row],[Base range]],Minbaserange)*rangemultipl*rangemultiplsmalladd/10000,MAX(Table13[[#This Row],[Base range]],Minbaserange)*minaddmultirange/100)</f>
        <v>475</v>
      </c>
      <c r="F36">
        <v>18</v>
      </c>
      <c r="G36" s="9">
        <f>Table13[[#This Row],[Base range]]/((Table13[[#This Row],[Speed]]/3600*16*256)/(74*2)*24/10*2)+$AE$10</f>
        <v>25.5498046875</v>
      </c>
      <c r="H36" s="21">
        <f>ROUNDDOWN(Table13[[#This Row],[Travel_time]]*formula_vsig_time,0)</f>
        <v>10</v>
      </c>
      <c r="I3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36" s="2">
        <f>Table13[[#This Row],[Capacity]]*Table13[[#This Row],[Range]]*payment_rate*Table13[[#This Row],[Time factor]]/2^21*GBP_to_Currency</f>
        <v>14139.342308044434</v>
      </c>
      <c r="K36" s="9">
        <f>365/Table13[[#This Row],[Travel_time]]</f>
        <v>14.285823491189849</v>
      </c>
      <c r="L36" s="2">
        <f>Table13[[#This Row],[Income per travel]]*Table13[[#This Row],[Annual travels, max]]</f>
        <v>201992.14849423565</v>
      </c>
      <c r="M36" s="2">
        <f>Table13[[#This Row],[In_game_life]]*Table13[[#This Row],[Annual profit]]*ROI____lifetime*cost_factor</f>
        <v>908964.66822406044</v>
      </c>
      <c r="N36" s="18">
        <f>Table13[[#This Row],[Annual profit]]*Running_cost_weight*runningcost_factor</f>
        <v>50498.037123558912</v>
      </c>
      <c r="O36" s="18">
        <f>Table13[[#This Row],[Buying cost]]+Table13[[#This Row],[Running cost]]*Table13[[#This Row],[In_game_life]]</f>
        <v>1817929.3364481209</v>
      </c>
      <c r="P36" s="18">
        <f>Table13[[#This Row],[Annual profit]]*Table13[[#This Row],[In_game_life]]-Table13[[#This Row],[Total cost]]</f>
        <v>1817929.3364481209</v>
      </c>
      <c r="Q36" s="22">
        <f>Table13[[#This Row],[Buying cost]]/buying_cost_convert*10000</f>
        <v>51940.838184232023</v>
      </c>
      <c r="R36" s="22">
        <f>Table13[[#This Row],[Running cost]]/running_cost_convert*1000</f>
        <v>168326.79041186304</v>
      </c>
      <c r="S36" s="22">
        <f>ROUND(Table13[IG buying cost factor]/Table13[Range],0)</f>
        <v>109</v>
      </c>
      <c r="T36" s="22">
        <f>ROUND(Table13[IG running cost factor]/Table13[Range],0)</f>
        <v>354</v>
      </c>
      <c r="U36" s="18"/>
      <c r="V36" s="18"/>
      <c r="W36" s="18">
        <f>IFERROR(Table13[[#This Row],[in-game cost]]/Table13[[#This Row],[Newgrf cost factor]],0)</f>
        <v>0</v>
      </c>
      <c r="X36" s="18"/>
      <c r="Y36" s="18"/>
      <c r="Z36" s="18">
        <f>IFERROR(Table13[[#This Row],[in-game running]]/Table13[[#This Row],[Newgrf running factor]],0)</f>
        <v>0</v>
      </c>
      <c r="AA36" s="23">
        <f>(Table13[[#This Row],[Buying/distance]]*Table13[Range]/10000*buying_cost_convert-Table13[Buying cost])/Table13[Buying cost]</f>
        <v>-3.192828418436453E-3</v>
      </c>
      <c r="AB36" s="23">
        <f>(Table13[Running/distance]*Table13[Range]/1000*running_cost_convert-Table13[Running cost])/Table13[Running cost]</f>
        <v>-1.0502808936739517E-3</v>
      </c>
    </row>
    <row r="37" spans="1:28" hidden="1" x14ac:dyDescent="0.3">
      <c r="A37" s="14" t="s">
        <v>43</v>
      </c>
      <c r="B37">
        <v>900</v>
      </c>
      <c r="C37">
        <v>80</v>
      </c>
      <c r="D37">
        <v>340</v>
      </c>
      <c r="E37">
        <f>IF(D:D&lt;minaddmultirange,MAX(Table13[[#This Row],[Base range]],Minbaserange)*rangemultipl*rangemultiplsmalladd/10000,MAX(Table13[[#This Row],[Base range]],Minbaserange)*minaddmultirange/100)</f>
        <v>340</v>
      </c>
      <c r="F37">
        <v>30</v>
      </c>
      <c r="G37" s="9">
        <f>Table13[[#This Row],[Base range]]/((Table13[[#This Row],[Speed]]/3600*16*256)/(74*2)*24/10*2)+$AE$10</f>
        <v>22.237630208333332</v>
      </c>
      <c r="H37" s="21">
        <f>ROUNDDOWN(Table13[[#This Row],[Travel_time]]*formula_vsig_time,0)</f>
        <v>8</v>
      </c>
      <c r="I3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247</v>
      </c>
      <c r="J37" s="2">
        <f>Table13[[#This Row],[Capacity]]*Table13[[#This Row],[Range]]*payment_rate*Table13[[#This Row],[Time factor]]/2^21*GBP_to_Currency</f>
        <v>10203.411102294922</v>
      </c>
      <c r="K37" s="9">
        <f>365/Table13[[#This Row],[Travel_time]]</f>
        <v>16.413619463067601</v>
      </c>
      <c r="L37" s="2">
        <f>Table13[[#This Row],[Income per travel]]*Table13[[#This Row],[Annual travels, max]]</f>
        <v>167474.90705830796</v>
      </c>
      <c r="M37" s="2">
        <f>Table13[[#This Row],[In_game_life]]*Table13[[#This Row],[Annual profit]]*ROI____lifetime*cost_factor</f>
        <v>1256061.8029373097</v>
      </c>
      <c r="N37" s="18">
        <f>Table13[[#This Row],[Annual profit]]*Running_cost_weight*runningcost_factor</f>
        <v>41868.72676457699</v>
      </c>
      <c r="O37" s="18">
        <f>Table13[[#This Row],[Buying cost]]+Table13[[#This Row],[Running cost]]*Table13[[#This Row],[In_game_life]]</f>
        <v>2512123.6058746194</v>
      </c>
      <c r="P37" s="18">
        <f>Table13[[#This Row],[Annual profit]]*Table13[[#This Row],[In_game_life]]-Table13[[#This Row],[Total cost]]</f>
        <v>2512123.6058746194</v>
      </c>
      <c r="Q37" s="22">
        <f>Table13[[#This Row],[Buying cost]]/buying_cost_convert*10000</f>
        <v>71774.960167846264</v>
      </c>
      <c r="R37" s="22">
        <f>Table13[[#This Row],[Running cost]]/running_cost_convert*1000</f>
        <v>139562.42254858997</v>
      </c>
      <c r="S37" s="22">
        <f>ROUND(Table13[IG buying cost factor]/Table13[Range],0)</f>
        <v>211</v>
      </c>
      <c r="T37" s="22">
        <f>ROUND(Table13[IG running cost factor]/Table13[Range],0)</f>
        <v>410</v>
      </c>
      <c r="U37" s="18"/>
      <c r="V37" s="18"/>
      <c r="W37" s="18">
        <f>IFERROR(Table13[[#This Row],[in-game cost]]/Table13[[#This Row],[Newgrf cost factor]],0)</f>
        <v>0</v>
      </c>
      <c r="X37" s="18"/>
      <c r="Y37" s="18"/>
      <c r="Z37" s="18">
        <f>IFERROR(Table13[[#This Row],[in-game running]]/Table13[[#This Row],[Newgrf running factor]],0)</f>
        <v>0</v>
      </c>
      <c r="AA37" s="23">
        <f>(Table13[[#This Row],[Buying/distance]]*Table13[Range]/10000*buying_cost_convert-Table13[Buying cost])/Table13[Buying cost]</f>
        <v>-4.8708028209998717E-4</v>
      </c>
      <c r="AB37" s="23">
        <f>(Table13[Running/distance]*Table13[Range]/1000*running_cost_convert-Table13[Running cost])/Table13[Running cost]</f>
        <v>-1.1637985757478313E-3</v>
      </c>
    </row>
    <row r="38" spans="1:28" hidden="1" x14ac:dyDescent="0.3">
      <c r="A38" s="10" t="s">
        <v>44</v>
      </c>
      <c r="B38">
        <v>504</v>
      </c>
      <c r="C38">
        <v>81</v>
      </c>
      <c r="D38">
        <v>1330</v>
      </c>
      <c r="E38">
        <f>IF(D:D&lt;minaddmultirange,MAX(Table13[[#This Row],[Base range]],Minbaserange)*rangemultipl*rangemultiplsmalladd/10000,MAX(Table13[[#This Row],[Base range]],Minbaserange)*minaddmultirange/100)</f>
        <v>1330</v>
      </c>
      <c r="F38">
        <v>15</v>
      </c>
      <c r="G38" s="9">
        <f>Table13[[#This Row],[Base range]]/((Table13[[#This Row],[Speed]]/3600*16*256)/(74*2)*24/10*2)+$AE$10</f>
        <v>83.512858072916657</v>
      </c>
      <c r="H38" s="21">
        <f>ROUNDDOWN(Table13[[#This Row],[Travel_time]]*formula_vsig_time,0)</f>
        <v>33</v>
      </c>
      <c r="I3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213</v>
      </c>
      <c r="J38" s="2">
        <f>Table13[[#This Row],[Capacity]]*Table13[[#This Row],[Range]]*payment_rate*Table13[[#This Row],[Time factor]]/2^21*GBP_to_Currency</f>
        <v>34849.438977241516</v>
      </c>
      <c r="K38" s="9">
        <f>365/Table13[[#This Row],[Travel_time]]</f>
        <v>4.3705844635482549</v>
      </c>
      <c r="L38" s="2">
        <f>Table13[[#This Row],[Income per travel]]*Table13[[#This Row],[Annual travels, max]]</f>
        <v>152312.41655730476</v>
      </c>
      <c r="M38" s="2">
        <f>Table13[[#This Row],[In_game_life]]*Table13[[#This Row],[Annual profit]]*ROI____lifetime*cost_factor</f>
        <v>571171.56208989292</v>
      </c>
      <c r="N38" s="18">
        <f>Table13[[#This Row],[Annual profit]]*Running_cost_weight*runningcost_factor</f>
        <v>38078.104139326191</v>
      </c>
      <c r="O38" s="18">
        <f>Table13[[#This Row],[Buying cost]]+Table13[[#This Row],[Running cost]]*Table13[[#This Row],[In_game_life]]</f>
        <v>1142343.1241797858</v>
      </c>
      <c r="P38" s="18">
        <f>Table13[[#This Row],[Annual profit]]*Table13[[#This Row],[In_game_life]]-Table13[[#This Row],[Total cost]]</f>
        <v>1142343.1241797858</v>
      </c>
      <c r="Q38" s="22">
        <f>Table13[[#This Row],[Buying cost]]/buying_cost_convert*10000</f>
        <v>32638.374976565308</v>
      </c>
      <c r="R38" s="22">
        <f>Table13[[#This Row],[Running cost]]/running_cost_convert*1000</f>
        <v>126927.01379775397</v>
      </c>
      <c r="S38" s="22">
        <f>ROUND(Table13[IG buying cost factor]/Table13[Range],0)</f>
        <v>25</v>
      </c>
      <c r="T38" s="22">
        <f>ROUND(Table13[IG running cost factor]/Table13[Range],0)</f>
        <v>95</v>
      </c>
      <c r="U38" s="18"/>
      <c r="V38" s="18"/>
      <c r="W38" s="18">
        <f>IFERROR(Table13[[#This Row],[in-game cost]]/Table13[[#This Row],[Newgrf cost factor]],0)</f>
        <v>0</v>
      </c>
      <c r="X38" s="18"/>
      <c r="Y38" s="18"/>
      <c r="Z38" s="18">
        <f>IFERROR(Table13[[#This Row],[in-game running]]/Table13[[#This Row],[Newgrf running factor]],0)</f>
        <v>0</v>
      </c>
      <c r="AA38" s="23">
        <f>(Table13[[#This Row],[Buying/distance]]*Table13[Range]/10000*buying_cost_convert-Table13[Buying cost])/Table13[Buying cost]</f>
        <v>1.8739444714200491E-2</v>
      </c>
      <c r="AB38" s="23">
        <f>(Table13[Running/distance]*Table13[Range]/1000*running_cost_convert-Table13[Running cost])/Table13[Running cost]</f>
        <v>-4.5460283078382893E-3</v>
      </c>
    </row>
    <row r="39" spans="1:28" hidden="1" x14ac:dyDescent="0.3">
      <c r="A39" s="11" t="s">
        <v>45</v>
      </c>
      <c r="B39">
        <v>875</v>
      </c>
      <c r="C39">
        <v>85</v>
      </c>
      <c r="D39">
        <v>855</v>
      </c>
      <c r="E39">
        <f>IF(D:D&lt;minaddmultirange,MAX(Table13[[#This Row],[Base range]],Minbaserange)*rangemultipl*rangemultiplsmalladd/10000,MAX(Table13[[#This Row],[Base range]],Minbaserange)*minaddmultirange/100)</f>
        <v>855</v>
      </c>
      <c r="F39">
        <v>25</v>
      </c>
      <c r="G39" s="9">
        <f>Table13[[#This Row],[Base range]]/((Table13[[#This Row],[Speed]]/3600*16*256)/(74*2)*24/10*2)+$AE$10</f>
        <v>38.480189732142861</v>
      </c>
      <c r="H39" s="21">
        <f>ROUNDDOWN(Table13[[#This Row],[Travel_time]]*formula_vsig_time,0)</f>
        <v>15</v>
      </c>
      <c r="I3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240</v>
      </c>
      <c r="J39" s="2">
        <f>Table13[[#This Row],[Capacity]]*Table13[[#This Row],[Range]]*payment_rate*Table13[[#This Row],[Time factor]]/2^21*GBP_to_Currency</f>
        <v>26489.624977111816</v>
      </c>
      <c r="K39" s="9">
        <f>365/Table13[[#This Row],[Travel_time]]</f>
        <v>9.4854002160782507</v>
      </c>
      <c r="L39" s="2">
        <f>Table13[[#This Row],[Income per travel]]*Table13[[#This Row],[Annual travels, max]]</f>
        <v>251264.69448172825</v>
      </c>
      <c r="M39" s="2">
        <f>Table13[[#This Row],[In_game_life]]*Table13[[#This Row],[Annual profit]]*ROI____lifetime*cost_factor</f>
        <v>1570404.3405108016</v>
      </c>
      <c r="N39" s="18">
        <f>Table13[[#This Row],[Annual profit]]*Running_cost_weight*runningcost_factor</f>
        <v>62816.173620432062</v>
      </c>
      <c r="O39" s="18">
        <f>Table13[[#This Row],[Buying cost]]+Table13[[#This Row],[Running cost]]*Table13[[#This Row],[In_game_life]]</f>
        <v>3140808.6810216033</v>
      </c>
      <c r="P39" s="18">
        <f>Table13[[#This Row],[Annual profit]]*Table13[[#This Row],[In_game_life]]-Table13[[#This Row],[Total cost]]</f>
        <v>3140808.6810216033</v>
      </c>
      <c r="Q39" s="22">
        <f>Table13[[#This Row],[Buying cost]]/buying_cost_convert*10000</f>
        <v>89737.39088633153</v>
      </c>
      <c r="R39" s="22">
        <f>Table13[[#This Row],[Running cost]]/running_cost_convert*1000</f>
        <v>209387.24540144019</v>
      </c>
      <c r="S39" s="22">
        <f>ROUND(Table13[IG buying cost factor]/Table13[Range],0)</f>
        <v>105</v>
      </c>
      <c r="T39" s="22">
        <f>ROUND(Table13[IG running cost factor]/Table13[Range],0)</f>
        <v>245</v>
      </c>
      <c r="U39" s="18"/>
      <c r="V39" s="18"/>
      <c r="W39" s="18">
        <f>IFERROR(Table13[[#This Row],[in-game cost]]/Table13[[#This Row],[Newgrf cost factor]],0)</f>
        <v>0</v>
      </c>
      <c r="X39" s="18"/>
      <c r="Y39" s="18"/>
      <c r="Z39" s="18">
        <f>IFERROR(Table13[[#This Row],[in-game running]]/Table13[[#This Row],[Newgrf running factor]],0)</f>
        <v>0</v>
      </c>
      <c r="AA39" s="23">
        <f>(Table13[[#This Row],[Buying/distance]]*Table13[Range]/10000*buying_cost_convert-Table13[Buying cost])/Table13[Buying cost]</f>
        <v>4.1910192949673344E-4</v>
      </c>
      <c r="AB39" s="23">
        <f>(Table13[Running/distance]*Table13[Range]/1000*running_cost_convert-Table13[Running cost])/Table13[Running cost]</f>
        <v>4.1910192949693733E-4</v>
      </c>
    </row>
    <row r="40" spans="1:28" hidden="1" x14ac:dyDescent="0.3">
      <c r="A40" s="10" t="s">
        <v>46</v>
      </c>
      <c r="B40">
        <v>890</v>
      </c>
      <c r="C40">
        <v>86</v>
      </c>
      <c r="D40">
        <v>600</v>
      </c>
      <c r="E40">
        <f>IF(D:D&lt;minaddmultirange,MAX(Table13[[#This Row],[Base range]],Minbaserange)*rangemultipl*rangemultiplsmalladd/10000,MAX(Table13[[#This Row],[Base range]],Minbaserange)*minaddmultirange/100)</f>
        <v>600</v>
      </c>
      <c r="F40">
        <v>25</v>
      </c>
      <c r="G40" s="9">
        <f>Table13[[#This Row],[Base range]]/((Table13[[#This Row],[Speed]]/3600*16*256)/(74*2)*24/10*2)+$AE$10</f>
        <v>30.269399578651687</v>
      </c>
      <c r="H40" s="21">
        <f>ROUNDDOWN(Table13[[#This Row],[Travel_time]]*formula_vsig_time,0)</f>
        <v>12</v>
      </c>
      <c r="I4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40" s="2">
        <f>Table13[[#This Row],[Capacity]]*Table13[[#This Row],[Range]]*payment_rate*Table13[[#This Row],[Time factor]]/2^21*GBP_to_Currency</f>
        <v>19043.00594329834</v>
      </c>
      <c r="K40" s="9">
        <f>365/Table13[[#This Row],[Travel_time]]</f>
        <v>12.0583825606315</v>
      </c>
      <c r="L40" s="2">
        <f>Table13[[#This Row],[Income per travel]]*Table13[[#This Row],[Annual travels, max]]</f>
        <v>229627.8507686707</v>
      </c>
      <c r="M40" s="2">
        <f>Table13[[#This Row],[In_game_life]]*Table13[[#This Row],[Annual profit]]*ROI____lifetime*cost_factor</f>
        <v>1435174.0673041919</v>
      </c>
      <c r="N40" s="18">
        <f>Table13[[#This Row],[Annual profit]]*Running_cost_weight*runningcost_factor</f>
        <v>57406.962692167675</v>
      </c>
      <c r="O40" s="18">
        <f>Table13[[#This Row],[Buying cost]]+Table13[[#This Row],[Running cost]]*Table13[[#This Row],[In_game_life]]</f>
        <v>2870348.1346083838</v>
      </c>
      <c r="P40" s="18">
        <f>Table13[[#This Row],[Annual profit]]*Table13[[#This Row],[In_game_life]]-Table13[[#This Row],[Total cost]]</f>
        <v>2870348.1346083838</v>
      </c>
      <c r="Q40" s="22">
        <f>Table13[[#This Row],[Buying cost]]/buying_cost_convert*10000</f>
        <v>82009.946703096677</v>
      </c>
      <c r="R40" s="22">
        <f>Table13[[#This Row],[Running cost]]/running_cost_convert*1000</f>
        <v>191356.54230722561</v>
      </c>
      <c r="S40" s="22">
        <f>ROUND(Table13[IG buying cost factor]/Table13[Range],0)</f>
        <v>137</v>
      </c>
      <c r="T40" s="22">
        <f>ROUND(Table13[IG running cost factor]/Table13[Range],0)</f>
        <v>319</v>
      </c>
      <c r="U40" s="18"/>
      <c r="V40" s="18"/>
      <c r="W40" s="18">
        <f>IFERROR(Table13[[#This Row],[in-game cost]]/Table13[[#This Row],[Newgrf cost factor]],0)</f>
        <v>0</v>
      </c>
      <c r="X40" s="18"/>
      <c r="Y40" s="18"/>
      <c r="Z40" s="18">
        <f>IFERROR(Table13[[#This Row],[in-game running]]/Table13[[#This Row],[Newgrf running factor]],0)</f>
        <v>0</v>
      </c>
      <c r="AA40" s="23">
        <f>(Table13[[#This Row],[Buying/distance]]*Table13[Range]/10000*buying_cost_convert-Table13[Buying cost])/Table13[Buying cost]</f>
        <v>2.317442024336115E-3</v>
      </c>
      <c r="AB40" s="23">
        <f>(Table13[Running/distance]*Table13[Range]/1000*running_cost_convert-Table13[Running cost])/Table13[Running cost]</f>
        <v>2.2710325056272891E-4</v>
      </c>
    </row>
    <row r="41" spans="1:28" hidden="1" x14ac:dyDescent="0.3">
      <c r="A41" s="10" t="s">
        <v>47</v>
      </c>
      <c r="B41">
        <v>890</v>
      </c>
      <c r="C41">
        <v>86</v>
      </c>
      <c r="D41">
        <v>700</v>
      </c>
      <c r="E41">
        <f>IF(D:D&lt;minaddmultirange,MAX(Table13[[#This Row],[Base range]],Minbaserange)*rangemultipl*rangemultiplsmalladd/10000,MAX(Table13[[#This Row],[Base range]],Minbaserange)*minaddmultirange/100)</f>
        <v>700</v>
      </c>
      <c r="F41">
        <v>25</v>
      </c>
      <c r="G41" s="9">
        <f>Table13[[#This Row],[Base range]]/((Table13[[#This Row],[Speed]]/3600*16*256)/(74*2)*24/10*2)+$AE$10</f>
        <v>33.31429950842697</v>
      </c>
      <c r="H41" s="21">
        <f>ROUNDDOWN(Table13[[#This Row],[Travel_time]]*formula_vsig_time,0)</f>
        <v>13</v>
      </c>
      <c r="I4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41" s="2">
        <f>Table13[[#This Row],[Capacity]]*Table13[[#This Row],[Range]]*payment_rate*Table13[[#This Row],[Time factor]]/2^21*GBP_to_Currency</f>
        <v>22125.412940979004</v>
      </c>
      <c r="K41" s="9">
        <f>365/Table13[[#This Row],[Travel_time]]</f>
        <v>10.956256183854983</v>
      </c>
      <c r="L41" s="2">
        <f>Table13[[#This Row],[Income per travel]]*Table13[[#This Row],[Annual travels, max]]</f>
        <v>242411.69235494628</v>
      </c>
      <c r="M41" s="2">
        <f>Table13[[#This Row],[In_game_life]]*Table13[[#This Row],[Annual profit]]*ROI____lifetime*cost_factor</f>
        <v>1515073.0772184143</v>
      </c>
      <c r="N41" s="18">
        <f>Table13[[#This Row],[Annual profit]]*Running_cost_weight*runningcost_factor</f>
        <v>60602.92308873657</v>
      </c>
      <c r="O41" s="18">
        <f>Table13[[#This Row],[Buying cost]]+Table13[[#This Row],[Running cost]]*Table13[[#This Row],[In_game_life]]</f>
        <v>3030146.1544368286</v>
      </c>
      <c r="P41" s="18">
        <f>Table13[[#This Row],[Annual profit]]*Table13[[#This Row],[In_game_life]]-Table13[[#This Row],[Total cost]]</f>
        <v>3030146.1544368286</v>
      </c>
      <c r="Q41" s="22">
        <f>Table13[[#This Row],[Buying cost]]/buying_cost_convert*10000</f>
        <v>86575.604412480825</v>
      </c>
      <c r="R41" s="22">
        <f>Table13[[#This Row],[Running cost]]/running_cost_convert*1000</f>
        <v>202009.74362912192</v>
      </c>
      <c r="S41" s="22">
        <f>ROUND(Table13[IG buying cost factor]/Table13[Range],0)</f>
        <v>124</v>
      </c>
      <c r="T41" s="22">
        <f>ROUND(Table13[IG running cost factor]/Table13[Range],0)</f>
        <v>289</v>
      </c>
      <c r="U41" s="18"/>
      <c r="V41" s="18"/>
      <c r="W41" s="18">
        <f>IFERROR(Table13[[#This Row],[in-game cost]]/Table13[[#This Row],[Newgrf cost factor]],0)</f>
        <v>0</v>
      </c>
      <c r="X41" s="18"/>
      <c r="Y41" s="18"/>
      <c r="Z41" s="18">
        <f>IFERROR(Table13[[#This Row],[in-game running]]/Table13[[#This Row],[Newgrf running factor]],0)</f>
        <v>0</v>
      </c>
      <c r="AA41" s="23">
        <f>(Table13[[#This Row],[Buying/distance]]*Table13[Range]/10000*buying_cost_convert-Table13[Buying cost])/Table13[Buying cost]</f>
        <v>2.5919032161770814E-3</v>
      </c>
      <c r="AB41" s="23">
        <f>(Table13[Running/distance]*Table13[Range]/1000*running_cost_convert-Table13[Running cost])/Table13[Running cost]</f>
        <v>1.4368434198450994E-3</v>
      </c>
    </row>
    <row r="42" spans="1:28" hidden="1" x14ac:dyDescent="0.3">
      <c r="A42" s="10" t="s">
        <v>48</v>
      </c>
      <c r="B42">
        <v>890</v>
      </c>
      <c r="C42">
        <v>86</v>
      </c>
      <c r="D42">
        <v>665</v>
      </c>
      <c r="E42">
        <f>IF(D:D&lt;minaddmultirange,MAX(Table13[[#This Row],[Base range]],Minbaserange)*rangemultipl*rangemultiplsmalladd/10000,MAX(Table13[[#This Row],[Base range]],Minbaserange)*minaddmultirange/100)</f>
        <v>665</v>
      </c>
      <c r="F42">
        <v>25</v>
      </c>
      <c r="G42" s="9">
        <f>Table13[[#This Row],[Base range]]/((Table13[[#This Row],[Speed]]/3600*16*256)/(74*2)*24/10*2)+$AE$10</f>
        <v>32.248584533005619</v>
      </c>
      <c r="H42" s="21">
        <f>ROUNDDOWN(Table13[[#This Row],[Travel_time]]*formula_vsig_time,0)</f>
        <v>12</v>
      </c>
      <c r="I4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42" s="2">
        <f>Table13[[#This Row],[Capacity]]*Table13[[#This Row],[Range]]*payment_rate*Table13[[#This Row],[Time factor]]/2^21*GBP_to_Currency</f>
        <v>21105.998253822327</v>
      </c>
      <c r="K42" s="9">
        <f>365/Table13[[#This Row],[Travel_time]]</f>
        <v>11.318326223789191</v>
      </c>
      <c r="L42" s="2">
        <f>Table13[[#This Row],[Income per travel]]*Table13[[#This Row],[Annual travels, max]]</f>
        <v>238884.57351548612</v>
      </c>
      <c r="M42" s="2">
        <f>Table13[[#This Row],[In_game_life]]*Table13[[#This Row],[Annual profit]]*ROI____lifetime*cost_factor</f>
        <v>1493028.5844717883</v>
      </c>
      <c r="N42" s="18">
        <f>Table13[[#This Row],[Annual profit]]*Running_cost_weight*runningcost_factor</f>
        <v>59721.143378871529</v>
      </c>
      <c r="O42" s="18">
        <f>Table13[[#This Row],[Buying cost]]+Table13[[#This Row],[Running cost]]*Table13[[#This Row],[In_game_life]]</f>
        <v>2986057.1689435765</v>
      </c>
      <c r="P42" s="18">
        <f>Table13[[#This Row],[Annual profit]]*Table13[[#This Row],[In_game_life]]-Table13[[#This Row],[Total cost]]</f>
        <v>2986057.1689435765</v>
      </c>
      <c r="Q42" s="22">
        <f>Table13[[#This Row],[Buying cost]]/buying_cost_convert*10000</f>
        <v>85315.919112673611</v>
      </c>
      <c r="R42" s="22">
        <f>Table13[[#This Row],[Running cost]]/running_cost_convert*1000</f>
        <v>199070.47792957176</v>
      </c>
      <c r="S42" s="22">
        <f>ROUND(Table13[IG buying cost factor]/Table13[Range],0)</f>
        <v>128</v>
      </c>
      <c r="T42" s="22">
        <f>ROUND(Table13[IG running cost factor]/Table13[Range],0)</f>
        <v>299</v>
      </c>
      <c r="U42" s="18"/>
      <c r="V42" s="18"/>
      <c r="W42" s="18">
        <f>IFERROR(Table13[[#This Row],[in-game cost]]/Table13[[#This Row],[Newgrf cost factor]],0)</f>
        <v>0</v>
      </c>
      <c r="X42" s="18"/>
      <c r="Y42" s="18"/>
      <c r="Z42" s="18">
        <f>IFERROR(Table13[[#This Row],[in-game running]]/Table13[[#This Row],[Newgrf running factor]],0)</f>
        <v>0</v>
      </c>
      <c r="AA42" s="23">
        <f>(Table13[[#This Row],[Buying/distance]]*Table13[Range]/10000*buying_cost_convert-Table13[Buying cost])/Table13[Buying cost]</f>
        <v>-2.296395733777087E-3</v>
      </c>
      <c r="AB42" s="23">
        <f>(Table13[Running/distance]*Table13[Range]/1000*running_cost_convert-Table13[Running cost])/Table13[Running cost]</f>
        <v>-1.1828872468728055E-3</v>
      </c>
    </row>
    <row r="43" spans="1:28" hidden="1" x14ac:dyDescent="0.3">
      <c r="A43" s="10" t="s">
        <v>49</v>
      </c>
      <c r="B43">
        <v>850</v>
      </c>
      <c r="C43">
        <v>88</v>
      </c>
      <c r="D43">
        <v>350</v>
      </c>
      <c r="E43">
        <f>IF(D:D&lt;minaddmultirange,MAX(Table13[[#This Row],[Base range]],Minbaserange)*rangemultipl*rangemultiplsmalladd/10000,MAX(Table13[[#This Row],[Base range]],Minbaserange)*minaddmultirange/100)</f>
        <v>350</v>
      </c>
      <c r="F43">
        <v>25</v>
      </c>
      <c r="G43" s="9">
        <f>Table13[[#This Row],[Base range]]/((Table13[[#This Row],[Speed]]/3600*16*256)/(74*2)*24/10*2)+$AE$10</f>
        <v>23.158662683823529</v>
      </c>
      <c r="H43" s="21">
        <f>ROUNDDOWN(Table13[[#This Row],[Travel_time]]*formula_vsig_time,0)</f>
        <v>9</v>
      </c>
      <c r="I4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246</v>
      </c>
      <c r="J43" s="2">
        <f>Table13[[#This Row],[Capacity]]*Table13[[#This Row],[Range]]*payment_rate*Table13[[#This Row],[Time factor]]/2^21*GBP_to_Currency</f>
        <v>11507.085800170898</v>
      </c>
      <c r="K43" s="9">
        <f>365/Table13[[#This Row],[Travel_time]]</f>
        <v>15.76084098564788</v>
      </c>
      <c r="L43" s="2">
        <f>Table13[[#This Row],[Income per travel]]*Table13[[#This Row],[Annual travels, max]]</f>
        <v>181361.34950470022</v>
      </c>
      <c r="M43" s="2">
        <f>Table13[[#This Row],[In_game_life]]*Table13[[#This Row],[Annual profit]]*ROI____lifetime*cost_factor</f>
        <v>1133508.4344043764</v>
      </c>
      <c r="N43" s="18">
        <f>Table13[[#This Row],[Annual profit]]*Running_cost_weight*runningcost_factor</f>
        <v>45340.337376175055</v>
      </c>
      <c r="O43" s="18">
        <f>Table13[[#This Row],[Buying cost]]+Table13[[#This Row],[Running cost]]*Table13[[#This Row],[In_game_life]]</f>
        <v>2267016.8688087529</v>
      </c>
      <c r="P43" s="18">
        <f>Table13[[#This Row],[Annual profit]]*Table13[[#This Row],[In_game_life]]-Table13[[#This Row],[Total cost]]</f>
        <v>2267016.8688087529</v>
      </c>
      <c r="Q43" s="22">
        <f>Table13[[#This Row],[Buying cost]]/buying_cost_convert*10000</f>
        <v>64771.910537392941</v>
      </c>
      <c r="R43" s="22">
        <f>Table13[[#This Row],[Running cost]]/running_cost_convert*1000</f>
        <v>151134.45792058352</v>
      </c>
      <c r="S43" s="22">
        <f>ROUND(Table13[IG buying cost factor]/Table13[Range],0)</f>
        <v>185</v>
      </c>
      <c r="T43" s="22">
        <f>ROUND(Table13[IG running cost factor]/Table13[Range],0)</f>
        <v>432</v>
      </c>
      <c r="U43" s="18"/>
      <c r="V43" s="18"/>
      <c r="W43" s="18">
        <f>IFERROR(Table13[[#This Row],[in-game cost]]/Table13[[#This Row],[Newgrf cost factor]],0)</f>
        <v>0</v>
      </c>
      <c r="X43" s="18"/>
      <c r="Y43" s="18"/>
      <c r="Z43" s="18">
        <f>IFERROR(Table13[[#This Row],[in-game running]]/Table13[[#This Row],[Newgrf running factor]],0)</f>
        <v>0</v>
      </c>
      <c r="AA43" s="23">
        <f>(Table13[[#This Row],[Buying/distance]]*Table13[Range]/10000*buying_cost_convert-Table13[Buying cost])/Table13[Buying cost]</f>
        <v>-3.3827221107349899E-4</v>
      </c>
      <c r="AB43" s="23">
        <f>(Table13[Running/distance]*Table13[Range]/1000*running_cost_convert-Table13[Running cost])/Table13[Running cost]</f>
        <v>4.3366734706470677E-4</v>
      </c>
    </row>
    <row r="44" spans="1:28" hidden="1" x14ac:dyDescent="0.3">
      <c r="A44" s="10" t="s">
        <v>50</v>
      </c>
      <c r="B44">
        <v>850</v>
      </c>
      <c r="C44">
        <v>88</v>
      </c>
      <c r="D44">
        <v>430</v>
      </c>
      <c r="E44">
        <f>IF(D:D&lt;minaddmultirange,MAX(Table13[[#This Row],[Base range]],Minbaserange)*rangemultipl*rangemultiplsmalladd/10000,MAX(Table13[[#This Row],[Base range]],Minbaserange)*minaddmultirange/100)</f>
        <v>430</v>
      </c>
      <c r="F44">
        <v>25</v>
      </c>
      <c r="G44" s="9">
        <f>Table13[[#This Row],[Base range]]/((Table13[[#This Row],[Speed]]/3600*16*256)/(74*2)*24/10*2)+$AE$10</f>
        <v>25.709214154411764</v>
      </c>
      <c r="H44" s="21">
        <f>ROUNDDOWN(Table13[[#This Row],[Travel_time]]*formula_vsig_time,0)</f>
        <v>10</v>
      </c>
      <c r="I4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44" s="2">
        <f>Table13[[#This Row],[Capacity]]*Table13[[#This Row],[Range]]*payment_rate*Table13[[#This Row],[Time factor]]/2^21*GBP_to_Currency</f>
        <v>14079.808235168457</v>
      </c>
      <c r="K44" s="9">
        <f>365/Table13[[#This Row],[Travel_time]]</f>
        <v>14.197244529053997</v>
      </c>
      <c r="L44" s="2">
        <f>Table13[[#This Row],[Income per travel]]*Table13[[#This Row],[Annual travels, max]]</f>
        <v>199894.48043687479</v>
      </c>
      <c r="M44" s="2">
        <f>Table13[[#This Row],[In_game_life]]*Table13[[#This Row],[Annual profit]]*ROI____lifetime*cost_factor</f>
        <v>1249340.5027304674</v>
      </c>
      <c r="N44" s="18">
        <f>Table13[[#This Row],[Annual profit]]*Running_cost_weight*runningcost_factor</f>
        <v>49973.620109218697</v>
      </c>
      <c r="O44" s="18">
        <f>Table13[[#This Row],[Buying cost]]+Table13[[#This Row],[Running cost]]*Table13[[#This Row],[In_game_life]]</f>
        <v>2498681.0054609347</v>
      </c>
      <c r="P44" s="18">
        <f>Table13[[#This Row],[Annual profit]]*Table13[[#This Row],[In_game_life]]-Table13[[#This Row],[Total cost]]</f>
        <v>2498681.0054609347</v>
      </c>
      <c r="Q44" s="22">
        <f>Table13[[#This Row],[Buying cost]]/buying_cost_convert*10000</f>
        <v>71390.885870312428</v>
      </c>
      <c r="R44" s="22">
        <f>Table13[[#This Row],[Running cost]]/running_cost_convert*1000</f>
        <v>166578.73369739566</v>
      </c>
      <c r="S44" s="22">
        <f>ROUND(Table13[IG buying cost factor]/Table13[Range],0)</f>
        <v>166</v>
      </c>
      <c r="T44" s="22">
        <f>ROUND(Table13[IG running cost factor]/Table13[Range],0)</f>
        <v>387</v>
      </c>
      <c r="U44" s="18"/>
      <c r="V44" s="18"/>
      <c r="W44" s="18">
        <f>IFERROR(Table13[[#This Row],[in-game cost]]/Table13[[#This Row],[Newgrf cost factor]],0)</f>
        <v>0</v>
      </c>
      <c r="X44" s="18"/>
      <c r="Y44" s="18"/>
      <c r="Z44" s="18">
        <f>IFERROR(Table13[[#This Row],[in-game running]]/Table13[[#This Row],[Newgrf running factor]],0)</f>
        <v>0</v>
      </c>
      <c r="AA44" s="23">
        <f>(Table13[[#This Row],[Buying/distance]]*Table13[Range]/10000*buying_cost_convert-Table13[Buying cost])/Table13[Buying cost]</f>
        <v>-1.5248263387844058E-4</v>
      </c>
      <c r="AB44" s="23">
        <f>(Table13[Running/distance]*Table13[Range]/1000*running_cost_convert-Table13[Running cost])/Table13[Running cost]</f>
        <v>-1.0129366075154248E-3</v>
      </c>
    </row>
    <row r="45" spans="1:28" hidden="1" x14ac:dyDescent="0.3">
      <c r="A45" s="10" t="s">
        <v>51</v>
      </c>
      <c r="B45">
        <v>850</v>
      </c>
      <c r="C45">
        <v>88</v>
      </c>
      <c r="D45">
        <v>505</v>
      </c>
      <c r="E45">
        <f>IF(D:D&lt;minaddmultirange,MAX(Table13[[#This Row],[Base range]],Minbaserange)*rangemultipl*rangemultiplsmalladd/10000,MAX(Table13[[#This Row],[Base range]],Minbaserange)*minaddmultirange/100)</f>
        <v>505</v>
      </c>
      <c r="F45">
        <v>25</v>
      </c>
      <c r="G45" s="9">
        <f>Table13[[#This Row],[Base range]]/((Table13[[#This Row],[Speed]]/3600*16*256)/(74*2)*24/10*2)+$AE$10</f>
        <v>28.100356158088236</v>
      </c>
      <c r="H45" s="21">
        <f>ROUNDDOWN(Table13[[#This Row],[Travel_time]]*formula_vsig_time,0)</f>
        <v>11</v>
      </c>
      <c r="I4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45" s="2">
        <f>Table13[[#This Row],[Capacity]]*Table13[[#This Row],[Range]]*payment_rate*Table13[[#This Row],[Time factor]]/2^21*GBP_to_Currency</f>
        <v>16468.096542358398</v>
      </c>
      <c r="K45" s="9">
        <f>365/Table13[[#This Row],[Travel_time]]</f>
        <v>12.989159210173947</v>
      </c>
      <c r="L45" s="2">
        <f>Table13[[#This Row],[Income per travel]]*Table13[[#This Row],[Annual travels, max]]</f>
        <v>213906.72787720832</v>
      </c>
      <c r="M45" s="2">
        <f>Table13[[#This Row],[In_game_life]]*Table13[[#This Row],[Annual profit]]*ROI____lifetime*cost_factor</f>
        <v>1336917.0492325521</v>
      </c>
      <c r="N45" s="18">
        <f>Table13[[#This Row],[Annual profit]]*Running_cost_weight*runningcost_factor</f>
        <v>53476.681969302081</v>
      </c>
      <c r="O45" s="18">
        <f>Table13[[#This Row],[Buying cost]]+Table13[[#This Row],[Running cost]]*Table13[[#This Row],[In_game_life]]</f>
        <v>2673834.0984651041</v>
      </c>
      <c r="P45" s="18">
        <f>Table13[[#This Row],[Annual profit]]*Table13[[#This Row],[In_game_life]]-Table13[[#This Row],[Total cost]]</f>
        <v>2673834.0984651041</v>
      </c>
      <c r="Q45" s="22">
        <f>Table13[[#This Row],[Buying cost]]/buying_cost_convert*10000</f>
        <v>76395.259956145834</v>
      </c>
      <c r="R45" s="22">
        <f>Table13[[#This Row],[Running cost]]/running_cost_convert*1000</f>
        <v>178255.60656434027</v>
      </c>
      <c r="S45" s="22">
        <f>ROUND(Table13[IG buying cost factor]/Table13[Range],0)</f>
        <v>151</v>
      </c>
      <c r="T45" s="22">
        <f>ROUND(Table13[IG running cost factor]/Table13[Range],0)</f>
        <v>353</v>
      </c>
      <c r="U45" s="18"/>
      <c r="V45" s="18"/>
      <c r="W45" s="18">
        <f>IFERROR(Table13[[#This Row],[in-game cost]]/Table13[[#This Row],[Newgrf cost factor]],0)</f>
        <v>0</v>
      </c>
      <c r="X45" s="18"/>
      <c r="Y45" s="18"/>
      <c r="Z45" s="18">
        <f>IFERROR(Table13[[#This Row],[in-game running]]/Table13[[#This Row],[Newgrf running factor]],0)</f>
        <v>0</v>
      </c>
      <c r="AA45" s="23">
        <f>(Table13[[#This Row],[Buying/distance]]*Table13[Range]/10000*buying_cost_convert-Table13[Buying cost])/Table13[Buying cost]</f>
        <v>-1.8359772088784999E-3</v>
      </c>
      <c r="AB45" s="23">
        <f>(Table13[Running/distance]*Table13[Range]/1000*running_cost_convert-Table13[Running cost])/Table13[Running cost]</f>
        <v>5.2696438786716554E-5</v>
      </c>
    </row>
    <row r="46" spans="1:28" hidden="1" x14ac:dyDescent="0.3">
      <c r="A46" s="11" t="s">
        <v>52</v>
      </c>
      <c r="B46">
        <v>871</v>
      </c>
      <c r="C46">
        <v>89</v>
      </c>
      <c r="D46">
        <v>635</v>
      </c>
      <c r="E46">
        <f>IF(D:D&lt;minaddmultirange,MAX(Table13[[#This Row],[Base range]],Minbaserange)*rangemultipl*rangemultiplsmalladd/10000,MAX(Table13[[#This Row],[Base range]],Minbaserange)*minaddmultirange/100)</f>
        <v>635</v>
      </c>
      <c r="F46">
        <v>12</v>
      </c>
      <c r="G46" s="9">
        <f>Table13[[#This Row],[Base range]]/((Table13[[#This Row],[Speed]]/3600*16*256)/(74*2)*24/10*2)+$AE$10</f>
        <v>31.756890876148109</v>
      </c>
      <c r="H46" s="21">
        <f>ROUNDDOWN(Table13[[#This Row],[Travel_time]]*formula_vsig_time,0)</f>
        <v>12</v>
      </c>
      <c r="I4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46" s="2">
        <f>Table13[[#This Row],[Capacity]]*Table13[[#This Row],[Range]]*payment_rate*Table13[[#This Row],[Time factor]]/2^21*GBP_to_Currency</f>
        <v>20856.889164447784</v>
      </c>
      <c r="K46" s="9">
        <f>365/Table13[[#This Row],[Travel_time]]</f>
        <v>11.493568480097759</v>
      </c>
      <c r="L46" s="2">
        <f>Table13[[#This Row],[Income per travel]]*Table13[[#This Row],[Annual travels, max]]</f>
        <v>239720.08389338953</v>
      </c>
      <c r="M46" s="2">
        <f>Table13[[#This Row],[In_game_life]]*Table13[[#This Row],[Annual profit]]*ROI____lifetime*cost_factor</f>
        <v>719160.25168016856</v>
      </c>
      <c r="N46" s="18">
        <f>Table13[[#This Row],[Annual profit]]*Running_cost_weight*runningcost_factor</f>
        <v>59930.020973347382</v>
      </c>
      <c r="O46" s="18">
        <f>Table13[[#This Row],[Buying cost]]+Table13[[#This Row],[Running cost]]*Table13[[#This Row],[In_game_life]]</f>
        <v>1438320.5033603371</v>
      </c>
      <c r="P46" s="18">
        <f>Table13[[#This Row],[Annual profit]]*Table13[[#This Row],[In_game_life]]-Table13[[#This Row],[Total cost]]</f>
        <v>1438320.5033603371</v>
      </c>
      <c r="Q46" s="22">
        <f>Table13[[#This Row],[Buying cost]]/buying_cost_convert*10000</f>
        <v>41094.87152458106</v>
      </c>
      <c r="R46" s="22">
        <f>Table13[[#This Row],[Running cost]]/running_cost_convert*1000</f>
        <v>199766.7365778246</v>
      </c>
      <c r="S46" s="22">
        <f>ROUND(Table13[IG buying cost factor]/Table13[Range],0)</f>
        <v>65</v>
      </c>
      <c r="T46" s="22">
        <f>ROUND(Table13[IG running cost factor]/Table13[Range],0)</f>
        <v>315</v>
      </c>
      <c r="U46" s="18"/>
      <c r="V46" s="18"/>
      <c r="W46" s="18">
        <f>IFERROR(Table13[[#This Row],[in-game cost]]/Table13[[#This Row],[Newgrf cost factor]],0)</f>
        <v>0</v>
      </c>
      <c r="X46" s="18"/>
      <c r="Y46" s="18"/>
      <c r="Z46" s="18">
        <f>IFERROR(Table13[[#This Row],[in-game running]]/Table13[[#This Row],[Newgrf running factor]],0)</f>
        <v>0</v>
      </c>
      <c r="AA46" s="23">
        <f>(Table13[[#This Row],[Buying/distance]]*Table13[Range]/10000*buying_cost_convert-Table13[Buying cost])/Table13[Buying cost]</f>
        <v>4.3832349083072746E-3</v>
      </c>
      <c r="AB46" s="23">
        <f>(Table13[Running/distance]*Table13[Range]/1000*running_cost_convert-Table13[Running cost])/Table13[Running cost]</f>
        <v>1.2928249547430506E-3</v>
      </c>
    </row>
    <row r="47" spans="1:28" hidden="1" x14ac:dyDescent="0.3">
      <c r="A47" s="11" t="s">
        <v>53</v>
      </c>
      <c r="B47">
        <v>903</v>
      </c>
      <c r="C47">
        <v>90</v>
      </c>
      <c r="D47">
        <v>530</v>
      </c>
      <c r="E47">
        <f>IF(D:D&lt;minaddmultirange,MAX(Table13[[#This Row],[Base range]],Minbaserange)*rangemultipl*rangemultiplsmalladd/10000,MAX(Table13[[#This Row],[Base range]],Minbaserange)*minaddmultirange/100)</f>
        <v>530</v>
      </c>
      <c r="F47">
        <v>30</v>
      </c>
      <c r="G47" s="9">
        <f>Table13[[#This Row],[Base range]]/((Table13[[#This Row],[Speed]]/3600*16*256)/(74*2)*24/10*2)+$AE$10</f>
        <v>27.905640053986708</v>
      </c>
      <c r="H47" s="21">
        <f>ROUNDDOWN(Table13[[#This Row],[Travel_time]]*formula_vsig_time,0)</f>
        <v>11</v>
      </c>
      <c r="I4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47" s="2">
        <f>Table13[[#This Row],[Capacity]]*Table13[[#This Row],[Range]]*payment_rate*Table13[[#This Row],[Time factor]]/2^21*GBP_to_Currency</f>
        <v>17676.152229309082</v>
      </c>
      <c r="K47" s="9">
        <f>365/Table13[[#This Row],[Travel_time]]</f>
        <v>13.079793163456026</v>
      </c>
      <c r="L47" s="2">
        <f>Table13[[#This Row],[Income per travel]]*Table13[[#This Row],[Annual travels, max]]</f>
        <v>231200.41508512493</v>
      </c>
      <c r="M47" s="2">
        <f>Table13[[#This Row],[In_game_life]]*Table13[[#This Row],[Annual profit]]*ROI____lifetime*cost_factor</f>
        <v>1734003.113138437</v>
      </c>
      <c r="N47" s="18">
        <f>Table13[[#This Row],[Annual profit]]*Running_cost_weight*runningcost_factor</f>
        <v>57800.103771281232</v>
      </c>
      <c r="O47" s="18">
        <f>Table13[[#This Row],[Buying cost]]+Table13[[#This Row],[Running cost]]*Table13[[#This Row],[In_game_life]]</f>
        <v>3468006.2262768741</v>
      </c>
      <c r="P47" s="18">
        <f>Table13[[#This Row],[Annual profit]]*Table13[[#This Row],[In_game_life]]-Table13[[#This Row],[Total cost]]</f>
        <v>3468006.2262768741</v>
      </c>
      <c r="Q47" s="22">
        <f>Table13[[#This Row],[Buying cost]]/buying_cost_convert*10000</f>
        <v>99085.892179339266</v>
      </c>
      <c r="R47" s="22">
        <f>Table13[[#This Row],[Running cost]]/running_cost_convert*1000</f>
        <v>192667.01257093743</v>
      </c>
      <c r="S47" s="22">
        <f>ROUND(Table13[IG buying cost factor]/Table13[Range],0)</f>
        <v>187</v>
      </c>
      <c r="T47" s="22">
        <f>ROUND(Table13[IG running cost factor]/Table13[Range],0)</f>
        <v>364</v>
      </c>
      <c r="U47" s="18"/>
      <c r="V47" s="18"/>
      <c r="W47" s="18">
        <f>IFERROR(Table13[[#This Row],[in-game cost]]/Table13[[#This Row],[Newgrf cost factor]],0)</f>
        <v>0</v>
      </c>
      <c r="X47" s="18"/>
      <c r="Y47" s="18"/>
      <c r="Z47" s="18">
        <f>IFERROR(Table13[[#This Row],[in-game running]]/Table13[[#This Row],[Newgrf running factor]],0)</f>
        <v>0</v>
      </c>
      <c r="AA47" s="23">
        <f>(Table13[[#This Row],[Buying/distance]]*Table13[Range]/10000*buying_cost_convert-Table13[Buying cost])/Table13[Buying cost]</f>
        <v>2.4330225151636143E-4</v>
      </c>
      <c r="AB47" s="23">
        <f>(Table13[Running/distance]*Table13[Range]/1000*running_cost_convert-Table13[Running cost])/Table13[Running cost]</f>
        <v>1.3130811844056E-3</v>
      </c>
    </row>
    <row r="48" spans="1:28" hidden="1" x14ac:dyDescent="0.3">
      <c r="A48" s="11" t="s">
        <v>54</v>
      </c>
      <c r="B48">
        <v>896</v>
      </c>
      <c r="C48">
        <v>90</v>
      </c>
      <c r="D48">
        <v>535</v>
      </c>
      <c r="E48">
        <f>IF(D:D&lt;minaddmultirange,MAX(Table13[[#This Row],[Base range]],Minbaserange)*rangemultipl*rangemultiplsmalladd/10000,MAX(Table13[[#This Row],[Base range]],Minbaserange)*minaddmultirange/100)</f>
        <v>535</v>
      </c>
      <c r="F48">
        <v>30</v>
      </c>
      <c r="G48" s="9">
        <f>Table13[[#This Row],[Base range]]/((Table13[[#This Row],[Speed]]/3600*16*256)/(74*2)*24/10*2)+$AE$10</f>
        <v>28.181128365652903</v>
      </c>
      <c r="H48" s="21">
        <f>ROUNDDOWN(Table13[[#This Row],[Travel_time]]*formula_vsig_time,0)</f>
        <v>11</v>
      </c>
      <c r="I4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48" s="2">
        <f>Table13[[#This Row],[Capacity]]*Table13[[#This Row],[Range]]*payment_rate*Table13[[#This Row],[Time factor]]/2^21*GBP_to_Currency</f>
        <v>17842.908382415771</v>
      </c>
      <c r="K48" s="9">
        <f>365/Table13[[#This Row],[Travel_time]]</f>
        <v>12.951929932119439</v>
      </c>
      <c r="L48" s="2">
        <f>Table13[[#This Row],[Income per travel]]*Table13[[#This Row],[Annual travels, max]]</f>
        <v>231100.09915427567</v>
      </c>
      <c r="M48" s="2">
        <f>Table13[[#This Row],[In_game_life]]*Table13[[#This Row],[Annual profit]]*ROI____lifetime*cost_factor</f>
        <v>1733250.7436570674</v>
      </c>
      <c r="N48" s="18">
        <f>Table13[[#This Row],[Annual profit]]*Running_cost_weight*runningcost_factor</f>
        <v>57775.024788568917</v>
      </c>
      <c r="O48" s="18">
        <f>Table13[[#This Row],[Buying cost]]+Table13[[#This Row],[Running cost]]*Table13[[#This Row],[In_game_life]]</f>
        <v>3466501.4873141348</v>
      </c>
      <c r="P48" s="18">
        <f>Table13[[#This Row],[Annual profit]]*Table13[[#This Row],[In_game_life]]-Table13[[#This Row],[Total cost]]</f>
        <v>3466501.4873141348</v>
      </c>
      <c r="Q48" s="22">
        <f>Table13[[#This Row],[Buying cost]]/buying_cost_convert*10000</f>
        <v>99042.89963754671</v>
      </c>
      <c r="R48" s="22">
        <f>Table13[[#This Row],[Running cost]]/running_cost_convert*1000</f>
        <v>192583.41596189639</v>
      </c>
      <c r="S48" s="22">
        <f>ROUND(Table13[IG buying cost factor]/Table13[Range],0)</f>
        <v>185</v>
      </c>
      <c r="T48" s="22">
        <f>ROUND(Table13[IG running cost factor]/Table13[Range],0)</f>
        <v>360</v>
      </c>
      <c r="U48" s="18"/>
      <c r="V48" s="18"/>
      <c r="W48" s="18">
        <f>IFERROR(Table13[[#This Row],[in-game cost]]/Table13[[#This Row],[Newgrf cost factor]],0)</f>
        <v>0</v>
      </c>
      <c r="X48" s="18"/>
      <c r="Y48" s="18"/>
      <c r="Z48" s="18">
        <f>IFERROR(Table13[[#This Row],[in-game running]]/Table13[[#This Row],[Newgrf running factor]],0)</f>
        <v>0</v>
      </c>
      <c r="AA48" s="23">
        <f>(Table13[[#This Row],[Buying/distance]]*Table13[Range]/10000*buying_cost_convert-Table13[Buying cost])/Table13[Buying cost]</f>
        <v>-6.8555785215476325E-4</v>
      </c>
      <c r="AB48" s="23">
        <f>(Table13[Running/distance]*Table13[Range]/1000*running_cost_convert-Table13[Running cost])/Table13[Running cost]</f>
        <v>8.6113531743001932E-5</v>
      </c>
    </row>
    <row r="49" spans="1:28" hidden="1" x14ac:dyDescent="0.3">
      <c r="A49" s="8" t="s">
        <v>55</v>
      </c>
      <c r="B49">
        <v>784</v>
      </c>
      <c r="C49">
        <v>92</v>
      </c>
      <c r="D49">
        <v>555</v>
      </c>
      <c r="E49">
        <f>IF(D:D&lt;minaddmultirange,MAX(Table13[[#This Row],[Base range]],Minbaserange)*rangemultipl*rangemultiplsmalladd/10000,MAX(Table13[[#This Row],[Base range]],Minbaserange)*minaddmultirange/100)</f>
        <v>555</v>
      </c>
      <c r="F49">
        <v>14</v>
      </c>
      <c r="G49" s="9">
        <f>Table13[[#This Row],[Base range]]/((Table13[[#This Row],[Speed]]/3600*16*256)/(74*2)*24/10*2)+$AE$10</f>
        <v>31.18403469786352</v>
      </c>
      <c r="H49" s="21">
        <f>ROUNDDOWN(Table13[[#This Row],[Travel_time]]*formula_vsig_time,0)</f>
        <v>12</v>
      </c>
      <c r="I4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49" s="2">
        <f>Table13[[#This Row],[Capacity]]*Table13[[#This Row],[Range]]*payment_rate*Table13[[#This Row],[Time factor]]/2^21*GBP_to_Currency</f>
        <v>18843.718671798706</v>
      </c>
      <c r="K49" s="9">
        <f>365/Table13[[#This Row],[Travel_time]]</f>
        <v>11.704707345807529</v>
      </c>
      <c r="L49" s="2">
        <f>Table13[[#This Row],[Income per travel]]*Table13[[#This Row],[Annual travels, max]]</f>
        <v>220560.21236013281</v>
      </c>
      <c r="M49" s="2">
        <f>Table13[[#This Row],[In_game_life]]*Table13[[#This Row],[Annual profit]]*ROI____lifetime*cost_factor</f>
        <v>771960.74326046486</v>
      </c>
      <c r="N49" s="18">
        <f>Table13[[#This Row],[Annual profit]]*Running_cost_weight*runningcost_factor</f>
        <v>55140.053090033201</v>
      </c>
      <c r="O49" s="18">
        <f>Table13[[#This Row],[Buying cost]]+Table13[[#This Row],[Running cost]]*Table13[[#This Row],[In_game_life]]</f>
        <v>1543921.4865209297</v>
      </c>
      <c r="P49" s="18">
        <f>Table13[[#This Row],[Annual profit]]*Table13[[#This Row],[In_game_life]]-Table13[[#This Row],[Total cost]]</f>
        <v>1543921.4865209297</v>
      </c>
      <c r="Q49" s="22">
        <f>Table13[[#This Row],[Buying cost]]/buying_cost_convert*10000</f>
        <v>44112.042472026566</v>
      </c>
      <c r="R49" s="22">
        <f>Table13[[#This Row],[Running cost]]/running_cost_convert*1000</f>
        <v>183800.17696677733</v>
      </c>
      <c r="S49" s="22">
        <f>ROUND(Table13[IG buying cost factor]/Table13[Range],0)</f>
        <v>79</v>
      </c>
      <c r="T49" s="22">
        <f>ROUND(Table13[IG running cost factor]/Table13[Range],0)</f>
        <v>331</v>
      </c>
      <c r="U49" s="18"/>
      <c r="V49" s="18"/>
      <c r="W49" s="18">
        <f>IFERROR(Table13[[#This Row],[in-game cost]]/Table13[[#This Row],[Newgrf cost factor]],0)</f>
        <v>0</v>
      </c>
      <c r="X49" s="18"/>
      <c r="Y49" s="18"/>
      <c r="Z49" s="18">
        <f>IFERROR(Table13[[#This Row],[in-game running]]/Table13[[#This Row],[Newgrf running factor]],0)</f>
        <v>0</v>
      </c>
      <c r="AA49" s="23">
        <f>(Table13[[#This Row],[Buying/distance]]*Table13[Range]/10000*buying_cost_convert-Table13[Buying cost])/Table13[Buying cost]</f>
        <v>-6.0537317490095208E-3</v>
      </c>
      <c r="AB49" s="23">
        <f>(Table13[Running/distance]*Table13[Range]/1000*running_cost_convert-Table13[Running cost])/Table13[Running cost]</f>
        <v>-5.1782848280128443E-4</v>
      </c>
    </row>
    <row r="50" spans="1:28" hidden="1" x14ac:dyDescent="0.3">
      <c r="A50" s="11" t="s">
        <v>56</v>
      </c>
      <c r="B50">
        <v>875</v>
      </c>
      <c r="C50">
        <v>97</v>
      </c>
      <c r="D50">
        <v>945</v>
      </c>
      <c r="E50">
        <f>IF(D:D&lt;minaddmultirange,MAX(Table13[[#This Row],[Base range]],Minbaserange)*rangemultipl*rangemultiplsmalladd/10000,MAX(Table13[[#This Row],[Base range]],Minbaserange)*minaddmultirange/100)</f>
        <v>945</v>
      </c>
      <c r="F50">
        <v>30</v>
      </c>
      <c r="G50" s="9">
        <f>Table13[[#This Row],[Base range]]/((Table13[[#This Row],[Speed]]/3600*16*256)/(74*2)*24/10*2)+$AE$10</f>
        <v>41.267578125</v>
      </c>
      <c r="H50" s="21">
        <f>ROUNDDOWN(Table13[[#This Row],[Travel_time]]*formula_vsig_time,0)</f>
        <v>16</v>
      </c>
      <c r="I5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239</v>
      </c>
      <c r="J50" s="2">
        <f>Table13[[#This Row],[Capacity]]*Table13[[#This Row],[Range]]*payment_rate*Table13[[#This Row],[Time factor]]/2^21*GBP_to_Currency</f>
        <v>33272.158133983612</v>
      </c>
      <c r="K50" s="9">
        <f>365/Table13[[#This Row],[Travel_time]]</f>
        <v>8.8447157934592262</v>
      </c>
      <c r="L50" s="2">
        <f>Table13[[#This Row],[Income per travel]]*Table13[[#This Row],[Annual travels, max]]</f>
        <v>294282.78253011772</v>
      </c>
      <c r="M50" s="2">
        <f>Table13[[#This Row],[In_game_life]]*Table13[[#This Row],[Annual profit]]*ROI____lifetime*cost_factor</f>
        <v>2207120.8689758829</v>
      </c>
      <c r="N50" s="18">
        <f>Table13[[#This Row],[Annual profit]]*Running_cost_weight*runningcost_factor</f>
        <v>73570.69563252943</v>
      </c>
      <c r="O50" s="18">
        <f>Table13[[#This Row],[Buying cost]]+Table13[[#This Row],[Running cost]]*Table13[[#This Row],[In_game_life]]</f>
        <v>4414241.7379517658</v>
      </c>
      <c r="P50" s="18">
        <f>Table13[[#This Row],[Annual profit]]*Table13[[#This Row],[In_game_life]]-Table13[[#This Row],[Total cost]]</f>
        <v>4414241.7379517658</v>
      </c>
      <c r="Q50" s="22">
        <f>Table13[[#This Row],[Buying cost]]/buying_cost_convert*10000</f>
        <v>126121.19251290758</v>
      </c>
      <c r="R50" s="22">
        <f>Table13[[#This Row],[Running cost]]/running_cost_convert*1000</f>
        <v>245235.65210843142</v>
      </c>
      <c r="S50" s="22">
        <f>ROUND(Table13[IG buying cost factor]/Table13[Range],0)</f>
        <v>133</v>
      </c>
      <c r="T50" s="22">
        <f>ROUND(Table13[IG running cost factor]/Table13[Range],0)</f>
        <v>260</v>
      </c>
      <c r="U50" s="18"/>
      <c r="V50" s="18"/>
      <c r="W50" s="18">
        <f>IFERROR(Table13[[#This Row],[in-game cost]]/Table13[[#This Row],[Newgrf cost factor]],0)</f>
        <v>0</v>
      </c>
      <c r="X50" s="18"/>
      <c r="Y50" s="18"/>
      <c r="Z50" s="18">
        <f>IFERROR(Table13[[#This Row],[in-game running]]/Table13[[#This Row],[Newgrf running factor]],0)</f>
        <v>0</v>
      </c>
      <c r="AA50" s="23">
        <f>(Table13[[#This Row],[Buying/distance]]*Table13[Range]/10000*buying_cost_convert-Table13[Buying cost])/Table13[Buying cost]</f>
        <v>-3.458518780362406E-3</v>
      </c>
      <c r="AB50" s="23">
        <f>(Table13[Running/distance]*Table13[Range]/1000*running_cost_convert-Table13[Running cost])/Table13[Running cost]</f>
        <v>1.8934762852639911E-3</v>
      </c>
    </row>
    <row r="51" spans="1:28" hidden="1" x14ac:dyDescent="0.3">
      <c r="A51" s="11" t="s">
        <v>57</v>
      </c>
      <c r="B51">
        <v>2334</v>
      </c>
      <c r="C51">
        <v>100</v>
      </c>
      <c r="D51">
        <v>1830</v>
      </c>
      <c r="E51">
        <f>IF(D:D&lt;minaddmultirange,MAX(Table13[[#This Row],[Base range]],Minbaserange)*rangemultipl*rangemultiplsmalladd/10000,MAX(Table13[[#This Row],[Base range]],Minbaserange)*minaddmultirange/100)</f>
        <v>1830</v>
      </c>
      <c r="F51">
        <v>27</v>
      </c>
      <c r="G51" s="9">
        <f>Table13[[#This Row],[Base range]]/((Table13[[#This Row],[Speed]]/3600*16*256)/(74*2)*24/10*2)+$AE$10</f>
        <v>33.247765705334196</v>
      </c>
      <c r="H51" s="21">
        <f>ROUNDDOWN(Table13[[#This Row],[Travel_time]]*formula_vsig_time,0)</f>
        <v>13</v>
      </c>
      <c r="I5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51" s="2">
        <f>Table13[[#This Row],[Capacity]]*Table13[[#This Row],[Range]]*payment_rate*Table13[[#This Row],[Time factor]]/2^21*GBP_to_Currency</f>
        <v>67258.315086364746</v>
      </c>
      <c r="K51" s="9">
        <f>365/Table13[[#This Row],[Travel_time]]</f>
        <v>10.978181308028173</v>
      </c>
      <c r="L51" s="2">
        <f>Table13[[#This Row],[Income per travel]]*Table13[[#This Row],[Annual travels, max]]</f>
        <v>738373.97749059869</v>
      </c>
      <c r="M51" s="2">
        <f>Table13[[#This Row],[In_game_life]]*Table13[[#This Row],[Annual profit]]*ROI____lifetime*cost_factor</f>
        <v>4984024.3480615411</v>
      </c>
      <c r="N51" s="18">
        <f>Table13[[#This Row],[Annual profit]]*Running_cost_weight*runningcost_factor</f>
        <v>184593.49437264967</v>
      </c>
      <c r="O51" s="18">
        <f>Table13[[#This Row],[Buying cost]]+Table13[[#This Row],[Running cost]]*Table13[[#This Row],[In_game_life]]</f>
        <v>9968048.6961230822</v>
      </c>
      <c r="P51" s="18">
        <f>Table13[[#This Row],[Annual profit]]*Table13[[#This Row],[In_game_life]]-Table13[[#This Row],[Total cost]]</f>
        <v>9968048.6961230822</v>
      </c>
      <c r="Q51" s="22">
        <f>Table13[[#This Row],[Buying cost]]/buying_cost_convert*10000</f>
        <v>284801.39131780236</v>
      </c>
      <c r="R51" s="22">
        <f>Table13[[#This Row],[Running cost]]/running_cost_convert*1000</f>
        <v>615311.6479088323</v>
      </c>
      <c r="S51" s="22">
        <f>ROUND(Table13[IG buying cost factor]/Table13[Range],0)</f>
        <v>156</v>
      </c>
      <c r="T51" s="22">
        <f>ROUND(Table13[IG running cost factor]/Table13[Range],0)</f>
        <v>336</v>
      </c>
      <c r="U51" s="18"/>
      <c r="V51" s="18"/>
      <c r="W51" s="18">
        <f>IFERROR(Table13[[#This Row],[in-game cost]]/Table13[[#This Row],[Newgrf cost factor]],0)</f>
        <v>0</v>
      </c>
      <c r="X51" s="18"/>
      <c r="Y51" s="18"/>
      <c r="Z51" s="18">
        <f>IFERROR(Table13[[#This Row],[in-game running]]/Table13[[#This Row],[Newgrf running factor]],0)</f>
        <v>0</v>
      </c>
      <c r="AA51" s="23">
        <f>(Table13[[#This Row],[Buying/distance]]*Table13[Range]/10000*buying_cost_convert-Table13[Buying cost])/Table13[Buying cost]</f>
        <v>2.3827435640593839E-3</v>
      </c>
      <c r="AB51" s="23">
        <f>(Table13[Running/distance]*Table13[Range]/1000*running_cost_convert-Table13[Running cost])/Table13[Running cost]</f>
        <v>-7.0151103152234294E-4</v>
      </c>
    </row>
    <row r="52" spans="1:28" hidden="1" x14ac:dyDescent="0.3">
      <c r="A52" s="10" t="s">
        <v>58</v>
      </c>
      <c r="B52">
        <v>850</v>
      </c>
      <c r="C52">
        <v>100</v>
      </c>
      <c r="D52">
        <v>475</v>
      </c>
      <c r="E52">
        <f>IF(D:D&lt;minaddmultirange,MAX(Table13[[#This Row],[Base range]],Minbaserange)*rangemultipl*rangemultiplsmalladd/10000,MAX(Table13[[#This Row],[Base range]],Minbaserange)*minaddmultirange/100)</f>
        <v>475</v>
      </c>
      <c r="F52">
        <v>25</v>
      </c>
      <c r="G52" s="9">
        <f>Table13[[#This Row],[Base range]]/((Table13[[#This Row],[Speed]]/3600*16*256)/(74*2)*24/10*2)+$AE$10</f>
        <v>27.143899356617645</v>
      </c>
      <c r="H52" s="21">
        <f>ROUNDDOWN(Table13[[#This Row],[Travel_time]]*formula_vsig_time,0)</f>
        <v>10</v>
      </c>
      <c r="I5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52" s="2">
        <f>Table13[[#This Row],[Capacity]]*Table13[[#This Row],[Range]]*payment_rate*Table13[[#This Row],[Time factor]]/2^21*GBP_to_Currency</f>
        <v>17674.177885055542</v>
      </c>
      <c r="K52" s="9">
        <f>365/Table13[[#This Row],[Travel_time]]</f>
        <v>13.446852097578732</v>
      </c>
      <c r="L52" s="2">
        <f>Table13[[#This Row],[Income per travel]]*Table13[[#This Row],[Annual travels, max]]</f>
        <v>237662.05596663876</v>
      </c>
      <c r="M52" s="2">
        <f>Table13[[#This Row],[In_game_life]]*Table13[[#This Row],[Annual profit]]*ROI____lifetime*cost_factor</f>
        <v>1485387.8497914923</v>
      </c>
      <c r="N52" s="18">
        <f>Table13[[#This Row],[Annual profit]]*Running_cost_weight*runningcost_factor</f>
        <v>59415.513991659689</v>
      </c>
      <c r="O52" s="18">
        <f>Table13[[#This Row],[Buying cost]]+Table13[[#This Row],[Running cost]]*Table13[[#This Row],[In_game_life]]</f>
        <v>2970775.6995829847</v>
      </c>
      <c r="P52" s="18">
        <f>Table13[[#This Row],[Annual profit]]*Table13[[#This Row],[In_game_life]]-Table13[[#This Row],[Total cost]]</f>
        <v>2970775.6995829847</v>
      </c>
      <c r="Q52" s="22">
        <f>Table13[[#This Row],[Buying cost]]/buying_cost_convert*10000</f>
        <v>84879.305702370984</v>
      </c>
      <c r="R52" s="22">
        <f>Table13[[#This Row],[Running cost]]/running_cost_convert*1000</f>
        <v>198051.71330553229</v>
      </c>
      <c r="S52" s="22">
        <f>ROUND(Table13[IG buying cost factor]/Table13[Range],0)</f>
        <v>179</v>
      </c>
      <c r="T52" s="22">
        <f>ROUND(Table13[IG running cost factor]/Table13[Range],0)</f>
        <v>417</v>
      </c>
      <c r="U52" s="18"/>
      <c r="V52" s="18"/>
      <c r="W52" s="18">
        <f>IFERROR(Table13[[#This Row],[in-game cost]]/Table13[[#This Row],[Newgrf cost factor]],0)</f>
        <v>0</v>
      </c>
      <c r="X52" s="18"/>
      <c r="Y52" s="18"/>
      <c r="Z52" s="18">
        <f>IFERROR(Table13[[#This Row],[in-game running]]/Table13[[#This Row],[Newgrf running factor]],0)</f>
        <v>0</v>
      </c>
      <c r="AA52" s="23">
        <f>(Table13[[#This Row],[Buying/distance]]*Table13[Range]/10000*buying_cost_convert-Table13[Buying cost])/Table13[Buying cost]</f>
        <v>1.7164878579460344E-3</v>
      </c>
      <c r="AB52" s="23">
        <f>(Table13[Running/distance]*Table13[Range]/1000*running_cost_convert-Table13[Running cost])/Table13[Running cost]</f>
        <v>1.1757885897093459E-4</v>
      </c>
    </row>
    <row r="53" spans="1:28" hidden="1" x14ac:dyDescent="0.3">
      <c r="A53" s="10" t="s">
        <v>59</v>
      </c>
      <c r="B53">
        <v>829</v>
      </c>
      <c r="C53">
        <v>100</v>
      </c>
      <c r="D53">
        <v>325</v>
      </c>
      <c r="E53">
        <f>IF(D:D&lt;minaddmultirange,MAX(Table13[[#This Row],[Base range]],Minbaserange)*rangemultipl*rangemultiplsmalladd/10000,MAX(Table13[[#This Row],[Base range]],Minbaserange)*minaddmultirange/100)</f>
        <v>325</v>
      </c>
      <c r="F53">
        <v>25</v>
      </c>
      <c r="G53" s="9">
        <f>Table13[[#This Row],[Base range]]/((Table13[[#This Row],[Speed]]/3600*16*256)/(74*2)*24/10*2)+$AE$10</f>
        <v>22.624092939535586</v>
      </c>
      <c r="H53" s="21">
        <f>ROUNDDOWN(Table13[[#This Row],[Travel_time]]*formula_vsig_time,0)</f>
        <v>9</v>
      </c>
      <c r="I5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246</v>
      </c>
      <c r="J53" s="2">
        <f>Table13[[#This Row],[Capacity]]*Table13[[#This Row],[Range]]*payment_rate*Table13[[#This Row],[Time factor]]/2^21*GBP_to_Currency</f>
        <v>12142.21715927124</v>
      </c>
      <c r="K53" s="9">
        <f>365/Table13[[#This Row],[Travel_time]]</f>
        <v>16.133243484080758</v>
      </c>
      <c r="L53" s="2">
        <f>Table13[[#This Row],[Income per travel]]*Table13[[#This Row],[Annual travels, max]]</f>
        <v>195893.34586710631</v>
      </c>
      <c r="M53" s="2">
        <f>Table13[[#This Row],[In_game_life]]*Table13[[#This Row],[Annual profit]]*ROI____lifetime*cost_factor</f>
        <v>1224333.4116694145</v>
      </c>
      <c r="N53" s="18">
        <f>Table13[[#This Row],[Annual profit]]*Running_cost_weight*runningcost_factor</f>
        <v>48973.336466776578</v>
      </c>
      <c r="O53" s="18">
        <f>Table13[[#This Row],[Buying cost]]+Table13[[#This Row],[Running cost]]*Table13[[#This Row],[In_game_life]]</f>
        <v>2448666.823338829</v>
      </c>
      <c r="P53" s="18">
        <f>Table13[[#This Row],[Annual profit]]*Table13[[#This Row],[In_game_life]]-Table13[[#This Row],[Total cost]]</f>
        <v>2448666.823338829</v>
      </c>
      <c r="Q53" s="22">
        <f>Table13[[#This Row],[Buying cost]]/buying_cost_convert*10000</f>
        <v>69961.90923825225</v>
      </c>
      <c r="R53" s="22">
        <f>Table13[[#This Row],[Running cost]]/running_cost_convert*1000</f>
        <v>163244.45488925526</v>
      </c>
      <c r="S53" s="22">
        <f>ROUND(Table13[IG buying cost factor]/Table13[Range],0)</f>
        <v>215</v>
      </c>
      <c r="T53" s="22">
        <f>ROUND(Table13[IG running cost factor]/Table13[Range],0)</f>
        <v>502</v>
      </c>
      <c r="U53" s="18"/>
      <c r="V53" s="18"/>
      <c r="W53" s="18">
        <f>IFERROR(Table13[[#This Row],[in-game cost]]/Table13[[#This Row],[Newgrf cost factor]],0)</f>
        <v>0</v>
      </c>
      <c r="X53" s="18"/>
      <c r="Y53" s="18"/>
      <c r="Z53" s="18">
        <f>IFERROR(Table13[[#This Row],[in-game running]]/Table13[[#This Row],[Newgrf running factor]],0)</f>
        <v>0</v>
      </c>
      <c r="AA53" s="23">
        <f>(Table13[[#This Row],[Buying/distance]]*Table13[Range]/10000*buying_cost_convert-Table13[Buying cost])/Table13[Buying cost]</f>
        <v>-1.2422365141049961E-3</v>
      </c>
      <c r="AB53" s="23">
        <f>(Table13[Running/distance]*Table13[Range]/1000*running_cost_convert-Table13[Running cost])/Table13[Running cost]</f>
        <v>-5.7861009318410585E-4</v>
      </c>
    </row>
    <row r="54" spans="1:28" hidden="1" x14ac:dyDescent="0.3">
      <c r="A54" s="10" t="s">
        <v>60</v>
      </c>
      <c r="B54">
        <v>829</v>
      </c>
      <c r="C54">
        <v>100</v>
      </c>
      <c r="D54">
        <v>540</v>
      </c>
      <c r="E54">
        <f>IF(D:D&lt;minaddmultirange,MAX(Table13[[#This Row],[Base range]],Minbaserange)*rangemultipl*rangemultiplsmalladd/10000,MAX(Table13[[#This Row],[Base range]],Minbaserange)*minaddmultirange/100)</f>
        <v>540</v>
      </c>
      <c r="F54">
        <v>25</v>
      </c>
      <c r="G54" s="9">
        <f>Table13[[#This Row],[Base range]]/((Table13[[#This Row],[Speed]]/3600*16*256)/(74*2)*24/10*2)+$AE$10</f>
        <v>29.652339037997589</v>
      </c>
      <c r="H54" s="21">
        <f>ROUNDDOWN(Table13[[#This Row],[Travel_time]]*formula_vsig_time,0)</f>
        <v>11</v>
      </c>
      <c r="I5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54" s="2">
        <f>Table13[[#This Row],[Capacity]]*Table13[[#This Row],[Range]]*payment_rate*Table13[[#This Row],[Time factor]]/2^21*GBP_to_Currency</f>
        <v>20010.738372802734</v>
      </c>
      <c r="K54" s="9">
        <f>365/Table13[[#This Row],[Travel_time]]</f>
        <v>12.309315616966192</v>
      </c>
      <c r="L54" s="2">
        <f>Table13[[#This Row],[Income per travel]]*Table13[[#This Row],[Annual travels, max]]</f>
        <v>246318.49435936534</v>
      </c>
      <c r="M54" s="2">
        <f>Table13[[#This Row],[In_game_life]]*Table13[[#This Row],[Annual profit]]*ROI____lifetime*cost_factor</f>
        <v>1539490.5897460333</v>
      </c>
      <c r="N54" s="18">
        <f>Table13[[#This Row],[Annual profit]]*Running_cost_weight*runningcost_factor</f>
        <v>61579.623589841336</v>
      </c>
      <c r="O54" s="18">
        <f>Table13[[#This Row],[Buying cost]]+Table13[[#This Row],[Running cost]]*Table13[[#This Row],[In_game_life]]</f>
        <v>3078981.1794920666</v>
      </c>
      <c r="P54" s="18">
        <f>Table13[[#This Row],[Annual profit]]*Table13[[#This Row],[In_game_life]]-Table13[[#This Row],[Total cost]]</f>
        <v>3078981.1794920666</v>
      </c>
      <c r="Q54" s="22">
        <f>Table13[[#This Row],[Buying cost]]/buying_cost_convert*10000</f>
        <v>87970.890842630484</v>
      </c>
      <c r="R54" s="22">
        <f>Table13[[#This Row],[Running cost]]/running_cost_convert*1000</f>
        <v>205265.41196613776</v>
      </c>
      <c r="S54" s="22">
        <f>ROUND(Table13[IG buying cost factor]/Table13[Range],0)</f>
        <v>163</v>
      </c>
      <c r="T54" s="22">
        <f>ROUND(Table13[IG running cost factor]/Table13[Range],0)</f>
        <v>380</v>
      </c>
      <c r="U54" s="18"/>
      <c r="V54" s="18"/>
      <c r="W54" s="18">
        <f>IFERROR(Table13[[#This Row],[in-game cost]]/Table13[[#This Row],[Newgrf cost factor]],0)</f>
        <v>0</v>
      </c>
      <c r="X54" s="18"/>
      <c r="Y54" s="18"/>
      <c r="Z54" s="18">
        <f>IFERROR(Table13[[#This Row],[in-game running]]/Table13[[#This Row],[Newgrf running factor]],0)</f>
        <v>0</v>
      </c>
      <c r="AA54" s="23">
        <f>(Table13[[#This Row],[Buying/distance]]*Table13[Range]/10000*buying_cost_convert-Table13[Buying cost])/Table13[Buying cost]</f>
        <v>5.5824326546125111E-4</v>
      </c>
      <c r="AB54" s="23">
        <f>(Table13[Running/distance]*Table13[Range]/1000*running_cost_convert-Table13[Running cost])/Table13[Running cost]</f>
        <v>-3.1867018174780356E-4</v>
      </c>
    </row>
    <row r="55" spans="1:28" hidden="1" x14ac:dyDescent="0.3">
      <c r="A55" s="10" t="s">
        <v>61</v>
      </c>
      <c r="B55">
        <v>890</v>
      </c>
      <c r="C55">
        <v>106</v>
      </c>
      <c r="D55">
        <v>600</v>
      </c>
      <c r="E55">
        <f>IF(D:D&lt;minaddmultirange,MAX(Table13[[#This Row],[Base range]],Minbaserange)*rangemultipl*rangemultiplsmalladd/10000,MAX(Table13[[#This Row],[Base range]],Minbaserange)*minaddmultirange/100)</f>
        <v>600</v>
      </c>
      <c r="F55">
        <v>25</v>
      </c>
      <c r="G55" s="9">
        <f>Table13[[#This Row],[Base range]]/((Table13[[#This Row],[Speed]]/3600*16*256)/(74*2)*24/10*2)+$AE$10</f>
        <v>30.269399578651687</v>
      </c>
      <c r="H55" s="21">
        <f>ROUNDDOWN(Table13[[#This Row],[Travel_time]]*formula_vsig_time,0)</f>
        <v>12</v>
      </c>
      <c r="I5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55" s="2">
        <f>Table13[[#This Row],[Capacity]]*Table13[[#This Row],[Range]]*payment_rate*Table13[[#This Row],[Time factor]]/2^21*GBP_to_Currency</f>
        <v>23471.611976623535</v>
      </c>
      <c r="K55" s="9">
        <f>365/Table13[[#This Row],[Travel_time]]</f>
        <v>12.0583825606315</v>
      </c>
      <c r="L55" s="2">
        <f>Table13[[#This Row],[Income per travel]]*Table13[[#This Row],[Annual travels, max]]</f>
        <v>283029.67652882671</v>
      </c>
      <c r="M55" s="2">
        <f>Table13[[#This Row],[In_game_life]]*Table13[[#This Row],[Annual profit]]*ROI____lifetime*cost_factor</f>
        <v>1768935.4783051668</v>
      </c>
      <c r="N55" s="18">
        <f>Table13[[#This Row],[Annual profit]]*Running_cost_weight*runningcost_factor</f>
        <v>70757.419132206676</v>
      </c>
      <c r="O55" s="18">
        <f>Table13[[#This Row],[Buying cost]]+Table13[[#This Row],[Running cost]]*Table13[[#This Row],[In_game_life]]</f>
        <v>3537870.9566103336</v>
      </c>
      <c r="P55" s="18">
        <f>Table13[[#This Row],[Annual profit]]*Table13[[#This Row],[In_game_life]]-Table13[[#This Row],[Total cost]]</f>
        <v>3537870.9566103336</v>
      </c>
      <c r="Q55" s="22">
        <f>Table13[[#This Row],[Buying cost]]/buying_cost_convert*10000</f>
        <v>101082.02733172382</v>
      </c>
      <c r="R55" s="22">
        <f>Table13[[#This Row],[Running cost]]/running_cost_convert*1000</f>
        <v>235858.06377402224</v>
      </c>
      <c r="S55" s="22">
        <f>ROUND(Table13[IG buying cost factor]/Table13[Range],0)</f>
        <v>168</v>
      </c>
      <c r="T55" s="22">
        <f>ROUND(Table13[IG running cost factor]/Table13[Range],0)</f>
        <v>393</v>
      </c>
      <c r="U55" s="18"/>
      <c r="V55" s="18"/>
      <c r="W55" s="18">
        <f>IFERROR(Table13[[#This Row],[in-game cost]]/Table13[[#This Row],[Newgrf cost factor]],0)</f>
        <v>0</v>
      </c>
      <c r="X55" s="18"/>
      <c r="Y55" s="18"/>
      <c r="Z55" s="18">
        <f>IFERROR(Table13[[#This Row],[in-game running]]/Table13[[#This Row],[Newgrf running factor]],0)</f>
        <v>0</v>
      </c>
      <c r="AA55" s="23">
        <f>(Table13[[#This Row],[Buying/distance]]*Table13[Range]/10000*buying_cost_convert-Table13[Buying cost])/Table13[Buying cost]</f>
        <v>-2.7900838474309683E-3</v>
      </c>
      <c r="AB55" s="23">
        <f>(Table13[Running/distance]*Table13[Range]/1000*running_cost_convert-Table13[Running cost])/Table13[Running cost]</f>
        <v>-2.4618100010303547E-4</v>
      </c>
    </row>
    <row r="56" spans="1:28" hidden="1" x14ac:dyDescent="0.3">
      <c r="A56" s="10" t="s">
        <v>62</v>
      </c>
      <c r="B56">
        <v>890</v>
      </c>
      <c r="C56">
        <v>106</v>
      </c>
      <c r="D56">
        <v>765</v>
      </c>
      <c r="E56">
        <f>IF(D:D&lt;minaddmultirange,MAX(Table13[[#This Row],[Base range]],Minbaserange)*rangemultipl*rangemultiplsmalladd/10000,MAX(Table13[[#This Row],[Base range]],Minbaserange)*minaddmultirange/100)</f>
        <v>765</v>
      </c>
      <c r="F56">
        <v>25</v>
      </c>
      <c r="G56" s="9">
        <f>Table13[[#This Row],[Base range]]/((Table13[[#This Row],[Speed]]/3600*16*256)/(74*2)*24/10*2)+$AE$10</f>
        <v>35.293484462780896</v>
      </c>
      <c r="H56" s="21">
        <f>ROUNDDOWN(Table13[[#This Row],[Travel_time]]*formula_vsig_time,0)</f>
        <v>14</v>
      </c>
      <c r="I5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241</v>
      </c>
      <c r="J56" s="2">
        <f>Table13[[#This Row],[Capacity]]*Table13[[#This Row],[Range]]*payment_rate*Table13[[#This Row],[Time factor]]/2^21*GBP_to_Currency</f>
        <v>29679.998230934143</v>
      </c>
      <c r="K56" s="9">
        <f>365/Table13[[#This Row],[Travel_time]]</f>
        <v>10.341852201782867</v>
      </c>
      <c r="L56" s="2">
        <f>Table13[[#This Row],[Income per travel]]*Table13[[#This Row],[Annual travels, max]]</f>
        <v>306946.15505349787</v>
      </c>
      <c r="M56" s="2">
        <f>Table13[[#This Row],[In_game_life]]*Table13[[#This Row],[Annual profit]]*ROI____lifetime*cost_factor</f>
        <v>1918413.4690843618</v>
      </c>
      <c r="N56" s="18">
        <f>Table13[[#This Row],[Annual profit]]*Running_cost_weight*runningcost_factor</f>
        <v>76736.538763374469</v>
      </c>
      <c r="O56" s="18">
        <f>Table13[[#This Row],[Buying cost]]+Table13[[#This Row],[Running cost]]*Table13[[#This Row],[In_game_life]]</f>
        <v>3836826.9381687236</v>
      </c>
      <c r="P56" s="18">
        <f>Table13[[#This Row],[Annual profit]]*Table13[[#This Row],[In_game_life]]-Table13[[#This Row],[Total cost]]</f>
        <v>3836826.9381687236</v>
      </c>
      <c r="Q56" s="22">
        <f>Table13[[#This Row],[Buying cost]]/buying_cost_convert*10000</f>
        <v>109623.62680482068</v>
      </c>
      <c r="R56" s="22">
        <f>Table13[[#This Row],[Running cost]]/running_cost_convert*1000</f>
        <v>255788.46254458156</v>
      </c>
      <c r="S56" s="22">
        <f>ROUND(Table13[IG buying cost factor]/Table13[Range],0)</f>
        <v>143</v>
      </c>
      <c r="T56" s="22">
        <f>ROUND(Table13[IG running cost factor]/Table13[Range],0)</f>
        <v>334</v>
      </c>
      <c r="U56" s="18"/>
      <c r="V56" s="18"/>
      <c r="W56" s="18">
        <f>IFERROR(Table13[[#This Row],[in-game cost]]/Table13[[#This Row],[Newgrf cost factor]],0)</f>
        <v>0</v>
      </c>
      <c r="X56" s="18"/>
      <c r="Y56" s="18"/>
      <c r="Z56" s="18">
        <f>IFERROR(Table13[[#This Row],[in-game running]]/Table13[[#This Row],[Newgrf running factor]],0)</f>
        <v>0</v>
      </c>
      <c r="AA56" s="23">
        <f>(Table13[[#This Row],[Buying/distance]]*Table13[Range]/10000*buying_cost_convert-Table13[Buying cost])/Table13[Buying cost]</f>
        <v>-2.0855614020846027E-3</v>
      </c>
      <c r="AB56" s="23">
        <f>(Table13[Running/distance]*Table13[Range]/1000*running_cost_convert-Table13[Running cost])/Table13[Running cost]</f>
        <v>-1.0886438810078401E-3</v>
      </c>
    </row>
    <row r="57" spans="1:28" hidden="1" x14ac:dyDescent="0.3">
      <c r="A57" s="10" t="s">
        <v>63</v>
      </c>
      <c r="B57">
        <v>890</v>
      </c>
      <c r="C57">
        <v>106</v>
      </c>
      <c r="D57">
        <v>800</v>
      </c>
      <c r="E57">
        <f>IF(D:D&lt;minaddmultirange,MAX(Table13[[#This Row],[Base range]],Minbaserange)*rangemultipl*rangemultiplsmalladd/10000,MAX(Table13[[#This Row],[Base range]],Minbaserange)*minaddmultirange/100)</f>
        <v>800</v>
      </c>
      <c r="F57">
        <v>25</v>
      </c>
      <c r="G57" s="9">
        <f>Table13[[#This Row],[Base range]]/((Table13[[#This Row],[Speed]]/3600*16*256)/(74*2)*24/10*2)+$AE$10</f>
        <v>36.359199438202253</v>
      </c>
      <c r="H57" s="21">
        <f>ROUNDDOWN(Table13[[#This Row],[Travel_time]]*formula_vsig_time,0)</f>
        <v>14</v>
      </c>
      <c r="I5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241</v>
      </c>
      <c r="J57" s="2">
        <f>Table13[[#This Row],[Capacity]]*Table13[[#This Row],[Range]]*payment_rate*Table13[[#This Row],[Time factor]]/2^21*GBP_to_Currency</f>
        <v>31037.906646728516</v>
      </c>
      <c r="K57" s="9">
        <f>365/Table13[[#This Row],[Travel_time]]</f>
        <v>10.03872487952796</v>
      </c>
      <c r="L57" s="2">
        <f>Table13[[#This Row],[Income per travel]]*Table13[[#This Row],[Annual travels, max]]</f>
        <v>311581.00566297979</v>
      </c>
      <c r="M57" s="2">
        <f>Table13[[#This Row],[In_game_life]]*Table13[[#This Row],[Annual profit]]*ROI____lifetime*cost_factor</f>
        <v>1947381.2853936236</v>
      </c>
      <c r="N57" s="18">
        <f>Table13[[#This Row],[Annual profit]]*Running_cost_weight*runningcost_factor</f>
        <v>77895.251415744948</v>
      </c>
      <c r="O57" s="18">
        <f>Table13[[#This Row],[Buying cost]]+Table13[[#This Row],[Running cost]]*Table13[[#This Row],[In_game_life]]</f>
        <v>3894762.5707872473</v>
      </c>
      <c r="P57" s="18">
        <f>Table13[[#This Row],[Annual profit]]*Table13[[#This Row],[In_game_life]]-Table13[[#This Row],[Total cost]]</f>
        <v>3894762.5707872473</v>
      </c>
      <c r="Q57" s="22">
        <f>Table13[[#This Row],[Buying cost]]/buying_cost_convert*10000</f>
        <v>111278.93059392137</v>
      </c>
      <c r="R57" s="22">
        <f>Table13[[#This Row],[Running cost]]/running_cost_convert*1000</f>
        <v>259650.83805248316</v>
      </c>
      <c r="S57" s="22">
        <f>ROUND(Table13[IG buying cost factor]/Table13[Range],0)</f>
        <v>139</v>
      </c>
      <c r="T57" s="22">
        <f>ROUND(Table13[IG running cost factor]/Table13[Range],0)</f>
        <v>325</v>
      </c>
      <c r="U57" s="18"/>
      <c r="V57" s="18"/>
      <c r="W57" s="18">
        <f>IFERROR(Table13[[#This Row],[in-game cost]]/Table13[[#This Row],[Newgrf cost factor]],0)</f>
        <v>0</v>
      </c>
      <c r="X57" s="18"/>
      <c r="Y57" s="18"/>
      <c r="Z57" s="18">
        <f>IFERROR(Table13[[#This Row],[in-game running]]/Table13[[#This Row],[Newgrf running factor]],0)</f>
        <v>0</v>
      </c>
      <c r="AA57" s="23">
        <f>(Table13[[#This Row],[Buying/distance]]*Table13[Range]/10000*buying_cost_convert-Table13[Buying cost])/Table13[Buying cost]</f>
        <v>-7.0930402997308728E-4</v>
      </c>
      <c r="AB57" s="23">
        <f>(Table13[Running/distance]*Table13[Range]/1000*running_cost_convert-Table13[Running cost])/Table13[Running cost]</f>
        <v>1.3447364550630292E-3</v>
      </c>
    </row>
    <row r="58" spans="1:28" x14ac:dyDescent="0.3">
      <c r="A58" s="11" t="s">
        <v>64</v>
      </c>
      <c r="B58">
        <v>853</v>
      </c>
      <c r="C58">
        <v>107</v>
      </c>
      <c r="D58">
        <v>665</v>
      </c>
      <c r="E58">
        <f>IF(D:D&lt;minaddmultirange,MAX(Table13[[#This Row],[Base range]],Minbaserange)*rangemultipl*rangemultiplsmalladd/10000,MAX(Table13[[#This Row],[Base range]],Minbaserange)*minaddmultirange/100)</f>
        <v>665</v>
      </c>
      <c r="F58">
        <v>25</v>
      </c>
      <c r="G58" s="9">
        <f>Table13[[#This Row],[Base range]]/((Table13[[#This Row],[Speed]]/3600*16*256)/(74*2)*24/10*2)+$AE$10</f>
        <v>33.126893592467766</v>
      </c>
      <c r="H58" s="21">
        <f>ROUNDDOWN(Table13[[#This Row],[Travel_time]]*formula_vsig_time,0)</f>
        <v>13</v>
      </c>
      <c r="I5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58" s="2">
        <f>Table13[[#This Row],[Capacity]]*Table13[[#This Row],[Range]]*payment_rate*Table13[[#This Row],[Time factor]]/2^21*GBP_to_Currency</f>
        <v>26151.723551750183</v>
      </c>
      <c r="K58" s="9">
        <f>365/Table13[[#This Row],[Travel_time]]</f>
        <v>11.018238066336288</v>
      </c>
      <c r="L58" s="2">
        <f>Table13[[#This Row],[Income per travel]]*Table13[[#This Row],[Annual travels, max]]</f>
        <v>288145.91593819711</v>
      </c>
      <c r="M58" s="2">
        <f>Table13[[#This Row],[In_game_life]]*Table13[[#This Row],[Annual profit]]*ROI____lifetime*cost_factor</f>
        <v>1800911.974613732</v>
      </c>
      <c r="N58" s="18">
        <f>Table13[[#This Row],[Annual profit]]*Running_cost_weight*runningcost_factor</f>
        <v>72036.478984549278</v>
      </c>
      <c r="O58" s="18">
        <f>Table13[[#This Row],[Buying cost]]+Table13[[#This Row],[Running cost]]*Table13[[#This Row],[In_game_life]]</f>
        <v>3601823.9492274639</v>
      </c>
      <c r="P58" s="18">
        <f>Table13[[#This Row],[Annual profit]]*Table13[[#This Row],[In_game_life]]-Table13[[#This Row],[Total cost]]</f>
        <v>3601823.9492274639</v>
      </c>
      <c r="Q58" s="22">
        <f>Table13[[#This Row],[Buying cost]]/buying_cost_convert*10000</f>
        <v>102909.25569221326</v>
      </c>
      <c r="R58" s="22">
        <f>Table13[[#This Row],[Running cost]]/running_cost_convert*1000</f>
        <v>240121.59661516428</v>
      </c>
      <c r="S58" s="22">
        <f>ROUND(Table13[IG buying cost factor]/Table13[Range],0)</f>
        <v>155</v>
      </c>
      <c r="T58" s="22">
        <f>ROUND(Table13[IG running cost factor]/Table13[Range],0)</f>
        <v>361</v>
      </c>
      <c r="U58" s="18">
        <v>57</v>
      </c>
      <c r="V58" s="18">
        <v>9975000</v>
      </c>
      <c r="W58" s="18">
        <f>IFERROR(Table13[[#This Row],[in-game cost]]/Table13[[#This Row],[Newgrf cost factor]],0)</f>
        <v>175000</v>
      </c>
      <c r="X58" s="18">
        <v>90</v>
      </c>
      <c r="Y58" s="18">
        <v>27000</v>
      </c>
      <c r="Z58" s="18">
        <f>IFERROR(Table13[[#This Row],[in-game running]]/Table13[[#This Row],[Newgrf running factor]],0)</f>
        <v>300</v>
      </c>
      <c r="AA58" s="23">
        <f>(Table13[[#This Row],[Buying/distance]]*Table13[Range]/10000*buying_cost_convert-Table13[Buying cost])/Table13[Buying cost]</f>
        <v>1.6105869843471531E-3</v>
      </c>
      <c r="AB58" s="23">
        <f>(Table13[Running/distance]*Table13[Range]/1000*running_cost_convert-Table13[Running cost])/Table13[Running cost]</f>
        <v>-2.3569981193722063E-4</v>
      </c>
    </row>
    <row r="59" spans="1:28" hidden="1" x14ac:dyDescent="0.3">
      <c r="A59" s="11" t="s">
        <v>65</v>
      </c>
      <c r="B59">
        <v>845</v>
      </c>
      <c r="C59">
        <v>107</v>
      </c>
      <c r="D59">
        <v>570</v>
      </c>
      <c r="E59">
        <f>IF(D:D&lt;minaddmultirange,MAX(Table13[[#This Row],[Base range]],Minbaserange)*rangemultipl*rangemultiplsmalladd/10000,MAX(Table13[[#This Row],[Base range]],Minbaserange)*minaddmultirange/100)</f>
        <v>570</v>
      </c>
      <c r="F59">
        <v>25</v>
      </c>
      <c r="G59" s="9">
        <f>Table13[[#This Row],[Base range]]/((Table13[[#This Row],[Speed]]/3600*16*256)/(74*2)*24/10*2)+$AE$10</f>
        <v>30.280209874260354</v>
      </c>
      <c r="H59" s="21">
        <f>ROUNDDOWN(Table13[[#This Row],[Travel_time]]*formula_vsig_time,0)</f>
        <v>12</v>
      </c>
      <c r="I5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59" s="2">
        <f>Table13[[#This Row],[Capacity]]*Table13[[#This Row],[Range]]*payment_rate*Table13[[#This Row],[Time factor]]/2^21*GBP_to_Currency</f>
        <v>22508.390164375305</v>
      </c>
      <c r="K59" s="9">
        <f>365/Table13[[#This Row],[Travel_time]]</f>
        <v>12.05407761424625</v>
      </c>
      <c r="L59" s="2">
        <f>Table13[[#This Row],[Income per travel]]*Table13[[#This Row],[Annual travels, max]]</f>
        <v>271317.88201311685</v>
      </c>
      <c r="M59" s="2">
        <f>Table13[[#This Row],[In_game_life]]*Table13[[#This Row],[Annual profit]]*ROI____lifetime*cost_factor</f>
        <v>1695736.7625819803</v>
      </c>
      <c r="N59" s="18">
        <f>Table13[[#This Row],[Annual profit]]*Running_cost_weight*runningcost_factor</f>
        <v>67829.470503279212</v>
      </c>
      <c r="O59" s="18">
        <f>Table13[[#This Row],[Buying cost]]+Table13[[#This Row],[Running cost]]*Table13[[#This Row],[In_game_life]]</f>
        <v>3391473.5251639606</v>
      </c>
      <c r="P59" s="18">
        <f>Table13[[#This Row],[Annual profit]]*Table13[[#This Row],[In_game_life]]-Table13[[#This Row],[Total cost]]</f>
        <v>3391473.5251639606</v>
      </c>
      <c r="Q59" s="22">
        <f>Table13[[#This Row],[Buying cost]]/buying_cost_convert*10000</f>
        <v>96899.243576113164</v>
      </c>
      <c r="R59" s="22">
        <f>Table13[[#This Row],[Running cost]]/running_cost_convert*1000</f>
        <v>226098.23501093069</v>
      </c>
      <c r="S59" s="22">
        <f>ROUND(Table13[IG buying cost factor]/Table13[Range],0)</f>
        <v>170</v>
      </c>
      <c r="T59" s="22">
        <f>ROUND(Table13[IG running cost factor]/Table13[Range],0)</f>
        <v>397</v>
      </c>
      <c r="U59" s="18"/>
      <c r="V59" s="18"/>
      <c r="W59" s="18">
        <f>IFERROR(Table13[[#This Row],[in-game cost]]/Table13[[#This Row],[Newgrf cost factor]],0)</f>
        <v>0</v>
      </c>
      <c r="X59" s="18"/>
      <c r="Y59" s="18"/>
      <c r="Z59" s="18">
        <f>IFERROR(Table13[[#This Row],[in-game running]]/Table13[[#This Row],[Newgrf running factor]],0)</f>
        <v>0</v>
      </c>
      <c r="AA59" s="23">
        <f>(Table13[[#This Row],[Buying/distance]]*Table13[Range]/10000*buying_cost_convert-Table13[Buying cost])/Table13[Buying cost]</f>
        <v>7.8062930000542941E-6</v>
      </c>
      <c r="AB59" s="23">
        <f>(Table13[Running/distance]*Table13[Range]/1000*running_cost_convert-Table13[Running cost])/Table13[Running cost]</f>
        <v>8.481489873639371E-4</v>
      </c>
    </row>
    <row r="60" spans="1:28" hidden="1" x14ac:dyDescent="0.3">
      <c r="A60" s="11" t="s">
        <v>66</v>
      </c>
      <c r="B60">
        <v>962</v>
      </c>
      <c r="C60">
        <v>108</v>
      </c>
      <c r="D60">
        <v>800</v>
      </c>
      <c r="E60">
        <f>IF(D:D&lt;minaddmultirange,MAX(Table13[[#This Row],[Base range]],Minbaserange)*rangemultipl*rangemultiplsmalladd/10000,MAX(Table13[[#This Row],[Base range]],Minbaserange)*minaddmultirange/100)</f>
        <v>800</v>
      </c>
      <c r="F60">
        <v>30</v>
      </c>
      <c r="G60" s="9">
        <f>Table13[[#This Row],[Base range]]/((Table13[[#This Row],[Speed]]/3600*16*256)/(74*2)*24/10*2)+$AE$10</f>
        <v>34.536057692307693</v>
      </c>
      <c r="H60" s="21">
        <f>ROUNDDOWN(Table13[[#This Row],[Travel_time]]*formula_vsig_time,0)</f>
        <v>13</v>
      </c>
      <c r="I6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60" s="2">
        <f>Table13[[#This Row],[Capacity]]*Table13[[#This Row],[Range]]*payment_rate*Table13[[#This Row],[Time factor]]/2^21*GBP_to_Currency</f>
        <v>31754.745483398438</v>
      </c>
      <c r="K60" s="9">
        <f>365/Table13[[#This Row],[Travel_time]]</f>
        <v>10.568664300132248</v>
      </c>
      <c r="L60" s="2">
        <f>Table13[[#This Row],[Income per travel]]*Table13[[#This Row],[Annual travels, max]]</f>
        <v>335605.24495017884</v>
      </c>
      <c r="M60" s="2">
        <f>Table13[[#This Row],[In_game_life]]*Table13[[#This Row],[Annual profit]]*ROI____lifetime*cost_factor</f>
        <v>2517039.3371263412</v>
      </c>
      <c r="N60" s="18">
        <f>Table13[[#This Row],[Annual profit]]*Running_cost_weight*runningcost_factor</f>
        <v>83901.311237544709</v>
      </c>
      <c r="O60" s="18">
        <f>Table13[[#This Row],[Buying cost]]+Table13[[#This Row],[Running cost]]*Table13[[#This Row],[In_game_life]]</f>
        <v>5034078.6742526824</v>
      </c>
      <c r="P60" s="18">
        <f>Table13[[#This Row],[Annual profit]]*Table13[[#This Row],[In_game_life]]-Table13[[#This Row],[Total cost]]</f>
        <v>5034078.6742526824</v>
      </c>
      <c r="Q60" s="22">
        <f>Table13[[#This Row],[Buying cost]]/buying_cost_convert*10000</f>
        <v>143830.81926436236</v>
      </c>
      <c r="R60" s="22">
        <f>Table13[[#This Row],[Running cost]]/running_cost_convert*1000</f>
        <v>279671.03745848237</v>
      </c>
      <c r="S60" s="22">
        <f>ROUND(Table13[IG buying cost factor]/Table13[Range],0)</f>
        <v>180</v>
      </c>
      <c r="T60" s="22">
        <f>ROUND(Table13[IG running cost factor]/Table13[Range],0)</f>
        <v>350</v>
      </c>
      <c r="U60" s="18"/>
      <c r="V60" s="18"/>
      <c r="W60" s="18">
        <f>IFERROR(Table13[[#This Row],[in-game cost]]/Table13[[#This Row],[Newgrf cost factor]],0)</f>
        <v>0</v>
      </c>
      <c r="X60" s="18"/>
      <c r="Y60" s="18"/>
      <c r="Z60" s="18">
        <f>IFERROR(Table13[[#This Row],[in-game running]]/Table13[[#This Row],[Newgrf running factor]],0)</f>
        <v>0</v>
      </c>
      <c r="AA60" s="23">
        <f>(Table13[[#This Row],[Buying/distance]]*Table13[Range]/10000*buying_cost_convert-Table13[Buying cost])/Table13[Buying cost]</f>
        <v>1.1762481539279212E-3</v>
      </c>
      <c r="AB60" s="23">
        <f>(Table13[Running/distance]*Table13[Range]/1000*running_cost_convert-Table13[Running cost])/Table13[Running cost]</f>
        <v>1.1762481539278865E-3</v>
      </c>
    </row>
    <row r="61" spans="1:28" hidden="1" x14ac:dyDescent="0.3">
      <c r="A61" s="11" t="s">
        <v>67</v>
      </c>
      <c r="B61">
        <v>962</v>
      </c>
      <c r="C61">
        <v>108</v>
      </c>
      <c r="D61">
        <v>1015</v>
      </c>
      <c r="E61">
        <f>IF(D:D&lt;minaddmultirange,MAX(Table13[[#This Row],[Base range]],Minbaserange)*rangemultipl*rangemultiplsmalladd/10000,MAX(Table13[[#This Row],[Base range]],Minbaserange)*minaddmultirange/100)</f>
        <v>1015</v>
      </c>
      <c r="F61">
        <v>30</v>
      </c>
      <c r="G61" s="9">
        <f>Table13[[#This Row],[Base range]]/((Table13[[#This Row],[Speed]]/3600*16*256)/(74*2)*24/10*2)+$AE$10</f>
        <v>40.592623197115387</v>
      </c>
      <c r="H61" s="21">
        <f>ROUNDDOWN(Table13[[#This Row],[Travel_time]]*formula_vsig_time,0)</f>
        <v>16</v>
      </c>
      <c r="I6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239</v>
      </c>
      <c r="J61" s="2">
        <f>Table13[[#This Row],[Capacity]]*Table13[[#This Row],[Range]]*payment_rate*Table13[[#This Row],[Time factor]]/2^21*GBP_to_Currency</f>
        <v>39789.384984970093</v>
      </c>
      <c r="K61" s="9">
        <f>365/Table13[[#This Row],[Travel_time]]</f>
        <v>8.9917815418723119</v>
      </c>
      <c r="L61" s="2">
        <f>Table13[[#This Row],[Income per travel]]*Table13[[#This Row],[Annual travels, max]]</f>
        <v>357777.45747030538</v>
      </c>
      <c r="M61" s="2">
        <f>Table13[[#This Row],[In_game_life]]*Table13[[#This Row],[Annual profit]]*ROI____lifetime*cost_factor</f>
        <v>2683330.9310272904</v>
      </c>
      <c r="N61" s="18">
        <f>Table13[[#This Row],[Annual profit]]*Running_cost_weight*runningcost_factor</f>
        <v>89444.364367576345</v>
      </c>
      <c r="O61" s="18">
        <f>Table13[[#This Row],[Buying cost]]+Table13[[#This Row],[Running cost]]*Table13[[#This Row],[In_game_life]]</f>
        <v>5366661.8620545808</v>
      </c>
      <c r="P61" s="18">
        <f>Table13[[#This Row],[Annual profit]]*Table13[[#This Row],[In_game_life]]-Table13[[#This Row],[Total cost]]</f>
        <v>5366661.8620545808</v>
      </c>
      <c r="Q61" s="22">
        <f>Table13[[#This Row],[Buying cost]]/buying_cost_convert*10000</f>
        <v>153333.19605870231</v>
      </c>
      <c r="R61" s="22">
        <f>Table13[[#This Row],[Running cost]]/running_cost_convert*1000</f>
        <v>298147.8812252545</v>
      </c>
      <c r="S61" s="22">
        <f>ROUND(Table13[IG buying cost factor]/Table13[Range],0)</f>
        <v>151</v>
      </c>
      <c r="T61" s="22">
        <f>ROUND(Table13[IG running cost factor]/Table13[Range],0)</f>
        <v>294</v>
      </c>
      <c r="U61" s="18"/>
      <c r="V61" s="18"/>
      <c r="W61" s="18">
        <f>IFERROR(Table13[[#This Row],[in-game cost]]/Table13[[#This Row],[Newgrf cost factor]],0)</f>
        <v>0</v>
      </c>
      <c r="X61" s="18"/>
      <c r="Y61" s="18"/>
      <c r="Z61" s="18">
        <f>IFERROR(Table13[[#This Row],[in-game running]]/Table13[[#This Row],[Newgrf running factor]],0)</f>
        <v>0</v>
      </c>
      <c r="AA61" s="23">
        <f>(Table13[[#This Row],[Buying/distance]]*Table13[Range]/10000*buying_cost_convert-Table13[Buying cost])/Table13[Buying cost]</f>
        <v>-4.4475730275785118E-4</v>
      </c>
      <c r="AB61" s="23">
        <f>(Table13[Running/distance]*Table13[Range]/1000*running_cost_convert-Table13[Running cost])/Table13[Running cost]</f>
        <v>8.7915692598040224E-4</v>
      </c>
    </row>
    <row r="62" spans="1:28" hidden="1" x14ac:dyDescent="0.3">
      <c r="A62" s="8" t="s">
        <v>68</v>
      </c>
      <c r="B62">
        <v>784</v>
      </c>
      <c r="C62">
        <v>112</v>
      </c>
      <c r="D62">
        <v>525</v>
      </c>
      <c r="E62">
        <f>IF(D:D&lt;minaddmultirange,MAX(Table13[[#This Row],[Base range]],Minbaserange)*rangemultipl*rangemultiplsmalladd/10000,MAX(Table13[[#This Row],[Base range]],Minbaserange)*minaddmultirange/100)</f>
        <v>525</v>
      </c>
      <c r="F62">
        <v>14</v>
      </c>
      <c r="G62" s="9">
        <f>Table13[[#This Row],[Base range]]/((Table13[[#This Row],[Speed]]/3600*16*256)/(74*2)*24/10*2)+$AE$10</f>
        <v>30.147059849330358</v>
      </c>
      <c r="H62" s="21">
        <f>ROUNDDOWN(Table13[[#This Row],[Travel_time]]*formula_vsig_time,0)</f>
        <v>12</v>
      </c>
      <c r="I6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62" s="2">
        <f>Table13[[#This Row],[Capacity]]*Table13[[#This Row],[Range]]*payment_rate*Table13[[#This Row],[Time factor]]/2^21*GBP_to_Currency</f>
        <v>21700.169563293457</v>
      </c>
      <c r="K62" s="9">
        <f>365/Table13[[#This Row],[Travel_time]]</f>
        <v>12.107316661200299</v>
      </c>
      <c r="L62" s="2">
        <f>Table13[[#This Row],[Income per travel]]*Table13[[#This Row],[Annual travels, max]]</f>
        <v>262730.82450453448</v>
      </c>
      <c r="M62" s="2">
        <f>Table13[[#This Row],[In_game_life]]*Table13[[#This Row],[Annual profit]]*ROI____lifetime*cost_factor</f>
        <v>919557.88576587068</v>
      </c>
      <c r="N62" s="18">
        <f>Table13[[#This Row],[Annual profit]]*Running_cost_weight*runningcost_factor</f>
        <v>65682.70612613362</v>
      </c>
      <c r="O62" s="18">
        <f>Table13[[#This Row],[Buying cost]]+Table13[[#This Row],[Running cost]]*Table13[[#This Row],[In_game_life]]</f>
        <v>1839115.7715317414</v>
      </c>
      <c r="P62" s="18">
        <f>Table13[[#This Row],[Annual profit]]*Table13[[#This Row],[In_game_life]]-Table13[[#This Row],[Total cost]]</f>
        <v>1839115.7715317414</v>
      </c>
      <c r="Q62" s="22">
        <f>Table13[[#This Row],[Buying cost]]/buying_cost_convert*10000</f>
        <v>52546.164900906893</v>
      </c>
      <c r="R62" s="22">
        <f>Table13[[#This Row],[Running cost]]/running_cost_convert*1000</f>
        <v>218942.35375377873</v>
      </c>
      <c r="S62" s="22">
        <f>ROUND(Table13[IG buying cost factor]/Table13[Range],0)</f>
        <v>100</v>
      </c>
      <c r="T62" s="22">
        <f>ROUND(Table13[IG running cost factor]/Table13[Range],0)</f>
        <v>417</v>
      </c>
      <c r="U62" s="18"/>
      <c r="V62" s="18"/>
      <c r="W62" s="18">
        <f>IFERROR(Table13[[#This Row],[in-game cost]]/Table13[[#This Row],[Newgrf cost factor]],0)</f>
        <v>0</v>
      </c>
      <c r="X62" s="18"/>
      <c r="Y62" s="18"/>
      <c r="Z62" s="18">
        <f>IFERROR(Table13[[#This Row],[in-game running]]/Table13[[#This Row],[Newgrf running factor]],0)</f>
        <v>0</v>
      </c>
      <c r="AA62" s="23">
        <f>(Table13[[#This Row],[Buying/distance]]*Table13[Range]/10000*buying_cost_convert-Table13[Buying cost])/Table13[Buying cost]</f>
        <v>-8.7855890137663423E-4</v>
      </c>
      <c r="AB62" s="23">
        <f>(Table13[Running/distance]*Table13[Range]/1000*running_cost_convert-Table13[Running cost])/Table13[Running cost]</f>
        <v>-7.9261748497735498E-5</v>
      </c>
    </row>
    <row r="63" spans="1:28" hidden="1" x14ac:dyDescent="0.3">
      <c r="A63" s="11" t="s">
        <v>69</v>
      </c>
      <c r="B63">
        <v>917</v>
      </c>
      <c r="C63">
        <v>115</v>
      </c>
      <c r="D63">
        <v>555</v>
      </c>
      <c r="E63">
        <f>IF(D:D&lt;minaddmultirange,MAX(Table13[[#This Row],[Base range]],Minbaserange)*rangemultipl*rangemultiplsmalladd/10000,MAX(Table13[[#This Row],[Base range]],Minbaserange)*minaddmultirange/100)</f>
        <v>555</v>
      </c>
      <c r="F63">
        <v>30</v>
      </c>
      <c r="G63" s="9">
        <f>Table13[[#This Row],[Base range]]/((Table13[[#This Row],[Speed]]/3600*16*256)/(74*2)*24/10*2)+$AE$10</f>
        <v>28.401617451608505</v>
      </c>
      <c r="H63" s="21">
        <f>ROUNDDOWN(Table13[[#This Row],[Travel_time]]*formula_vsig_time,0)</f>
        <v>11</v>
      </c>
      <c r="I6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63" s="2">
        <f>Table13[[#This Row],[Capacity]]*Table13[[#This Row],[Range]]*payment_rate*Table13[[#This Row],[Time factor]]/2^21*GBP_to_Currency</f>
        <v>23651.581048965454</v>
      </c>
      <c r="K63" s="9">
        <f>365/Table13[[#This Row],[Travel_time]]</f>
        <v>12.851380757518388</v>
      </c>
      <c r="L63" s="2">
        <f>Table13[[#This Row],[Income per travel]]*Table13[[#This Row],[Annual travels, max]]</f>
        <v>303955.47357756121</v>
      </c>
      <c r="M63" s="2">
        <f>Table13[[#This Row],[In_game_life]]*Table13[[#This Row],[Annual profit]]*ROI____lifetime*cost_factor</f>
        <v>2279666.0518317092</v>
      </c>
      <c r="N63" s="18">
        <f>Table13[[#This Row],[Annual profit]]*Running_cost_weight*runningcost_factor</f>
        <v>75988.868394390302</v>
      </c>
      <c r="O63" s="18">
        <f>Table13[[#This Row],[Buying cost]]+Table13[[#This Row],[Running cost]]*Table13[[#This Row],[In_game_life]]</f>
        <v>4559332.1036634184</v>
      </c>
      <c r="P63" s="18">
        <f>Table13[[#This Row],[Annual profit]]*Table13[[#This Row],[In_game_life]]-Table13[[#This Row],[Total cost]]</f>
        <v>4559332.1036634184</v>
      </c>
      <c r="Q63" s="22">
        <f>Table13[[#This Row],[Buying cost]]/buying_cost_convert*10000</f>
        <v>130266.63153324054</v>
      </c>
      <c r="R63" s="22">
        <f>Table13[[#This Row],[Running cost]]/running_cost_convert*1000</f>
        <v>253296.227981301</v>
      </c>
      <c r="S63" s="22">
        <f>ROUND(Table13[IG buying cost factor]/Table13[Range],0)</f>
        <v>235</v>
      </c>
      <c r="T63" s="22">
        <f>ROUND(Table13[IG running cost factor]/Table13[Range],0)</f>
        <v>456</v>
      </c>
      <c r="U63" s="18"/>
      <c r="V63" s="18"/>
      <c r="W63" s="18">
        <f>IFERROR(Table13[[#This Row],[in-game cost]]/Table13[[#This Row],[Newgrf cost factor]],0)</f>
        <v>0</v>
      </c>
      <c r="X63" s="18"/>
      <c r="Y63" s="18"/>
      <c r="Z63" s="18">
        <f>IFERROR(Table13[[#This Row],[in-game running]]/Table13[[#This Row],[Newgrf running factor]],0)</f>
        <v>0</v>
      </c>
      <c r="AA63" s="23">
        <f>(Table13[[#This Row],[Buying/distance]]*Table13[Range]/10000*buying_cost_convert-Table13[Buying cost])/Table13[Buying cost]</f>
        <v>1.2157255077180815E-3</v>
      </c>
      <c r="AB63" s="23">
        <f>(Table13[Running/distance]*Table13[Range]/1000*running_cost_convert-Table13[Running cost])/Table13[Running cost]</f>
        <v>-8.5365653892393407E-4</v>
      </c>
    </row>
    <row r="64" spans="1:28" hidden="1" x14ac:dyDescent="0.3">
      <c r="A64" s="11" t="s">
        <v>70</v>
      </c>
      <c r="B64">
        <v>917</v>
      </c>
      <c r="C64">
        <v>117</v>
      </c>
      <c r="D64">
        <v>870</v>
      </c>
      <c r="E64">
        <f>IF(D:D&lt;minaddmultirange,MAX(Table13[[#This Row],[Base range]],Minbaserange)*rangemultipl*rangemultiplsmalladd/10000,MAX(Table13[[#This Row],[Base range]],Minbaserange)*minaddmultirange/100)</f>
        <v>870</v>
      </c>
      <c r="F64">
        <v>14</v>
      </c>
      <c r="G64" s="9">
        <f>Table13[[#This Row],[Base range]]/((Table13[[#This Row],[Speed]]/3600*16*256)/(74*2)*24/10*2)+$AE$10</f>
        <v>37.71064357279171</v>
      </c>
      <c r="H64" s="21">
        <f>ROUNDDOWN(Table13[[#This Row],[Travel_time]]*formula_vsig_time,0)</f>
        <v>15</v>
      </c>
      <c r="I6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240</v>
      </c>
      <c r="J64" s="2">
        <f>Table13[[#This Row],[Capacity]]*Table13[[#This Row],[Range]]*payment_rate*Table13[[#This Row],[Time factor]]/2^21*GBP_to_Currency</f>
        <v>37101.877212524414</v>
      </c>
      <c r="K64" s="9">
        <f>365/Table13[[#This Row],[Travel_time]]</f>
        <v>9.6789650193970189</v>
      </c>
      <c r="L64" s="2">
        <f>Table13[[#This Row],[Income per travel]]*Table13[[#This Row],[Annual travels, max]]</f>
        <v>359107.77169398719</v>
      </c>
      <c r="M64" s="2">
        <f>Table13[[#This Row],[In_game_life]]*Table13[[#This Row],[Annual profit]]*ROI____lifetime*cost_factor</f>
        <v>1256877.2009289551</v>
      </c>
      <c r="N64" s="18">
        <f>Table13[[#This Row],[Annual profit]]*Running_cost_weight*runningcost_factor</f>
        <v>89776.942923496797</v>
      </c>
      <c r="O64" s="18">
        <f>Table13[[#This Row],[Buying cost]]+Table13[[#This Row],[Running cost]]*Table13[[#This Row],[In_game_life]]</f>
        <v>2513754.4018579102</v>
      </c>
      <c r="P64" s="18">
        <f>Table13[[#This Row],[Annual profit]]*Table13[[#This Row],[In_game_life]]-Table13[[#This Row],[Total cost]]</f>
        <v>2513754.4018579102</v>
      </c>
      <c r="Q64" s="22">
        <f>Table13[[#This Row],[Buying cost]]/buying_cost_convert*10000</f>
        <v>71821.554338797432</v>
      </c>
      <c r="R64" s="22">
        <f>Table13[[#This Row],[Running cost]]/running_cost_convert*1000</f>
        <v>299256.47641165595</v>
      </c>
      <c r="S64" s="22">
        <f>ROUND(Table13[IG buying cost factor]/Table13[Range],0)</f>
        <v>83</v>
      </c>
      <c r="T64" s="22">
        <f>ROUND(Table13[IG running cost factor]/Table13[Range],0)</f>
        <v>344</v>
      </c>
      <c r="U64" s="18"/>
      <c r="V64" s="18"/>
      <c r="W64" s="18">
        <f>IFERROR(Table13[[#This Row],[in-game cost]]/Table13[[#This Row],[Newgrf cost factor]],0)</f>
        <v>0</v>
      </c>
      <c r="X64" s="18"/>
      <c r="Y64" s="18"/>
      <c r="Z64" s="18">
        <f>IFERROR(Table13[[#This Row],[in-game running]]/Table13[[#This Row],[Newgrf running factor]],0)</f>
        <v>0</v>
      </c>
      <c r="AA64" s="23">
        <f>(Table13[[#This Row],[Buying/distance]]*Table13[Range]/10000*buying_cost_convert-Table13[Buying cost])/Table13[Buying cost]</f>
        <v>5.4084830769630127E-3</v>
      </c>
      <c r="AB64" s="23">
        <f>(Table13[Running/distance]*Table13[Range]/1000*running_cost_convert-Table13[Running cost])/Table13[Running cost]</f>
        <v>7.86067811331209E-5</v>
      </c>
    </row>
    <row r="65" spans="1:28" hidden="1" x14ac:dyDescent="0.3">
      <c r="A65" s="10" t="s">
        <v>71</v>
      </c>
      <c r="B65">
        <v>890</v>
      </c>
      <c r="C65">
        <v>118</v>
      </c>
      <c r="D65">
        <v>465</v>
      </c>
      <c r="E65">
        <f>IF(D:D&lt;minaddmultirange,MAX(Table13[[#This Row],[Base range]],Minbaserange)*rangemultipl*rangemultiplsmalladd/10000,MAX(Table13[[#This Row],[Base range]],Minbaserange)*minaddmultirange/100)</f>
        <v>465</v>
      </c>
      <c r="F65">
        <v>25</v>
      </c>
      <c r="G65" s="9">
        <f>Table13[[#This Row],[Base range]]/((Table13[[#This Row],[Speed]]/3600*16*256)/(74*2)*24/10*2)+$AE$10</f>
        <v>26.158784673455056</v>
      </c>
      <c r="H65" s="21">
        <f>ROUNDDOWN(Table13[[#This Row],[Travel_time]]*formula_vsig_time,0)</f>
        <v>10</v>
      </c>
      <c r="I6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65" s="2">
        <f>Table13[[#This Row],[Capacity]]*Table13[[#This Row],[Range]]*payment_rate*Table13[[#This Row],[Time factor]]/2^21*GBP_to_Currency</f>
        <v>20416.466116905212</v>
      </c>
      <c r="K65" s="9">
        <f>365/Table13[[#This Row],[Travel_time]]</f>
        <v>13.953247620497759</v>
      </c>
      <c r="L65" s="2">
        <f>Table13[[#This Row],[Income per travel]]*Table13[[#This Row],[Annual travels, max]]</f>
        <v>284876.00726468075</v>
      </c>
      <c r="M65" s="2">
        <f>Table13[[#This Row],[In_game_life]]*Table13[[#This Row],[Annual profit]]*ROI____lifetime*cost_factor</f>
        <v>1780475.0454042547</v>
      </c>
      <c r="N65" s="18">
        <f>Table13[[#This Row],[Annual profit]]*Running_cost_weight*runningcost_factor</f>
        <v>71219.001816170188</v>
      </c>
      <c r="O65" s="18">
        <f>Table13[[#This Row],[Buying cost]]+Table13[[#This Row],[Running cost]]*Table13[[#This Row],[In_game_life]]</f>
        <v>3560950.0908085094</v>
      </c>
      <c r="P65" s="18">
        <f>Table13[[#This Row],[Annual profit]]*Table13[[#This Row],[In_game_life]]-Table13[[#This Row],[Total cost]]</f>
        <v>3560950.0908085094</v>
      </c>
      <c r="Q65" s="22">
        <f>Table13[[#This Row],[Buying cost]]/buying_cost_convert*10000</f>
        <v>101741.43116595742</v>
      </c>
      <c r="R65" s="22">
        <f>Table13[[#This Row],[Running cost]]/running_cost_convert*1000</f>
        <v>237396.67272056729</v>
      </c>
      <c r="S65" s="22">
        <f>ROUND(Table13[IG buying cost factor]/Table13[Range],0)</f>
        <v>219</v>
      </c>
      <c r="T65" s="22">
        <f>ROUND(Table13[IG running cost factor]/Table13[Range],0)</f>
        <v>511</v>
      </c>
      <c r="U65" s="18"/>
      <c r="V65" s="18"/>
      <c r="W65" s="18">
        <f>IFERROR(Table13[[#This Row],[in-game cost]]/Table13[[#This Row],[Newgrf cost factor]],0)</f>
        <v>0</v>
      </c>
      <c r="X65" s="18"/>
      <c r="Y65" s="18"/>
      <c r="Z65" s="18">
        <f>IFERROR(Table13[[#This Row],[in-game running]]/Table13[[#This Row],[Newgrf running factor]],0)</f>
        <v>0</v>
      </c>
      <c r="AA65" s="23">
        <f>(Table13[[#This Row],[Buying/distance]]*Table13[Range]/10000*buying_cost_convert-Table13[Buying cost])/Table13[Buying cost]</f>
        <v>9.1967287043527547E-4</v>
      </c>
      <c r="AB65" s="23">
        <f>(Table13[Running/distance]*Table13[Range]/1000*running_cost_convert-Table13[Running cost])/Table13[Running cost]</f>
        <v>9.1967287043526733E-4</v>
      </c>
    </row>
    <row r="66" spans="1:28" hidden="1" x14ac:dyDescent="0.3">
      <c r="A66" s="10" t="s">
        <v>72</v>
      </c>
      <c r="B66">
        <v>890</v>
      </c>
      <c r="C66">
        <v>118</v>
      </c>
      <c r="D66">
        <v>600</v>
      </c>
      <c r="E66">
        <f>IF(D:D&lt;minaddmultirange,MAX(Table13[[#This Row],[Base range]],Minbaserange)*rangemultipl*rangemultiplsmalladd/10000,MAX(Table13[[#This Row],[Base range]],Minbaserange)*minaddmultirange/100)</f>
        <v>600</v>
      </c>
      <c r="F66">
        <v>25</v>
      </c>
      <c r="G66" s="9">
        <f>Table13[[#This Row],[Base range]]/((Table13[[#This Row],[Speed]]/3600*16*256)/(74*2)*24/10*2)+$AE$10</f>
        <v>30.269399578651687</v>
      </c>
      <c r="H66" s="21">
        <f>ROUNDDOWN(Table13[[#This Row],[Travel_time]]*formula_vsig_time,0)</f>
        <v>12</v>
      </c>
      <c r="I6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66" s="2">
        <f>Table13[[#This Row],[Capacity]]*Table13[[#This Row],[Range]]*payment_rate*Table13[[#This Row],[Time factor]]/2^21*GBP_to_Currency</f>
        <v>26128.775596618652</v>
      </c>
      <c r="K66" s="9">
        <f>365/Table13[[#This Row],[Travel_time]]</f>
        <v>12.0583825606315</v>
      </c>
      <c r="L66" s="2">
        <f>Table13[[#This Row],[Income per travel]]*Table13[[#This Row],[Annual travels, max]]</f>
        <v>315070.77198492025</v>
      </c>
      <c r="M66" s="2">
        <f>Table13[[#This Row],[In_game_life]]*Table13[[#This Row],[Annual profit]]*ROI____lifetime*cost_factor</f>
        <v>1969192.3249057515</v>
      </c>
      <c r="N66" s="18">
        <f>Table13[[#This Row],[Annual profit]]*Running_cost_weight*runningcost_factor</f>
        <v>78767.692996230064</v>
      </c>
      <c r="O66" s="18">
        <f>Table13[[#This Row],[Buying cost]]+Table13[[#This Row],[Running cost]]*Table13[[#This Row],[In_game_life]]</f>
        <v>3938384.649811503</v>
      </c>
      <c r="P66" s="18">
        <f>Table13[[#This Row],[Annual profit]]*Table13[[#This Row],[In_game_life]]-Table13[[#This Row],[Total cost]]</f>
        <v>3938384.649811503</v>
      </c>
      <c r="Q66" s="22">
        <f>Table13[[#This Row],[Buying cost]]/buying_cost_convert*10000</f>
        <v>112525.27570890008</v>
      </c>
      <c r="R66" s="22">
        <f>Table13[[#This Row],[Running cost]]/running_cost_convert*1000</f>
        <v>262558.97665410023</v>
      </c>
      <c r="S66" s="22">
        <f>ROUND(Table13[IG buying cost factor]/Table13[Range],0)</f>
        <v>188</v>
      </c>
      <c r="T66" s="22">
        <f>ROUND(Table13[IG running cost factor]/Table13[Range],0)</f>
        <v>438</v>
      </c>
      <c r="U66" s="18"/>
      <c r="V66" s="18"/>
      <c r="W66" s="18">
        <f>IFERROR(Table13[[#This Row],[in-game cost]]/Table13[[#This Row],[Newgrf cost factor]],0)</f>
        <v>0</v>
      </c>
      <c r="X66" s="18"/>
      <c r="Y66" s="18"/>
      <c r="Z66" s="18">
        <f>IFERROR(Table13[[#This Row],[in-game running]]/Table13[[#This Row],[Newgrf running factor]],0)</f>
        <v>0</v>
      </c>
      <c r="AA66" s="23">
        <f>(Table13[[#This Row],[Buying/distance]]*Table13[Range]/10000*buying_cost_convert-Table13[Buying cost])/Table13[Buying cost]</f>
        <v>2.4414451719329123E-3</v>
      </c>
      <c r="AB66" s="23">
        <f>(Table13[Running/distance]*Table13[Range]/1000*running_cost_convert-Table13[Running cost])/Table13[Running cost]</f>
        <v>9.1797793003023452E-4</v>
      </c>
    </row>
    <row r="67" spans="1:28" hidden="1" x14ac:dyDescent="0.3">
      <c r="A67" s="10" t="s">
        <v>73</v>
      </c>
      <c r="B67">
        <v>890</v>
      </c>
      <c r="C67">
        <v>118</v>
      </c>
      <c r="D67">
        <v>735</v>
      </c>
      <c r="E67">
        <f>IF(D:D&lt;minaddmultirange,MAX(Table13[[#This Row],[Base range]],Minbaserange)*rangemultipl*rangemultiplsmalladd/10000,MAX(Table13[[#This Row],[Base range]],Minbaserange)*minaddmultirange/100)</f>
        <v>735</v>
      </c>
      <c r="F67">
        <v>25</v>
      </c>
      <c r="G67" s="9">
        <f>Table13[[#This Row],[Base range]]/((Table13[[#This Row],[Speed]]/3600*16*256)/(74*2)*24/10*2)+$AE$10</f>
        <v>34.380014483848313</v>
      </c>
      <c r="H67" s="21">
        <f>ROUNDDOWN(Table13[[#This Row],[Travel_time]]*formula_vsig_time,0)</f>
        <v>13</v>
      </c>
      <c r="I6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67" s="2">
        <f>Table13[[#This Row],[Capacity]]*Table13[[#This Row],[Range]]*payment_rate*Table13[[#This Row],[Time factor]]/2^21*GBP_to_Currency</f>
        <v>31876.030969619751</v>
      </c>
      <c r="K67" s="9">
        <f>365/Table13[[#This Row],[Travel_time]]</f>
        <v>10.616633107338467</v>
      </c>
      <c r="L67" s="2">
        <f>Table13[[#This Row],[Income per travel]]*Table13[[#This Row],[Annual travels, max]]</f>
        <v>338416.12572261132</v>
      </c>
      <c r="M67" s="2">
        <f>Table13[[#This Row],[In_game_life]]*Table13[[#This Row],[Annual profit]]*ROI____lifetime*cost_factor</f>
        <v>2115100.7857663208</v>
      </c>
      <c r="N67" s="18">
        <f>Table13[[#This Row],[Annual profit]]*Running_cost_weight*runningcost_factor</f>
        <v>84604.031430652831</v>
      </c>
      <c r="O67" s="18">
        <f>Table13[[#This Row],[Buying cost]]+Table13[[#This Row],[Running cost]]*Table13[[#This Row],[In_game_life]]</f>
        <v>4230201.5715326415</v>
      </c>
      <c r="P67" s="18">
        <f>Table13[[#This Row],[Annual profit]]*Table13[[#This Row],[In_game_life]]-Table13[[#This Row],[Total cost]]</f>
        <v>4230201.5715326415</v>
      </c>
      <c r="Q67" s="22">
        <f>Table13[[#This Row],[Buying cost]]/buying_cost_convert*10000</f>
        <v>120862.90204378976</v>
      </c>
      <c r="R67" s="22">
        <f>Table13[[#This Row],[Running cost]]/running_cost_convert*1000</f>
        <v>282013.43810217612</v>
      </c>
      <c r="S67" s="22">
        <f>ROUND(Table13[IG buying cost factor]/Table13[Range],0)</f>
        <v>164</v>
      </c>
      <c r="T67" s="22">
        <f>ROUND(Table13[IG running cost factor]/Table13[Range],0)</f>
        <v>384</v>
      </c>
      <c r="U67" s="18"/>
      <c r="V67" s="18"/>
      <c r="W67" s="18">
        <f>IFERROR(Table13[[#This Row],[in-game cost]]/Table13[[#This Row],[Newgrf cost factor]],0)</f>
        <v>0</v>
      </c>
      <c r="X67" s="18"/>
      <c r="Y67" s="18"/>
      <c r="Z67" s="18">
        <f>IFERROR(Table13[[#This Row],[in-game running]]/Table13[[#This Row],[Newgrf running factor]],0)</f>
        <v>0</v>
      </c>
      <c r="AA67" s="23">
        <f>(Table13[[#This Row],[Buying/distance]]*Table13[Range]/10000*buying_cost_convert-Table13[Buying cost])/Table13[Buying cost]</f>
        <v>-2.6716390085749207E-3</v>
      </c>
      <c r="AB67" s="23">
        <f>(Table13[Running/distance]*Table13[Range]/1000*running_cost_convert-Table13[Running cost])/Table13[Running cost]</f>
        <v>8.0337270219659536E-4</v>
      </c>
    </row>
    <row r="68" spans="1:28" hidden="1" x14ac:dyDescent="0.3">
      <c r="A68" s="11" t="s">
        <v>74</v>
      </c>
      <c r="B68">
        <v>871</v>
      </c>
      <c r="C68">
        <v>119</v>
      </c>
      <c r="D68">
        <v>570</v>
      </c>
      <c r="E68">
        <f>IF(D:D&lt;minaddmultirange,MAX(Table13[[#This Row],[Base range]],Minbaserange)*rangemultipl*rangemultiplsmalladd/10000,MAX(Table13[[#This Row],[Base range]],Minbaserange)*minaddmultirange/100)</f>
        <v>570</v>
      </c>
      <c r="F68">
        <v>12</v>
      </c>
      <c r="G68" s="9">
        <f>Table13[[#This Row],[Base range]]/((Table13[[#This Row],[Speed]]/3600*16*256)/(74*2)*24/10*2)+$AE$10</f>
        <v>29.734531967566021</v>
      </c>
      <c r="H68" s="21">
        <f>ROUNDDOWN(Table13[[#This Row],[Travel_time]]*formula_vsig_time,0)</f>
        <v>11</v>
      </c>
      <c r="I6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68" s="2">
        <f>Table13[[#This Row],[Capacity]]*Table13[[#This Row],[Range]]*payment_rate*Table13[[#This Row],[Time factor]]/2^21*GBP_to_Currency</f>
        <v>25135.71081161499</v>
      </c>
      <c r="K68" s="9">
        <f>365/Table13[[#This Row],[Travel_time]]</f>
        <v>12.275289901927378</v>
      </c>
      <c r="L68" s="2">
        <f>Table13[[#This Row],[Income per travel]]*Table13[[#This Row],[Annual travels, max]]</f>
        <v>308548.1371035843</v>
      </c>
      <c r="M68" s="2">
        <f>Table13[[#This Row],[In_game_life]]*Table13[[#This Row],[Annual profit]]*ROI____lifetime*cost_factor</f>
        <v>925644.41131075285</v>
      </c>
      <c r="N68" s="18">
        <f>Table13[[#This Row],[Annual profit]]*Running_cost_weight*runningcost_factor</f>
        <v>77137.034275896076</v>
      </c>
      <c r="O68" s="18">
        <f>Table13[[#This Row],[Buying cost]]+Table13[[#This Row],[Running cost]]*Table13[[#This Row],[In_game_life]]</f>
        <v>1851288.8226215057</v>
      </c>
      <c r="P68" s="18">
        <f>Table13[[#This Row],[Annual profit]]*Table13[[#This Row],[In_game_life]]-Table13[[#This Row],[Total cost]]</f>
        <v>1851288.8226215057</v>
      </c>
      <c r="Q68" s="22">
        <f>Table13[[#This Row],[Buying cost]]/buying_cost_convert*10000</f>
        <v>52893.966360614453</v>
      </c>
      <c r="R68" s="22">
        <f>Table13[[#This Row],[Running cost]]/running_cost_convert*1000</f>
        <v>257123.44758632025</v>
      </c>
      <c r="S68" s="22">
        <f>ROUND(Table13[IG buying cost factor]/Table13[Range],0)</f>
        <v>93</v>
      </c>
      <c r="T68" s="22">
        <f>ROUND(Table13[IG running cost factor]/Table13[Range],0)</f>
        <v>451</v>
      </c>
      <c r="U68" s="18"/>
      <c r="V68" s="18"/>
      <c r="W68" s="18">
        <f>IFERROR(Table13[[#This Row],[in-game cost]]/Table13[[#This Row],[Newgrf cost factor]],0)</f>
        <v>0</v>
      </c>
      <c r="X68" s="18"/>
      <c r="Y68" s="18"/>
      <c r="Z68" s="18">
        <f>IFERROR(Table13[[#This Row],[in-game running]]/Table13[[#This Row],[Newgrf running factor]],0)</f>
        <v>0</v>
      </c>
      <c r="AA68" s="23">
        <f>(Table13[[#This Row],[Buying/distance]]*Table13[Range]/10000*buying_cost_convert-Table13[Buying cost])/Table13[Buying cost]</f>
        <v>2.1937027485227768E-3</v>
      </c>
      <c r="AB68" s="23">
        <f>(Table13[Running/distance]*Table13[Range]/1000*running_cost_convert-Table13[Running cost])/Table13[Running cost]</f>
        <v>-2.0786741474563557E-4</v>
      </c>
    </row>
    <row r="69" spans="1:28" x14ac:dyDescent="0.3">
      <c r="A69" s="11" t="s">
        <v>75</v>
      </c>
      <c r="B69">
        <v>869</v>
      </c>
      <c r="C69">
        <v>124</v>
      </c>
      <c r="D69">
        <v>1230</v>
      </c>
      <c r="E69">
        <f>IF(D:D&lt;minaddmultirange,MAX(Table13[[#This Row],[Base range]],Minbaserange)*rangemultipl*rangemultiplsmalladd/10000,MAX(Table13[[#This Row],[Base range]],Minbaserange)*minaddmultirange/100)</f>
        <v>1230</v>
      </c>
      <c r="F69">
        <v>25</v>
      </c>
      <c r="G69" s="9">
        <f>Table13[[#This Row],[Base range]]/((Table13[[#This Row],[Speed]]/3600*16*256)/(74*2)*24/10*2)+$AE$10</f>
        <v>50.357329725258914</v>
      </c>
      <c r="H69" s="21">
        <f>ROUNDDOWN(Table13[[#This Row],[Travel_time]]*formula_vsig_time,0)</f>
        <v>20</v>
      </c>
      <c r="I6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235</v>
      </c>
      <c r="J69" s="2">
        <f>Table13[[#This Row],[Capacity]]*Table13[[#This Row],[Range]]*payment_rate*Table13[[#This Row],[Time factor]]/2^21*GBP_to_Currency</f>
        <v>54434.493541717529</v>
      </c>
      <c r="K69" s="9">
        <f>365/Table13[[#This Row],[Travel_time]]</f>
        <v>7.2482000533264639</v>
      </c>
      <c r="L69" s="2">
        <f>Table13[[#This Row],[Income per travel]]*Table13[[#This Row],[Annual travels, max]]</f>
        <v>394552.09899187606</v>
      </c>
      <c r="M69" s="2">
        <f>Table13[[#This Row],[In_game_life]]*Table13[[#This Row],[Annual profit]]*ROI____lifetime*cost_factor</f>
        <v>2465950.6186992256</v>
      </c>
      <c r="N69" s="18">
        <f>Table13[[#This Row],[Annual profit]]*Running_cost_weight*runningcost_factor</f>
        <v>98638.024747969015</v>
      </c>
      <c r="O69" s="18">
        <f>Table13[[#This Row],[Buying cost]]+Table13[[#This Row],[Running cost]]*Table13[[#This Row],[In_game_life]]</f>
        <v>4931901.2373984512</v>
      </c>
      <c r="P69" s="18">
        <f>Table13[[#This Row],[Annual profit]]*Table13[[#This Row],[In_game_life]]-Table13[[#This Row],[Total cost]]</f>
        <v>4931901.2373984512</v>
      </c>
      <c r="Q69" s="22">
        <f>Table13[[#This Row],[Buying cost]]/buying_cost_convert*10000</f>
        <v>140911.46392567002</v>
      </c>
      <c r="R69" s="22">
        <f>Table13[[#This Row],[Running cost]]/running_cost_convert*1000</f>
        <v>328793.41582656337</v>
      </c>
      <c r="S69" s="22">
        <f>ROUND(Table13[IG buying cost factor]/Table13[Range],0)</f>
        <v>115</v>
      </c>
      <c r="T69" s="22">
        <f>ROUND(Table13[IG running cost factor]/Table13[Range],0)</f>
        <v>267</v>
      </c>
      <c r="U69" s="18">
        <v>57</v>
      </c>
      <c r="V69" s="18">
        <v>9975000</v>
      </c>
      <c r="W69" s="18">
        <f>IFERROR(Table13[[#This Row],[in-game cost]]/Table13[[#This Row],[Newgrf cost factor]],0)</f>
        <v>175000</v>
      </c>
      <c r="X69" s="18">
        <v>90</v>
      </c>
      <c r="Y69" s="18">
        <v>27000</v>
      </c>
      <c r="Z69" s="18">
        <f>IFERROR(Table13[[#This Row],[in-game running]]/Table13[[#This Row],[Newgrf running factor]],0)</f>
        <v>300</v>
      </c>
      <c r="AA69" s="23">
        <f>(Table13[[#This Row],[Buying/distance]]*Table13[Range]/10000*buying_cost_convert-Table13[Buying cost])/Table13[Buying cost]</f>
        <v>3.8218045524957465E-3</v>
      </c>
      <c r="AB69" s="23">
        <f>(Table13[Running/distance]*Table13[Range]/1000*running_cost_convert-Table13[Running cost])/Table13[Running cost]</f>
        <v>-1.1661298800630026E-3</v>
      </c>
    </row>
    <row r="70" spans="1:28" hidden="1" x14ac:dyDescent="0.3">
      <c r="A70" s="11" t="s">
        <v>76</v>
      </c>
      <c r="B70">
        <v>896</v>
      </c>
      <c r="C70">
        <v>125</v>
      </c>
      <c r="D70">
        <v>520</v>
      </c>
      <c r="E70">
        <f>IF(D:D&lt;minaddmultirange,MAX(Table13[[#This Row],[Base range]],Minbaserange)*rangemultipl*rangemultiplsmalladd/10000,MAX(Table13[[#This Row],[Base range]],Minbaserange)*minaddmultirange/100)</f>
        <v>520</v>
      </c>
      <c r="F70">
        <v>30</v>
      </c>
      <c r="G70" s="9">
        <f>Table13[[#This Row],[Base range]]/((Table13[[#This Row],[Speed]]/3600*16*256)/(74*2)*24/10*2)+$AE$10</f>
        <v>27.727451869419646</v>
      </c>
      <c r="H70" s="21">
        <f>ROUNDDOWN(Table13[[#This Row],[Travel_time]]*formula_vsig_time,0)</f>
        <v>11</v>
      </c>
      <c r="I7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70" s="2">
        <f>Table13[[#This Row],[Capacity]]*Table13[[#This Row],[Range]]*payment_rate*Table13[[#This Row],[Time factor]]/2^21*GBP_to_Currency</f>
        <v>24086.999893188477</v>
      </c>
      <c r="K70" s="9">
        <f>365/Table13[[#This Row],[Travel_time]]</f>
        <v>13.163849376384823</v>
      </c>
      <c r="L70" s="2">
        <f>Table13[[#This Row],[Income per travel]]*Table13[[#This Row],[Annual travels, max]]</f>
        <v>317077.63852293044</v>
      </c>
      <c r="M70" s="2">
        <f>Table13[[#This Row],[In_game_life]]*Table13[[#This Row],[Annual profit]]*ROI____lifetime*cost_factor</f>
        <v>2378082.2889219783</v>
      </c>
      <c r="N70" s="18">
        <f>Table13[[#This Row],[Annual profit]]*Running_cost_weight*runningcost_factor</f>
        <v>79269.409630732611</v>
      </c>
      <c r="O70" s="18">
        <f>Table13[[#This Row],[Buying cost]]+Table13[[#This Row],[Running cost]]*Table13[[#This Row],[In_game_life]]</f>
        <v>4756164.5778439566</v>
      </c>
      <c r="P70" s="18">
        <f>Table13[[#This Row],[Annual profit]]*Table13[[#This Row],[In_game_life]]-Table13[[#This Row],[Total cost]]</f>
        <v>4756164.5778439566</v>
      </c>
      <c r="Q70" s="22">
        <f>Table13[[#This Row],[Buying cost]]/buying_cost_convert*10000</f>
        <v>135890.41650982734</v>
      </c>
      <c r="R70" s="22">
        <f>Table13[[#This Row],[Running cost]]/running_cost_convert*1000</f>
        <v>264231.36543577537</v>
      </c>
      <c r="S70" s="22">
        <f>ROUND(Table13[IG buying cost factor]/Table13[Range],0)</f>
        <v>261</v>
      </c>
      <c r="T70" s="22">
        <f>ROUND(Table13[IG running cost factor]/Table13[Range],0)</f>
        <v>508</v>
      </c>
      <c r="U70" s="18"/>
      <c r="V70" s="18"/>
      <c r="W70" s="18">
        <f>IFERROR(Table13[[#This Row],[in-game cost]]/Table13[[#This Row],[Newgrf cost factor]],0)</f>
        <v>0</v>
      </c>
      <c r="X70" s="18"/>
      <c r="Y70" s="18"/>
      <c r="Z70" s="18">
        <f>IFERROR(Table13[[#This Row],[in-game running]]/Table13[[#This Row],[Newgrf running factor]],0)</f>
        <v>0</v>
      </c>
      <c r="AA70" s="23">
        <f>(Table13[[#This Row],[Buying/distance]]*Table13[Range]/10000*buying_cost_convert-Table13[Buying cost])/Table13[Buying cost]</f>
        <v>-1.2540730553652298E-3</v>
      </c>
      <c r="AB70" s="23">
        <f>(Table13[Running/distance]*Table13[Range]/1000*running_cost_convert-Table13[Running cost])/Table13[Running cost]</f>
        <v>-2.7008692044422383E-4</v>
      </c>
    </row>
    <row r="71" spans="1:28" hidden="1" x14ac:dyDescent="0.3">
      <c r="A71" s="8" t="s">
        <v>77</v>
      </c>
      <c r="B71">
        <v>801</v>
      </c>
      <c r="C71">
        <v>128</v>
      </c>
      <c r="D71">
        <v>495</v>
      </c>
      <c r="E71">
        <f>IF(D:D&lt;minaddmultirange,MAX(Table13[[#This Row],[Base range]],Minbaserange)*rangemultipl*rangemultiplsmalladd/10000,MAX(Table13[[#This Row],[Base range]],Minbaserange)*minaddmultirange/100)</f>
        <v>495</v>
      </c>
      <c r="F71">
        <v>14</v>
      </c>
      <c r="G71" s="9">
        <f>Table13[[#This Row],[Base range]]/((Table13[[#This Row],[Speed]]/3600*16*256)/(74*2)*24/10*2)+$AE$10</f>
        <v>28.746949613764045</v>
      </c>
      <c r="H71" s="21">
        <f>ROUNDDOWN(Table13[[#This Row],[Travel_time]]*formula_vsig_time,0)</f>
        <v>11</v>
      </c>
      <c r="I7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71" s="2">
        <f>Table13[[#This Row],[Capacity]]*Table13[[#This Row],[Range]]*payment_rate*Table13[[#This Row],[Time factor]]/2^21*GBP_to_Currency</f>
        <v>23479.266357421875</v>
      </c>
      <c r="K71" s="9">
        <f>365/Table13[[#This Row],[Travel_time]]</f>
        <v>12.696999330504198</v>
      </c>
      <c r="L71" s="2">
        <f>Table13[[#This Row],[Income per travel]]*Table13[[#This Row],[Annual travels, max]]</f>
        <v>298116.22922091529</v>
      </c>
      <c r="M71" s="2">
        <f>Table13[[#This Row],[In_game_life]]*Table13[[#This Row],[Annual profit]]*ROI____lifetime*cost_factor</f>
        <v>1043406.8022732035</v>
      </c>
      <c r="N71" s="18">
        <f>Table13[[#This Row],[Annual profit]]*Running_cost_weight*runningcost_factor</f>
        <v>74529.057305228824</v>
      </c>
      <c r="O71" s="18">
        <f>Table13[[#This Row],[Buying cost]]+Table13[[#This Row],[Running cost]]*Table13[[#This Row],[In_game_life]]</f>
        <v>2086813.604546407</v>
      </c>
      <c r="P71" s="18">
        <f>Table13[[#This Row],[Annual profit]]*Table13[[#This Row],[In_game_life]]-Table13[[#This Row],[Total cost]]</f>
        <v>2086813.604546407</v>
      </c>
      <c r="Q71" s="22">
        <f>Table13[[#This Row],[Buying cost]]/buying_cost_convert*10000</f>
        <v>59623.245844183053</v>
      </c>
      <c r="R71" s="22">
        <f>Table13[[#This Row],[Running cost]]/running_cost_convert*1000</f>
        <v>248430.19101742943</v>
      </c>
      <c r="S71" s="22">
        <f>ROUND(Table13[IG buying cost factor]/Table13[Range],0)</f>
        <v>120</v>
      </c>
      <c r="T71" s="22">
        <f>ROUND(Table13[IG running cost factor]/Table13[Range],0)</f>
        <v>502</v>
      </c>
      <c r="U71" s="18"/>
      <c r="V71" s="18"/>
      <c r="W71" s="18">
        <f>IFERROR(Table13[[#This Row],[in-game cost]]/Table13[[#This Row],[Newgrf cost factor]],0)</f>
        <v>0</v>
      </c>
      <c r="X71" s="18"/>
      <c r="Y71" s="18"/>
      <c r="Z71" s="18">
        <f>IFERROR(Table13[[#This Row],[in-game running]]/Table13[[#This Row],[Newgrf running factor]],0)</f>
        <v>0</v>
      </c>
      <c r="AA71" s="23">
        <f>(Table13[[#This Row],[Buying/distance]]*Table13[Range]/10000*buying_cost_convert-Table13[Buying cost])/Table13[Buying cost]</f>
        <v>-3.7442752574469388E-3</v>
      </c>
      <c r="AB71" s="23">
        <f>(Table13[Running/distance]*Table13[Range]/1000*running_cost_convert-Table13[Running cost])/Table13[Running cost]</f>
        <v>2.4074764152313375E-4</v>
      </c>
    </row>
    <row r="72" spans="1:28" hidden="1" x14ac:dyDescent="0.3">
      <c r="A72" s="11" t="s">
        <v>78</v>
      </c>
      <c r="B72">
        <v>908</v>
      </c>
      <c r="C72">
        <v>128</v>
      </c>
      <c r="D72">
        <v>755</v>
      </c>
      <c r="E72">
        <f>IF(D:D&lt;minaddmultirange,MAX(Table13[[#This Row],[Base range]],Minbaserange)*rangemultipl*rangemultiplsmalladd/10000,MAX(Table13[[#This Row],[Base range]],Minbaserange)*minaddmultirange/100)</f>
        <v>755</v>
      </c>
      <c r="F72">
        <v>30</v>
      </c>
      <c r="G72" s="9">
        <f>Table13[[#This Row],[Base range]]/((Table13[[#This Row],[Speed]]/3600*16*256)/(74*2)*24/10*2)+$AE$10</f>
        <v>34.533265504542953</v>
      </c>
      <c r="H72" s="21">
        <f>ROUNDDOWN(Table13[[#This Row],[Travel_time]]*formula_vsig_time,0)</f>
        <v>13</v>
      </c>
      <c r="I7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72" s="2">
        <f>Table13[[#This Row],[Capacity]]*Table13[[#This Row],[Range]]*payment_rate*Table13[[#This Row],[Time factor]]/2^21*GBP_to_Currency</f>
        <v>35518.270874023438</v>
      </c>
      <c r="K72" s="9">
        <f>365/Table13[[#This Row],[Travel_time]]</f>
        <v>10.569518829662465</v>
      </c>
      <c r="L72" s="2">
        <f>Table13[[#This Row],[Income per travel]]*Table13[[#This Row],[Annual travels, max]]</f>
        <v>375411.03280004265</v>
      </c>
      <c r="M72" s="2">
        <f>Table13[[#This Row],[In_game_life]]*Table13[[#This Row],[Annual profit]]*ROI____lifetime*cost_factor</f>
        <v>2815582.7460003197</v>
      </c>
      <c r="N72" s="18">
        <f>Table13[[#This Row],[Annual profit]]*Running_cost_weight*runningcost_factor</f>
        <v>93852.758200010663</v>
      </c>
      <c r="O72" s="18">
        <f>Table13[[#This Row],[Buying cost]]+Table13[[#This Row],[Running cost]]*Table13[[#This Row],[In_game_life]]</f>
        <v>5631165.4920006394</v>
      </c>
      <c r="P72" s="18">
        <f>Table13[[#This Row],[Annual profit]]*Table13[[#This Row],[In_game_life]]-Table13[[#This Row],[Total cost]]</f>
        <v>5631165.4920006394</v>
      </c>
      <c r="Q72" s="22">
        <f>Table13[[#This Row],[Buying cost]]/buying_cost_convert*10000</f>
        <v>160890.44262858969</v>
      </c>
      <c r="R72" s="22">
        <f>Table13[[#This Row],[Running cost]]/running_cost_convert*1000</f>
        <v>312842.5273333689</v>
      </c>
      <c r="S72" s="22">
        <f>ROUND(Table13[IG buying cost factor]/Table13[Range],0)</f>
        <v>213</v>
      </c>
      <c r="T72" s="22">
        <f>ROUND(Table13[IG running cost factor]/Table13[Range],0)</f>
        <v>414</v>
      </c>
      <c r="U72" s="18"/>
      <c r="V72" s="18"/>
      <c r="W72" s="18">
        <f>IFERROR(Table13[[#This Row],[in-game cost]]/Table13[[#This Row],[Newgrf cost factor]],0)</f>
        <v>0</v>
      </c>
      <c r="X72" s="18"/>
      <c r="Y72" s="18"/>
      <c r="Z72" s="18">
        <f>IFERROR(Table13[[#This Row],[in-game running]]/Table13[[#This Row],[Newgrf running factor]],0)</f>
        <v>0</v>
      </c>
      <c r="AA72" s="23">
        <f>(Table13[[#This Row],[Buying/distance]]*Table13[Range]/10000*buying_cost_convert-Table13[Buying cost])/Table13[Buying cost]</f>
        <v>-4.6890683720649391E-4</v>
      </c>
      <c r="AB72" s="23">
        <f>(Table13[Running/distance]*Table13[Range]/1000*running_cost_convert-Table13[Running cost])/Table13[Running cost]</f>
        <v>-8.7113262922361131E-4</v>
      </c>
    </row>
    <row r="73" spans="1:28" hidden="1" x14ac:dyDescent="0.3">
      <c r="A73" s="11" t="s">
        <v>79</v>
      </c>
      <c r="B73">
        <v>974</v>
      </c>
      <c r="C73">
        <v>128</v>
      </c>
      <c r="D73">
        <v>1120</v>
      </c>
      <c r="E73">
        <f>IF(D:D&lt;minaddmultirange,MAX(Table13[[#This Row],[Base range]],Minbaserange)*rangemultipl*rangemultiplsmalladd/10000,MAX(Table13[[#This Row],[Base range]],Minbaserange)*minaddmultirange/100)</f>
        <v>1120</v>
      </c>
      <c r="F73">
        <v>30</v>
      </c>
      <c r="G73" s="9">
        <f>Table13[[#This Row],[Base range]]/((Table13[[#This Row],[Speed]]/3600*16*256)/(74*2)*24/10*2)+$AE$10</f>
        <v>43.16176848049281</v>
      </c>
      <c r="H73" s="21">
        <f>ROUNDDOWN(Table13[[#This Row],[Travel_time]]*formula_vsig_time,0)</f>
        <v>17</v>
      </c>
      <c r="I7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238</v>
      </c>
      <c r="J73" s="2">
        <f>Table13[[#This Row],[Capacity]]*Table13[[#This Row],[Range]]*payment_rate*Table13[[#This Row],[Time factor]]/2^21*GBP_to_Currency</f>
        <v>51818.45703125</v>
      </c>
      <c r="K73" s="9">
        <f>365/Table13[[#This Row],[Travel_time]]</f>
        <v>8.4565580338758295</v>
      </c>
      <c r="L73" s="2">
        <f>Table13[[#This Row],[Income per travel]]*Table13[[#This Row],[Annual travels, max]]</f>
        <v>438205.78911066666</v>
      </c>
      <c r="M73" s="2">
        <f>Table13[[#This Row],[In_game_life]]*Table13[[#This Row],[Annual profit]]*ROI____lifetime*cost_factor</f>
        <v>3286543.4183299998</v>
      </c>
      <c r="N73" s="18">
        <f>Table13[[#This Row],[Annual profit]]*Running_cost_weight*runningcost_factor</f>
        <v>109551.44727766667</v>
      </c>
      <c r="O73" s="18">
        <f>Table13[[#This Row],[Buying cost]]+Table13[[#This Row],[Running cost]]*Table13[[#This Row],[In_game_life]]</f>
        <v>6573086.8366599996</v>
      </c>
      <c r="P73" s="18">
        <f>Table13[[#This Row],[Annual profit]]*Table13[[#This Row],[In_game_life]]-Table13[[#This Row],[Total cost]]</f>
        <v>6573086.8366599996</v>
      </c>
      <c r="Q73" s="22">
        <f>Table13[[#This Row],[Buying cost]]/buying_cost_convert*10000</f>
        <v>187802.48104742856</v>
      </c>
      <c r="R73" s="22">
        <f>Table13[[#This Row],[Running cost]]/running_cost_convert*1000</f>
        <v>365171.49092555552</v>
      </c>
      <c r="S73" s="22">
        <f>ROUND(Table13[IG buying cost factor]/Table13[Range],0)</f>
        <v>168</v>
      </c>
      <c r="T73" s="22">
        <f>ROUND(Table13[IG running cost factor]/Table13[Range],0)</f>
        <v>326</v>
      </c>
      <c r="U73" s="18"/>
      <c r="V73" s="18"/>
      <c r="W73" s="18">
        <f>IFERROR(Table13[[#This Row],[in-game cost]]/Table13[[#This Row],[Newgrf cost factor]],0)</f>
        <v>0</v>
      </c>
      <c r="X73" s="18"/>
      <c r="Y73" s="18"/>
      <c r="Z73" s="18">
        <f>IFERROR(Table13[[#This Row],[in-game running]]/Table13[[#This Row],[Newgrf running factor]],0)</f>
        <v>0</v>
      </c>
      <c r="AA73" s="23">
        <f>(Table13[[#This Row],[Buying/distance]]*Table13[Range]/10000*buying_cost_convert-Table13[Buying cost])/Table13[Buying cost]</f>
        <v>1.9036966422246117E-3</v>
      </c>
      <c r="AB73" s="23">
        <f>(Table13[Running/distance]*Table13[Range]/1000*running_cost_convert-Table13[Running cost])/Table13[Running cost]</f>
        <v>-1.4100477949427603E-4</v>
      </c>
    </row>
    <row r="74" spans="1:28" hidden="1" x14ac:dyDescent="0.3">
      <c r="A74" s="11" t="s">
        <v>80</v>
      </c>
      <c r="B74">
        <v>811</v>
      </c>
      <c r="C74">
        <v>130</v>
      </c>
      <c r="D74">
        <v>790</v>
      </c>
      <c r="E74">
        <f>IF(D:D&lt;minaddmultirange,MAX(Table13[[#This Row],[Base range]],Minbaserange)*rangemultipl*rangemultiplsmalladd/10000,MAX(Table13[[#This Row],[Base range]],Minbaserange)*minaddmultirange/100)</f>
        <v>790</v>
      </c>
      <c r="F74">
        <v>25</v>
      </c>
      <c r="G74" s="9">
        <f>Table13[[#This Row],[Base range]]/((Table13[[#This Row],[Speed]]/3600*16*256)/(74*2)*24/10*2)+$AE$10</f>
        <v>38.397893225955613</v>
      </c>
      <c r="H74" s="21">
        <f>ROUNDDOWN(Table13[[#This Row],[Travel_time]]*formula_vsig_time,0)</f>
        <v>15</v>
      </c>
      <c r="I7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240</v>
      </c>
      <c r="J74" s="2">
        <f>Table13[[#This Row],[Capacity]]*Table13[[#This Row],[Range]]*payment_rate*Table13[[#This Row],[Time factor]]/2^21*GBP_to_Currency</f>
        <v>37433.567047119141</v>
      </c>
      <c r="K74" s="9">
        <f>365/Table13[[#This Row],[Travel_time]]</f>
        <v>9.5057298548159128</v>
      </c>
      <c r="L74" s="2">
        <f>Table13[[#This Row],[Income per travel]]*Table13[[#This Row],[Annual travels, max]]</f>
        <v>355833.37585205358</v>
      </c>
      <c r="M74" s="2">
        <f>Table13[[#This Row],[In_game_life]]*Table13[[#This Row],[Annual profit]]*ROI____lifetime*cost_factor</f>
        <v>2223958.5990753351</v>
      </c>
      <c r="N74" s="18">
        <f>Table13[[#This Row],[Annual profit]]*Running_cost_weight*runningcost_factor</f>
        <v>88958.343963013394</v>
      </c>
      <c r="O74" s="18">
        <f>Table13[[#This Row],[Buying cost]]+Table13[[#This Row],[Running cost]]*Table13[[#This Row],[In_game_life]]</f>
        <v>4447917.1981506702</v>
      </c>
      <c r="P74" s="18">
        <f>Table13[[#This Row],[Annual profit]]*Table13[[#This Row],[In_game_life]]-Table13[[#This Row],[Total cost]]</f>
        <v>4447917.1981506702</v>
      </c>
      <c r="Q74" s="22">
        <f>Table13[[#This Row],[Buying cost]]/buying_cost_convert*10000</f>
        <v>127083.34851859057</v>
      </c>
      <c r="R74" s="22">
        <f>Table13[[#This Row],[Running cost]]/running_cost_convert*1000</f>
        <v>296527.81321004464</v>
      </c>
      <c r="S74" s="22">
        <f>ROUND(Table13[IG buying cost factor]/Table13[Range],0)</f>
        <v>161</v>
      </c>
      <c r="T74" s="22">
        <f>ROUND(Table13[IG running cost factor]/Table13[Range],0)</f>
        <v>375</v>
      </c>
      <c r="U74" s="18"/>
      <c r="V74" s="18"/>
      <c r="W74" s="18">
        <f>IFERROR(Table13[[#This Row],[in-game cost]]/Table13[[#This Row],[Newgrf cost factor]],0)</f>
        <v>0</v>
      </c>
      <c r="X74" s="18"/>
      <c r="Y74" s="18"/>
      <c r="Z74" s="18">
        <f>IFERROR(Table13[[#This Row],[in-game running]]/Table13[[#This Row],[Newgrf running factor]],0)</f>
        <v>0</v>
      </c>
      <c r="AA74" s="23">
        <f>(Table13[[#This Row],[Buying/distance]]*Table13[Range]/10000*buying_cost_convert-Table13[Buying cost])/Table13[Buying cost]</f>
        <v>8.3922467146687154E-4</v>
      </c>
      <c r="AB74" s="23">
        <f>(Table13[Running/distance]*Table13[Range]/1000*running_cost_convert-Table13[Running cost])/Table13[Running cost]</f>
        <v>-9.3688752848239485E-4</v>
      </c>
    </row>
    <row r="75" spans="1:28" hidden="1" x14ac:dyDescent="0.3">
      <c r="A75" s="11" t="s">
        <v>81</v>
      </c>
      <c r="B75">
        <v>1003</v>
      </c>
      <c r="C75">
        <v>131</v>
      </c>
      <c r="D75">
        <v>950</v>
      </c>
      <c r="E75">
        <f>IF(D:D&lt;minaddmultirange,MAX(Table13[[#This Row],[Base range]],Minbaserange)*rangemultipl*rangemultiplsmalladd/10000,MAX(Table13[[#This Row],[Base range]],Minbaserange)*minaddmultirange/100)</f>
        <v>950</v>
      </c>
      <c r="F75">
        <v>20</v>
      </c>
      <c r="G75" s="9">
        <f>Table13[[#This Row],[Base range]]/((Table13[[#This Row],[Speed]]/3600*16*256)/(74*2)*24/10*2)+$AE$10</f>
        <v>37.6676260281655</v>
      </c>
      <c r="H75" s="21">
        <f>ROUNDDOWN(Table13[[#This Row],[Travel_time]]*formula_vsig_time,0)</f>
        <v>15</v>
      </c>
      <c r="I7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240</v>
      </c>
      <c r="J75" s="2">
        <f>Table13[[#This Row],[Capacity]]*Table13[[#This Row],[Range]]*payment_rate*Table13[[#This Row],[Time factor]]/2^21*GBP_to_Currency</f>
        <v>45361.318588256836</v>
      </c>
      <c r="K75" s="9">
        <f>365/Table13[[#This Row],[Travel_time]]</f>
        <v>9.6900186841367653</v>
      </c>
      <c r="L75" s="2">
        <f>Table13[[#This Row],[Income per travel]]*Table13[[#This Row],[Annual travels, max]]</f>
        <v>439552.02465728909</v>
      </c>
      <c r="M75" s="2">
        <f>Table13[[#This Row],[In_game_life]]*Table13[[#This Row],[Annual profit]]*ROI____lifetime*cost_factor</f>
        <v>2197760.1232864456</v>
      </c>
      <c r="N75" s="18">
        <f>Table13[[#This Row],[Annual profit]]*Running_cost_weight*runningcost_factor</f>
        <v>109888.00616432227</v>
      </c>
      <c r="O75" s="18">
        <f>Table13[[#This Row],[Buying cost]]+Table13[[#This Row],[Running cost]]*Table13[[#This Row],[In_game_life]]</f>
        <v>4395520.2465728913</v>
      </c>
      <c r="P75" s="18">
        <f>Table13[[#This Row],[Annual profit]]*Table13[[#This Row],[In_game_life]]-Table13[[#This Row],[Total cost]]</f>
        <v>4395520.2465728913</v>
      </c>
      <c r="Q75" s="22">
        <f>Table13[[#This Row],[Buying cost]]/buying_cost_convert*10000</f>
        <v>125586.29275922547</v>
      </c>
      <c r="R75" s="22">
        <f>Table13[[#This Row],[Running cost]]/running_cost_convert*1000</f>
        <v>366293.35388107429</v>
      </c>
      <c r="S75" s="22">
        <f>ROUND(Table13[IG buying cost factor]/Table13[Range],0)</f>
        <v>132</v>
      </c>
      <c r="T75" s="22">
        <f>ROUND(Table13[IG running cost factor]/Table13[Range],0)</f>
        <v>386</v>
      </c>
      <c r="U75" s="18"/>
      <c r="V75" s="18"/>
      <c r="W75" s="18">
        <f>IFERROR(Table13[[#This Row],[in-game cost]]/Table13[[#This Row],[Newgrf cost factor]],0)</f>
        <v>0</v>
      </c>
      <c r="X75" s="18"/>
      <c r="Y75" s="18"/>
      <c r="Z75" s="18">
        <f>IFERROR(Table13[[#This Row],[in-game running]]/Table13[[#This Row],[Newgrf running factor]],0)</f>
        <v>0</v>
      </c>
      <c r="AA75" s="23">
        <f>(Table13[[#This Row],[Buying/distance]]*Table13[Range]/10000*buying_cost_convert-Table13[Buying cost])/Table13[Buying cost]</f>
        <v>-1.4833844931040803E-3</v>
      </c>
      <c r="AB75" s="23">
        <f>(Table13[Running/distance]*Table13[Range]/1000*running_cost_convert-Table13[Running cost])/Table13[Running cost]</f>
        <v>1.1101651575632615E-3</v>
      </c>
    </row>
    <row r="76" spans="1:28" hidden="1" x14ac:dyDescent="0.3">
      <c r="A76" s="11" t="s">
        <v>82</v>
      </c>
      <c r="B76">
        <v>925</v>
      </c>
      <c r="C76">
        <v>135</v>
      </c>
      <c r="D76">
        <v>600</v>
      </c>
      <c r="E76">
        <f>IF(D:D&lt;minaddmultirange,MAX(Table13[[#This Row],[Base range]],Minbaserange)*rangemultipl*rangemultiplsmalladd/10000,MAX(Table13[[#This Row],[Base range]],Minbaserange)*minaddmultirange/100)</f>
        <v>600</v>
      </c>
      <c r="F76">
        <v>30</v>
      </c>
      <c r="G76" s="9">
        <f>Table13[[#This Row],[Base range]]/((Table13[[#This Row],[Speed]]/3600*16*256)/(74*2)*24/10*2)+$AE$10</f>
        <v>29.578125</v>
      </c>
      <c r="H76" s="21">
        <f>ROUNDDOWN(Table13[[#This Row],[Travel_time]]*formula_vsig_time,0)</f>
        <v>11</v>
      </c>
      <c r="I7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76" s="2">
        <f>Table13[[#This Row],[Capacity]]*Table13[[#This Row],[Range]]*payment_rate*Table13[[#This Row],[Time factor]]/2^21*GBP_to_Currency</f>
        <v>30016.107559204102</v>
      </c>
      <c r="K76" s="9">
        <f>365/Table13[[#This Row],[Travel_time]]</f>
        <v>12.340200739566825</v>
      </c>
      <c r="L76" s="2">
        <f>Table13[[#This Row],[Income per travel]]*Table13[[#This Row],[Annual travels, max]]</f>
        <v>370404.7927010078</v>
      </c>
      <c r="M76" s="2">
        <f>Table13[[#This Row],[In_game_life]]*Table13[[#This Row],[Annual profit]]*ROI____lifetime*cost_factor</f>
        <v>2778035.9452575585</v>
      </c>
      <c r="N76" s="18">
        <f>Table13[[#This Row],[Annual profit]]*Running_cost_weight*runningcost_factor</f>
        <v>92601.19817525195</v>
      </c>
      <c r="O76" s="18">
        <f>Table13[[#This Row],[Buying cost]]+Table13[[#This Row],[Running cost]]*Table13[[#This Row],[In_game_life]]</f>
        <v>5556071.890515117</v>
      </c>
      <c r="P76" s="18">
        <f>Table13[[#This Row],[Annual profit]]*Table13[[#This Row],[In_game_life]]-Table13[[#This Row],[Total cost]]</f>
        <v>5556071.890515117</v>
      </c>
      <c r="Q76" s="22">
        <f>Table13[[#This Row],[Buying cost]]/buying_cost_convert*10000</f>
        <v>158744.91115757477</v>
      </c>
      <c r="R76" s="22">
        <f>Table13[[#This Row],[Running cost]]/running_cost_convert*1000</f>
        <v>308670.66058417317</v>
      </c>
      <c r="S76" s="22">
        <f>ROUND(Table13[IG buying cost factor]/Table13[Range],0)</f>
        <v>265</v>
      </c>
      <c r="T76" s="22">
        <f>ROUND(Table13[IG running cost factor]/Table13[Range],0)</f>
        <v>514</v>
      </c>
      <c r="U76" s="18"/>
      <c r="V76" s="18"/>
      <c r="W76" s="18">
        <f>IFERROR(Table13[[#This Row],[in-game cost]]/Table13[[#This Row],[Newgrf cost factor]],0)</f>
        <v>0</v>
      </c>
      <c r="X76" s="18"/>
      <c r="Y76" s="18"/>
      <c r="Z76" s="18">
        <f>IFERROR(Table13[[#This Row],[in-game running]]/Table13[[#This Row],[Newgrf running factor]],0)</f>
        <v>0</v>
      </c>
      <c r="AA76" s="23">
        <f>(Table13[[#This Row],[Buying/distance]]*Table13[Range]/10000*buying_cost_convert-Table13[Buying cost])/Table13[Buying cost]</f>
        <v>1.6069103605596577E-3</v>
      </c>
      <c r="AB76" s="23">
        <f>(Table13[Running/distance]*Table13[Range]/1000*running_cost_convert-Table13[Running cost])/Table13[Running cost]</f>
        <v>-8.768587972077679E-4</v>
      </c>
    </row>
    <row r="77" spans="1:28" hidden="1" x14ac:dyDescent="0.3">
      <c r="A77" s="10" t="s">
        <v>83</v>
      </c>
      <c r="B77">
        <v>833</v>
      </c>
      <c r="C77">
        <v>140</v>
      </c>
      <c r="D77">
        <v>1250</v>
      </c>
      <c r="E77">
        <f>IF(D:D&lt;minaddmultirange,MAX(Table13[[#This Row],[Base range]],Minbaserange)*rangemultipl*rangemultiplsmalladd/10000,MAX(Table13[[#This Row],[Base range]],Minbaserange)*minaddmultirange/100)</f>
        <v>1250</v>
      </c>
      <c r="F77">
        <v>30</v>
      </c>
      <c r="G77" s="9">
        <f>Table13[[#This Row],[Base range]]/((Table13[[#This Row],[Speed]]/3600*16*256)/(74*2)*24/10*2)+$AE$10</f>
        <v>52.665680334633855</v>
      </c>
      <c r="H77" s="21">
        <f>ROUNDDOWN(Table13[[#This Row],[Travel_time]]*formula_vsig_time,0)</f>
        <v>21</v>
      </c>
      <c r="I7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234</v>
      </c>
      <c r="J77" s="2">
        <f>Table13[[#This Row],[Capacity]]*Table13[[#This Row],[Range]]*payment_rate*Table13[[#This Row],[Time factor]]/2^21*GBP_to_Currency</f>
        <v>62191.84398651123</v>
      </c>
      <c r="K77" s="9">
        <f>365/Table13[[#This Row],[Travel_time]]</f>
        <v>6.9305095401942376</v>
      </c>
      <c r="L77" s="2">
        <f>Table13[[#This Row],[Income per travel]]*Table13[[#This Row],[Annual travels, max]]</f>
        <v>431021.16807078768</v>
      </c>
      <c r="M77" s="2">
        <f>Table13[[#This Row],[In_game_life]]*Table13[[#This Row],[Annual profit]]*ROI____lifetime*cost_factor</f>
        <v>3232658.7605309077</v>
      </c>
      <c r="N77" s="18">
        <f>Table13[[#This Row],[Annual profit]]*Running_cost_weight*runningcost_factor</f>
        <v>107755.29201769692</v>
      </c>
      <c r="O77" s="18">
        <f>Table13[[#This Row],[Buying cost]]+Table13[[#This Row],[Running cost]]*Table13[[#This Row],[In_game_life]]</f>
        <v>6465317.5210618153</v>
      </c>
      <c r="P77" s="18">
        <f>Table13[[#This Row],[Annual profit]]*Table13[[#This Row],[In_game_life]]-Table13[[#This Row],[Total cost]]</f>
        <v>6465317.5210618153</v>
      </c>
      <c r="Q77" s="22">
        <f>Table13[[#This Row],[Buying cost]]/buying_cost_convert*10000</f>
        <v>184723.3577446233</v>
      </c>
      <c r="R77" s="22">
        <f>Table13[[#This Row],[Running cost]]/running_cost_convert*1000</f>
        <v>359184.30672565644</v>
      </c>
      <c r="S77" s="22">
        <f>ROUND(Table13[IG buying cost factor]/Table13[Range],0)</f>
        <v>148</v>
      </c>
      <c r="T77" s="22">
        <f>ROUND(Table13[IG running cost factor]/Table13[Range],0)</f>
        <v>287</v>
      </c>
      <c r="U77" s="18"/>
      <c r="V77" s="18"/>
      <c r="W77" s="18">
        <f>IFERROR(Table13[[#This Row],[in-game cost]]/Table13[[#This Row],[Newgrf cost factor]],0)</f>
        <v>0</v>
      </c>
      <c r="X77" s="18"/>
      <c r="Y77" s="18"/>
      <c r="Z77" s="18">
        <f>IFERROR(Table13[[#This Row],[in-game running]]/Table13[[#This Row],[Newgrf running factor]],0)</f>
        <v>0</v>
      </c>
      <c r="AA77" s="23">
        <f>(Table13[[#This Row],[Buying/distance]]*Table13[Range]/10000*buying_cost_convert-Table13[Buying cost])/Table13[Buying cost]</f>
        <v>1.497603003509486E-3</v>
      </c>
      <c r="AB77" s="23">
        <f>(Table13[Running/distance]*Table13[Range]/1000*running_cost_convert-Table13[Running cost])/Table13[Running cost]</f>
        <v>-1.2091472748783595E-3</v>
      </c>
    </row>
    <row r="78" spans="1:28" hidden="1" x14ac:dyDescent="0.3">
      <c r="A78" s="11" t="s">
        <v>84</v>
      </c>
      <c r="B78">
        <v>1011</v>
      </c>
      <c r="C78">
        <v>140</v>
      </c>
      <c r="D78">
        <v>1420</v>
      </c>
      <c r="E78">
        <f>IF(D:D&lt;minaddmultirange,MAX(Table13[[#This Row],[Base range]],Minbaserange)*rangemultipl*rangemultiplsmalladd/10000,MAX(Table13[[#This Row],[Base range]],Minbaserange)*minaddmultirange/100)</f>
        <v>1420</v>
      </c>
      <c r="F78">
        <v>30</v>
      </c>
      <c r="G78" s="9">
        <f>Table13[[#This Row],[Base range]]/((Table13[[#This Row],[Speed]]/3600*16*256)/(74*2)*24/10*2)+$AE$10</f>
        <v>50.062755007418396</v>
      </c>
      <c r="H78" s="21">
        <f>ROUNDDOWN(Table13[[#This Row],[Travel_time]]*formula_vsig_time,0)</f>
        <v>20</v>
      </c>
      <c r="I7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235</v>
      </c>
      <c r="J78" s="2">
        <f>Table13[[#This Row],[Capacity]]*Table13[[#This Row],[Range]]*payment_rate*Table13[[#This Row],[Time factor]]/2^21*GBP_to_Currency</f>
        <v>70951.857566833496</v>
      </c>
      <c r="K78" s="9">
        <f>365/Table13[[#This Row],[Travel_time]]</f>
        <v>7.2908492540195518</v>
      </c>
      <c r="L78" s="2">
        <f>Table13[[#This Row],[Income per travel]]*Table13[[#This Row],[Annual travels, max]]</f>
        <v>517299.29781244945</v>
      </c>
      <c r="M78" s="2">
        <f>Table13[[#This Row],[In_game_life]]*Table13[[#This Row],[Annual profit]]*ROI____lifetime*cost_factor</f>
        <v>3879744.7335933708</v>
      </c>
      <c r="N78" s="18">
        <f>Table13[[#This Row],[Annual profit]]*Running_cost_weight*runningcost_factor</f>
        <v>129324.82445311236</v>
      </c>
      <c r="O78" s="18">
        <f>Table13[[#This Row],[Buying cost]]+Table13[[#This Row],[Running cost]]*Table13[[#This Row],[In_game_life]]</f>
        <v>7759489.4671867415</v>
      </c>
      <c r="P78" s="18">
        <f>Table13[[#This Row],[Annual profit]]*Table13[[#This Row],[In_game_life]]-Table13[[#This Row],[Total cost]]</f>
        <v>7759489.4671867415</v>
      </c>
      <c r="Q78" s="22">
        <f>Table13[[#This Row],[Buying cost]]/buying_cost_convert*10000</f>
        <v>221699.69906247832</v>
      </c>
      <c r="R78" s="22">
        <f>Table13[[#This Row],[Running cost]]/running_cost_convert*1000</f>
        <v>431082.74817704118</v>
      </c>
      <c r="S78" s="22">
        <f>ROUND(Table13[IG buying cost factor]/Table13[Range],0)</f>
        <v>156</v>
      </c>
      <c r="T78" s="22">
        <f>ROUND(Table13[IG running cost factor]/Table13[Range],0)</f>
        <v>304</v>
      </c>
      <c r="U78" s="18"/>
      <c r="V78" s="18"/>
      <c r="W78" s="18">
        <f>IFERROR(Table13[[#This Row],[in-game cost]]/Table13[[#This Row],[Newgrf cost factor]],0)</f>
        <v>0</v>
      </c>
      <c r="X78" s="18"/>
      <c r="Y78" s="18"/>
      <c r="Z78" s="18">
        <f>IFERROR(Table13[[#This Row],[in-game running]]/Table13[[#This Row],[Newgrf running factor]],0)</f>
        <v>0</v>
      </c>
      <c r="AA78" s="23">
        <f>(Table13[[#This Row],[Buying/distance]]*Table13[Range]/10000*buying_cost_convert-Table13[Buying cost])/Table13[Buying cost]</f>
        <v>-8.105516752536842E-4</v>
      </c>
      <c r="AB78" s="23">
        <f>(Table13[Running/distance]*Table13[Range]/1000*running_cost_convert-Table13[Running cost])/Table13[Running cost]</f>
        <v>1.3854690902951711E-3</v>
      </c>
    </row>
    <row r="79" spans="1:28" hidden="1" x14ac:dyDescent="0.3">
      <c r="A79" s="14" t="s">
        <v>85</v>
      </c>
      <c r="B79">
        <v>2300</v>
      </c>
      <c r="C79">
        <v>150</v>
      </c>
      <c r="D79">
        <v>1230</v>
      </c>
      <c r="E79">
        <f>IF(D:D&lt;minaddmultirange,MAX(Table13[[#This Row],[Base range]],Minbaserange)*rangemultipl*rangemultiplsmalladd/10000,MAX(Table13[[#This Row],[Base range]],Minbaserange)*minaddmultirange/100)</f>
        <v>1230</v>
      </c>
      <c r="F79">
        <v>20</v>
      </c>
      <c r="G79" s="9">
        <f>Table13[[#This Row],[Base range]]/((Table13[[#This Row],[Speed]]/3600*16*256)/(74*2)*24/10*2)+$AE$10</f>
        <v>26.492399796195652</v>
      </c>
      <c r="H79" s="21">
        <f>ROUNDDOWN(Table13[[#This Row],[Travel_time]]*formula_vsig_time,0)</f>
        <v>10</v>
      </c>
      <c r="I7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245</v>
      </c>
      <c r="J79" s="2">
        <f>Table13[[#This Row],[Capacity]]*Table13[[#This Row],[Range]]*payment_rate*Table13[[#This Row],[Time factor]]/2^21*GBP_to_Currency</f>
        <v>68650.227785110474</v>
      </c>
      <c r="K79" s="9">
        <f>365/Table13[[#This Row],[Travel_time]]</f>
        <v>13.777536305050573</v>
      </c>
      <c r="L79" s="2">
        <f>Table13[[#This Row],[Income per travel]]*Table13[[#This Row],[Annual travels, max]]</f>
        <v>945831.00565935113</v>
      </c>
      <c r="M79" s="2">
        <f>Table13[[#This Row],[In_game_life]]*Table13[[#This Row],[Annual profit]]*ROI____lifetime*cost_factor</f>
        <v>4729155.0282967556</v>
      </c>
      <c r="N79" s="18">
        <f>Table13[[#This Row],[Annual profit]]*Running_cost_weight*runningcost_factor</f>
        <v>236457.75141483778</v>
      </c>
      <c r="O79" s="18">
        <f>Table13[[#This Row],[Buying cost]]+Table13[[#This Row],[Running cost]]*Table13[[#This Row],[In_game_life]]</f>
        <v>9458310.0565935113</v>
      </c>
      <c r="P79" s="18">
        <f>Table13[[#This Row],[Annual profit]]*Table13[[#This Row],[In_game_life]]-Table13[[#This Row],[Total cost]]</f>
        <v>9458310.0565935113</v>
      </c>
      <c r="Q79" s="22">
        <f>Table13[[#This Row],[Buying cost]]/buying_cost_convert*10000</f>
        <v>270237.43018838606</v>
      </c>
      <c r="R79" s="22">
        <f>Table13[[#This Row],[Running cost]]/running_cost_convert*1000</f>
        <v>788192.5047161259</v>
      </c>
      <c r="S79" s="22">
        <f>ROUND(Table13[IG buying cost factor]/Table13[Range],0)</f>
        <v>220</v>
      </c>
      <c r="T79" s="22">
        <f>ROUND(Table13[IG running cost factor]/Table13[Range],0)</f>
        <v>641</v>
      </c>
      <c r="U79" s="18"/>
      <c r="V79" s="18"/>
      <c r="W79" s="18">
        <f>IFERROR(Table13[[#This Row],[in-game cost]]/Table13[[#This Row],[Newgrf cost factor]],0)</f>
        <v>0</v>
      </c>
      <c r="X79" s="18"/>
      <c r="Y79" s="18"/>
      <c r="Z79" s="18">
        <f>IFERROR(Table13[[#This Row],[in-game running]]/Table13[[#This Row],[Newgrf running factor]],0)</f>
        <v>0</v>
      </c>
      <c r="AA79" s="23">
        <f>(Table13[[#This Row],[Buying/distance]]*Table13[Range]/10000*buying_cost_convert-Table13[Buying cost])/Table13[Buying cost]</f>
        <v>1.3416713271777786E-3</v>
      </c>
      <c r="AB79" s="23">
        <f>(Table13[Running/distance]*Table13[Range]/1000*running_cost_convert-Table13[Running cost])/Table13[Running cost]</f>
        <v>3.0131634398058771E-4</v>
      </c>
    </row>
    <row r="80" spans="1:28" hidden="1" x14ac:dyDescent="0.3">
      <c r="A80" s="11" t="s">
        <v>86</v>
      </c>
      <c r="B80">
        <v>916</v>
      </c>
      <c r="C80">
        <v>146</v>
      </c>
      <c r="D80">
        <v>755</v>
      </c>
      <c r="E80">
        <f>IF(D:D&lt;minaddmultirange,MAX(Table13[[#This Row],[Base range]],Minbaserange)*rangemultipl*rangemultiplsmalladd/10000,MAX(Table13[[#This Row],[Base range]],Minbaserange)*minaddmultirange/100)</f>
        <v>755</v>
      </c>
      <c r="F80">
        <v>30</v>
      </c>
      <c r="G80" s="9">
        <f>Table13[[#This Row],[Base range]]/((Table13[[#This Row],[Speed]]/3600*16*256)/(74*2)*24/10*2)+$AE$10</f>
        <v>34.336468425900655</v>
      </c>
      <c r="H80" s="21">
        <f>ROUNDDOWN(Table13[[#This Row],[Travel_time]]*formula_vsig_time,0)</f>
        <v>13</v>
      </c>
      <c r="I8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80" s="2">
        <f>Table13[[#This Row],[Capacity]]*Table13[[#This Row],[Range]]*payment_rate*Table13[[#This Row],[Time factor]]/2^21*GBP_to_Currency</f>
        <v>40513.027715682983</v>
      </c>
      <c r="K80" s="9">
        <f>365/Table13[[#This Row],[Travel_time]]</f>
        <v>10.630097291096877</v>
      </c>
      <c r="L80" s="2">
        <f>Table13[[#This Row],[Income per travel]]*Table13[[#This Row],[Annual travels, max]]</f>
        <v>430657.4261746144</v>
      </c>
      <c r="M80" s="2">
        <f>Table13[[#This Row],[In_game_life]]*Table13[[#This Row],[Annual profit]]*ROI____lifetime*cost_factor</f>
        <v>3229930.6963096079</v>
      </c>
      <c r="N80" s="18">
        <f>Table13[[#This Row],[Annual profit]]*Running_cost_weight*runningcost_factor</f>
        <v>107664.3565436536</v>
      </c>
      <c r="O80" s="18">
        <f>Table13[[#This Row],[Buying cost]]+Table13[[#This Row],[Running cost]]*Table13[[#This Row],[In_game_life]]</f>
        <v>6459861.3926192159</v>
      </c>
      <c r="P80" s="18">
        <f>Table13[[#This Row],[Annual profit]]*Table13[[#This Row],[In_game_life]]-Table13[[#This Row],[Total cost]]</f>
        <v>6459861.3926192159</v>
      </c>
      <c r="Q80" s="22">
        <f>Table13[[#This Row],[Buying cost]]/buying_cost_convert*10000</f>
        <v>184567.46836054904</v>
      </c>
      <c r="R80" s="22">
        <f>Table13[[#This Row],[Running cost]]/running_cost_convert*1000</f>
        <v>358881.18847884535</v>
      </c>
      <c r="S80" s="22">
        <f>ROUND(Table13[IG buying cost factor]/Table13[Range],0)</f>
        <v>244</v>
      </c>
      <c r="T80" s="22">
        <f>ROUND(Table13[IG running cost factor]/Table13[Range],0)</f>
        <v>475</v>
      </c>
      <c r="U80" s="18"/>
      <c r="V80" s="18"/>
      <c r="W80" s="18">
        <f>IFERROR(Table13[[#This Row],[in-game cost]]/Table13[[#This Row],[Newgrf cost factor]],0)</f>
        <v>0</v>
      </c>
      <c r="X80" s="18"/>
      <c r="Y80" s="18"/>
      <c r="Z80" s="18">
        <f>IFERROR(Table13[[#This Row],[in-game running]]/Table13[[#This Row],[Newgrf running factor]],0)</f>
        <v>0</v>
      </c>
      <c r="AA80" s="23">
        <f>(Table13[[#This Row],[Buying/distance]]*Table13[Range]/10000*buying_cost_convert-Table13[Buying cost])/Table13[Buying cost]</f>
        <v>-1.882608910635608E-3</v>
      </c>
      <c r="AB80" s="23">
        <f>(Table13[Running/distance]*Table13[Range]/1000*running_cost_convert-Table13[Running cost])/Table13[Running cost]</f>
        <v>-7.138531833647165E-4</v>
      </c>
    </row>
    <row r="81" spans="1:28" hidden="1" x14ac:dyDescent="0.3">
      <c r="A81" s="11" t="s">
        <v>87</v>
      </c>
      <c r="B81">
        <v>1003</v>
      </c>
      <c r="C81">
        <v>147</v>
      </c>
      <c r="D81">
        <v>1155</v>
      </c>
      <c r="E81">
        <f>IF(D:D&lt;minaddmultirange,MAX(Table13[[#This Row],[Base range]],Minbaserange)*rangemultipl*rangemultiplsmalladd/10000,MAX(Table13[[#This Row],[Base range]],Minbaserange)*minaddmultirange/100)</f>
        <v>1155</v>
      </c>
      <c r="F81">
        <v>25</v>
      </c>
      <c r="G81" s="9">
        <f>Table13[[#This Row],[Base range]]/((Table13[[#This Row],[Speed]]/3600*16*256)/(74*2)*24/10*2)+$AE$10</f>
        <v>43.20642953950648</v>
      </c>
      <c r="H81" s="21">
        <f>ROUNDDOWN(Table13[[#This Row],[Travel_time]]*formula_vsig_time,0)</f>
        <v>17</v>
      </c>
      <c r="I8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238</v>
      </c>
      <c r="J81" s="2">
        <f>Table13[[#This Row],[Capacity]]*Table13[[#This Row],[Range]]*payment_rate*Table13[[#This Row],[Time factor]]/2^21*GBP_to_Currency</f>
        <v>61369.95484828949</v>
      </c>
      <c r="K81" s="9">
        <f>365/Table13[[#This Row],[Travel_time]]</f>
        <v>8.4478167691745156</v>
      </c>
      <c r="L81" s="2">
        <f>Table13[[#This Row],[Income per travel]]*Table13[[#This Row],[Annual travels, max]]</f>
        <v>518442.1336908628</v>
      </c>
      <c r="M81" s="2">
        <f>Table13[[#This Row],[In_game_life]]*Table13[[#This Row],[Annual profit]]*ROI____lifetime*cost_factor</f>
        <v>3240263.3355678925</v>
      </c>
      <c r="N81" s="18">
        <f>Table13[[#This Row],[Annual profit]]*Running_cost_weight*runningcost_factor</f>
        <v>129610.5334227157</v>
      </c>
      <c r="O81" s="18">
        <f>Table13[[#This Row],[Buying cost]]+Table13[[#This Row],[Running cost]]*Table13[[#This Row],[In_game_life]]</f>
        <v>6480526.6711357851</v>
      </c>
      <c r="P81" s="18">
        <f>Table13[[#This Row],[Annual profit]]*Table13[[#This Row],[In_game_life]]-Table13[[#This Row],[Total cost]]</f>
        <v>6480526.6711357851</v>
      </c>
      <c r="Q81" s="22">
        <f>Table13[[#This Row],[Buying cost]]/buying_cost_convert*10000</f>
        <v>185157.90488959386</v>
      </c>
      <c r="R81" s="22">
        <f>Table13[[#This Row],[Running cost]]/running_cost_convert*1000</f>
        <v>432035.11140905233</v>
      </c>
      <c r="S81" s="22">
        <f>ROUND(Table13[IG buying cost factor]/Table13[Range],0)</f>
        <v>160</v>
      </c>
      <c r="T81" s="22">
        <f>ROUND(Table13[IG running cost factor]/Table13[Range],0)</f>
        <v>374</v>
      </c>
      <c r="U81" s="18"/>
      <c r="V81" s="18"/>
      <c r="W81" s="18">
        <f>IFERROR(Table13[[#This Row],[in-game cost]]/Table13[[#This Row],[Newgrf cost factor]],0)</f>
        <v>0</v>
      </c>
      <c r="X81" s="18"/>
      <c r="Y81" s="18"/>
      <c r="Z81" s="18">
        <f>IFERROR(Table13[[#This Row],[in-game running]]/Table13[[#This Row],[Newgrf running factor]],0)</f>
        <v>0</v>
      </c>
      <c r="AA81" s="23">
        <f>(Table13[[#This Row],[Buying/distance]]*Table13[Range]/10000*buying_cost_convert-Table13[Buying cost])/Table13[Buying cost]</f>
        <v>-1.9329711567392745E-3</v>
      </c>
      <c r="AB81" s="23">
        <f>(Table13[Running/distance]*Table13[Range]/1000*running_cost_convert-Table13[Running cost])/Table13[Running cost]</f>
        <v>-1.5070860523333049E-4</v>
      </c>
    </row>
    <row r="82" spans="1:28" hidden="1" x14ac:dyDescent="0.3">
      <c r="A82" s="11" t="s">
        <v>88</v>
      </c>
      <c r="B82">
        <v>1011</v>
      </c>
      <c r="C82">
        <v>149</v>
      </c>
      <c r="D82">
        <v>1960</v>
      </c>
      <c r="E82">
        <f>IF(D:D&lt;minaddmultirange,MAX(Table13[[#This Row],[Base range]],Minbaserange)*rangemultipl*rangemultiplsmalladd/10000,MAX(Table13[[#This Row],[Base range]],Minbaserange)*minaddmultirange/100)</f>
        <v>1960</v>
      </c>
      <c r="F82">
        <v>30</v>
      </c>
      <c r="G82" s="9">
        <f>Table13[[#This Row],[Base range]]/((Table13[[#This Row],[Speed]]/3600*16*256)/(74*2)*24/10*2)+$AE$10</f>
        <v>64.537323813056389</v>
      </c>
      <c r="H82" s="21">
        <f>ROUNDDOWN(Table13[[#This Row],[Travel_time]]*formula_vsig_time,0)</f>
        <v>25</v>
      </c>
      <c r="I8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229</v>
      </c>
      <c r="J82" s="2">
        <f>Table13[[#This Row],[Capacity]]*Table13[[#This Row],[Range]]*payment_rate*Table13[[#This Row],[Time factor]]/2^21*GBP_to_Currency</f>
        <v>101568.10503005981</v>
      </c>
      <c r="K82" s="9">
        <f>365/Table13[[#This Row],[Travel_time]]</f>
        <v>5.655642013562356</v>
      </c>
      <c r="L82" s="2">
        <f>Table13[[#This Row],[Income per travel]]*Table13[[#This Row],[Annual travels, max]]</f>
        <v>574432.84204592032</v>
      </c>
      <c r="M82" s="2">
        <f>Table13[[#This Row],[In_game_life]]*Table13[[#This Row],[Annual profit]]*ROI____lifetime*cost_factor</f>
        <v>4308246.3153444026</v>
      </c>
      <c r="N82" s="18">
        <f>Table13[[#This Row],[Annual profit]]*Running_cost_weight*runningcost_factor</f>
        <v>143608.21051148008</v>
      </c>
      <c r="O82" s="18">
        <f>Table13[[#This Row],[Buying cost]]+Table13[[#This Row],[Running cost]]*Table13[[#This Row],[In_game_life]]</f>
        <v>8616492.6306888051</v>
      </c>
      <c r="P82" s="18">
        <f>Table13[[#This Row],[Annual profit]]*Table13[[#This Row],[In_game_life]]-Table13[[#This Row],[Total cost]]</f>
        <v>8616492.6306888051</v>
      </c>
      <c r="Q82" s="22">
        <f>Table13[[#This Row],[Buying cost]]/buying_cost_convert*10000</f>
        <v>246185.50373396586</v>
      </c>
      <c r="R82" s="22">
        <f>Table13[[#This Row],[Running cost]]/running_cost_convert*1000</f>
        <v>478694.03503826691</v>
      </c>
      <c r="S82" s="22">
        <f>ROUND(Table13[IG buying cost factor]/Table13[Range],0)</f>
        <v>126</v>
      </c>
      <c r="T82" s="22">
        <f>ROUND(Table13[IG running cost factor]/Table13[Range],0)</f>
        <v>244</v>
      </c>
      <c r="U82" s="18"/>
      <c r="V82" s="18"/>
      <c r="W82" s="18">
        <f>IFERROR(Table13[[#This Row],[in-game cost]]/Table13[[#This Row],[Newgrf cost factor]],0)</f>
        <v>0</v>
      </c>
      <c r="X82" s="18"/>
      <c r="Y82" s="18"/>
      <c r="Z82" s="18">
        <f>IFERROR(Table13[[#This Row],[in-game running]]/Table13[[#This Row],[Newgrf running factor]],0)</f>
        <v>0</v>
      </c>
      <c r="AA82" s="23">
        <f>(Table13[[#This Row],[Buying/distance]]*Table13[Range]/10000*buying_cost_convert-Table13[Buying cost])/Table13[Buying cost]</f>
        <v>3.1459864788427141E-3</v>
      </c>
      <c r="AB82" s="23">
        <f>(Table13[Running/distance]*Table13[Range]/1000*running_cost_convert-Table13[Running cost])/Table13[Running cost]</f>
        <v>-9.484869353566036E-4</v>
      </c>
    </row>
    <row r="83" spans="1:28" x14ac:dyDescent="0.3">
      <c r="A83" s="11" t="s">
        <v>89</v>
      </c>
      <c r="B83">
        <v>890</v>
      </c>
      <c r="C83">
        <v>150</v>
      </c>
      <c r="D83">
        <v>980</v>
      </c>
      <c r="E83">
        <f>IF(D:D&lt;minaddmultirange,MAX(Table13[[#This Row],[Base range]],Minbaserange)*rangemultipl*rangemultiplsmalladd/10000,MAX(Table13[[#This Row],[Base range]],Minbaserange)*minaddmultirange/100)</f>
        <v>980</v>
      </c>
      <c r="F83">
        <v>18</v>
      </c>
      <c r="G83" s="9">
        <f>Table13[[#This Row],[Base range]]/((Table13[[#This Row],[Speed]]/3600*16*256)/(74*2)*24/10*2)+$AE$10</f>
        <v>41.840019311797754</v>
      </c>
      <c r="H83" s="21">
        <f>ROUNDDOWN(Table13[[#This Row],[Travel_time]]*formula_vsig_time,0)</f>
        <v>16</v>
      </c>
      <c r="I8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239</v>
      </c>
      <c r="J83" s="2">
        <f>Table13[[#This Row],[Capacity]]*Table13[[#This Row],[Range]]*payment_rate*Table13[[#This Row],[Time factor]]/2^21*GBP_to_Currency</f>
        <v>53357.412815093994</v>
      </c>
      <c r="K83" s="9">
        <f>365/Table13[[#This Row],[Travel_time]]</f>
        <v>8.7237053424848661</v>
      </c>
      <c r="L83" s="2">
        <f>Table13[[#This Row],[Income per travel]]*Table13[[#This Row],[Annual travels, max]]</f>
        <v>465474.34723620594</v>
      </c>
      <c r="M83" s="2">
        <f>Table13[[#This Row],[In_game_life]]*Table13[[#This Row],[Annual profit]]*ROI____lifetime*cost_factor</f>
        <v>2094634.5625629267</v>
      </c>
      <c r="N83" s="18">
        <f>Table13[[#This Row],[Annual profit]]*Running_cost_weight*runningcost_factor</f>
        <v>116368.58680905149</v>
      </c>
      <c r="O83" s="18">
        <f>Table13[[#This Row],[Buying cost]]+Table13[[#This Row],[Running cost]]*Table13[[#This Row],[In_game_life]]</f>
        <v>4189269.1251258533</v>
      </c>
      <c r="P83" s="18">
        <f>Table13[[#This Row],[Annual profit]]*Table13[[#This Row],[In_game_life]]-Table13[[#This Row],[Total cost]]</f>
        <v>4189269.1251258533</v>
      </c>
      <c r="Q83" s="22">
        <f>Table13[[#This Row],[Buying cost]]/buying_cost_convert*10000</f>
        <v>119693.40357502438</v>
      </c>
      <c r="R83" s="22">
        <f>Table13[[#This Row],[Running cost]]/running_cost_convert*1000</f>
        <v>387895.28936350497</v>
      </c>
      <c r="S83" s="22">
        <f>ROUND(Table13[IG buying cost factor]/Table13[Range],0)</f>
        <v>122</v>
      </c>
      <c r="T83" s="22">
        <f>ROUND(Table13[IG running cost factor]/Table13[Range],0)</f>
        <v>396</v>
      </c>
      <c r="U83" s="18">
        <v>71</v>
      </c>
      <c r="V83" s="18">
        <v>12425000</v>
      </c>
      <c r="W83" s="18">
        <f>IFERROR(Table13[[#This Row],[in-game cost]]/Table13[[#This Row],[Newgrf cost factor]],0)</f>
        <v>175000</v>
      </c>
      <c r="X83" s="18">
        <v>64</v>
      </c>
      <c r="Y83" s="18">
        <v>19200</v>
      </c>
      <c r="Z83" s="18">
        <f>IFERROR(Table13[[#This Row],[in-game running]]/Table13[[#This Row],[Newgrf running factor]],0)</f>
        <v>300</v>
      </c>
      <c r="AA83" s="23">
        <f>(Table13[[#This Row],[Buying/distance]]*Table13[Range]/10000*buying_cost_convert-Table13[Buying cost])/Table13[Buying cost]</f>
        <v>-1.1145440854705355E-3</v>
      </c>
      <c r="AB83" s="23">
        <f>(Table13[Running/distance]*Table13[Range]/1000*running_cost_convert-Table13[Running cost])/Table13[Running cost]</f>
        <v>4.7618685134882783E-4</v>
      </c>
    </row>
    <row r="84" spans="1:28" hidden="1" x14ac:dyDescent="0.3">
      <c r="A84" s="11" t="s">
        <v>90</v>
      </c>
      <c r="B84">
        <v>903</v>
      </c>
      <c r="C84">
        <v>150</v>
      </c>
      <c r="D84">
        <v>1020</v>
      </c>
      <c r="E84">
        <f>IF(D:D&lt;minaddmultirange,MAX(Table13[[#This Row],[Base range]],Minbaserange)*rangemultipl*rangemultiplsmalladd/10000,MAX(Table13[[#This Row],[Base range]],Minbaserange)*minaddmultirange/100)</f>
        <v>1020</v>
      </c>
      <c r="F84">
        <v>18</v>
      </c>
      <c r="G84" s="9">
        <f>Table13[[#This Row],[Base range]]/((Table13[[#This Row],[Speed]]/3600*16*256)/(74*2)*24/10*2)+$AE$10</f>
        <v>42.610854443521589</v>
      </c>
      <c r="H84" s="21">
        <f>ROUNDDOWN(Table13[[#This Row],[Travel_time]]*formula_vsig_time,0)</f>
        <v>17</v>
      </c>
      <c r="I8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238</v>
      </c>
      <c r="J84" s="2">
        <f>Table13[[#This Row],[Capacity]]*Table13[[#This Row],[Range]]*payment_rate*Table13[[#This Row],[Time factor]]/2^21*GBP_to_Currency</f>
        <v>55302.901268005371</v>
      </c>
      <c r="K84" s="9">
        <f>365/Table13[[#This Row],[Travel_time]]</f>
        <v>8.5658925352878814</v>
      </c>
      <c r="L84" s="2">
        <f>Table13[[#This Row],[Income per travel]]*Table13[[#This Row],[Annual travels, max]]</f>
        <v>473718.70915136993</v>
      </c>
      <c r="M84" s="2">
        <f>Table13[[#This Row],[In_game_life]]*Table13[[#This Row],[Annual profit]]*ROI____lifetime*cost_factor</f>
        <v>2131734.1911811647</v>
      </c>
      <c r="N84" s="18">
        <f>Table13[[#This Row],[Annual profit]]*Running_cost_weight*runningcost_factor</f>
        <v>118429.67728784248</v>
      </c>
      <c r="O84" s="18">
        <f>Table13[[#This Row],[Buying cost]]+Table13[[#This Row],[Running cost]]*Table13[[#This Row],[In_game_life]]</f>
        <v>4263468.3823623294</v>
      </c>
      <c r="P84" s="18">
        <f>Table13[[#This Row],[Annual profit]]*Table13[[#This Row],[In_game_life]]-Table13[[#This Row],[Total cost]]</f>
        <v>4263468.3823623294</v>
      </c>
      <c r="Q84" s="22">
        <f>Table13[[#This Row],[Buying cost]]/buying_cost_convert*10000</f>
        <v>121813.38235320941</v>
      </c>
      <c r="R84" s="22">
        <f>Table13[[#This Row],[Running cost]]/running_cost_convert*1000</f>
        <v>394765.59095947491</v>
      </c>
      <c r="S84" s="22">
        <f>ROUND(Table13[IG buying cost factor]/Table13[Range],0)</f>
        <v>119</v>
      </c>
      <c r="T84" s="22">
        <f>ROUND(Table13[IG running cost factor]/Table13[Range],0)</f>
        <v>387</v>
      </c>
      <c r="U84" s="18"/>
      <c r="V84" s="18"/>
      <c r="W84" s="18">
        <f>IFERROR(Table13[[#This Row],[in-game cost]]/Table13[[#This Row],[Newgrf cost factor]],0)</f>
        <v>0</v>
      </c>
      <c r="X84" s="18"/>
      <c r="Y84" s="18"/>
      <c r="Z84" s="18">
        <f>IFERROR(Table13[[#This Row],[in-game running]]/Table13[[#This Row],[Newgrf running factor]],0)</f>
        <v>0</v>
      </c>
      <c r="AA84" s="23">
        <f>(Table13[[#This Row],[Buying/distance]]*Table13[Range]/10000*buying_cost_convert-Table13[Buying cost])/Table13[Buying cost]</f>
        <v>-3.5577565029167187E-3</v>
      </c>
      <c r="AB84" s="23">
        <f>(Table13[Running/distance]*Table13[Range]/1000*running_cost_convert-Table13[Running cost])/Table13[Running cost]</f>
        <v>-6.4825709385512832E-5</v>
      </c>
    </row>
    <row r="85" spans="1:28" hidden="1" x14ac:dyDescent="0.3">
      <c r="A85" s="14" t="s">
        <v>91</v>
      </c>
      <c r="B85">
        <v>953</v>
      </c>
      <c r="C85">
        <v>150</v>
      </c>
      <c r="D85">
        <v>735</v>
      </c>
      <c r="E85">
        <f>IF(D:D&lt;minaddmultirange,MAX(Table13[[#This Row],[Base range]],Minbaserange)*rangemultipl*rangemultiplsmalladd/10000,MAX(Table13[[#This Row],[Base range]],Minbaserange)*minaddmultirange/100)</f>
        <v>735</v>
      </c>
      <c r="F85">
        <v>30</v>
      </c>
      <c r="G85" s="9">
        <f>Table13[[#This Row],[Base range]]/((Table13[[#This Row],[Speed]]/3600*16*256)/(74*2)*24/10*2)+$AE$10</f>
        <v>32.900538185335776</v>
      </c>
      <c r="H85" s="21">
        <f>ROUNDDOWN(Table13[[#This Row],[Travel_time]]*formula_vsig_time,0)</f>
        <v>13</v>
      </c>
      <c r="I8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85" s="2">
        <f>Table13[[#This Row],[Capacity]]*Table13[[#This Row],[Range]]*payment_rate*Table13[[#This Row],[Time factor]]/2^21*GBP_to_Currency</f>
        <v>40520.378351211548</v>
      </c>
      <c r="K85" s="9">
        <f>365/Table13[[#This Row],[Travel_time]]</f>
        <v>11.094043445243262</v>
      </c>
      <c r="L85" s="2">
        <f>Table13[[#This Row],[Income per travel]]*Table13[[#This Row],[Annual travels, max]]</f>
        <v>449534.83784603543</v>
      </c>
      <c r="M85" s="2">
        <f>Table13[[#This Row],[In_game_life]]*Table13[[#This Row],[Annual profit]]*ROI____lifetime*cost_factor</f>
        <v>3371511.2838452659</v>
      </c>
      <c r="N85" s="18">
        <f>Table13[[#This Row],[Annual profit]]*Running_cost_weight*runningcost_factor</f>
        <v>112383.70946150886</v>
      </c>
      <c r="O85" s="18">
        <f>Table13[[#This Row],[Buying cost]]+Table13[[#This Row],[Running cost]]*Table13[[#This Row],[In_game_life]]</f>
        <v>6743022.5676905317</v>
      </c>
      <c r="P85" s="18">
        <f>Table13[[#This Row],[Annual profit]]*Table13[[#This Row],[In_game_life]]-Table13[[#This Row],[Total cost]]</f>
        <v>6743022.5676905317</v>
      </c>
      <c r="Q85" s="22">
        <f>Table13[[#This Row],[Buying cost]]/buying_cost_convert*10000</f>
        <v>192657.78764830093</v>
      </c>
      <c r="R85" s="22">
        <f>Table13[[#This Row],[Running cost]]/running_cost_convert*1000</f>
        <v>374612.36487169616</v>
      </c>
      <c r="S85" s="22">
        <f>ROUND(Table13[IG buying cost factor]/Table13[Range],0)</f>
        <v>262</v>
      </c>
      <c r="T85" s="22">
        <f>ROUND(Table13[IG running cost factor]/Table13[Range],0)</f>
        <v>510</v>
      </c>
      <c r="U85" s="18"/>
      <c r="V85" s="18"/>
      <c r="W85" s="18">
        <f>IFERROR(Table13[[#This Row],[in-game cost]]/Table13[[#This Row],[Newgrf cost factor]],0)</f>
        <v>0</v>
      </c>
      <c r="X85" s="18"/>
      <c r="Y85" s="18"/>
      <c r="Z85" s="18">
        <f>IFERROR(Table13[[#This Row],[in-game running]]/Table13[[#This Row],[Newgrf running factor]],0)</f>
        <v>0</v>
      </c>
      <c r="AA85" s="23">
        <f>(Table13[[#This Row],[Buying/distance]]*Table13[Range]/10000*buying_cost_convert-Table13[Buying cost])/Table13[Buying cost]</f>
        <v>-4.5566623271485484E-4</v>
      </c>
      <c r="AB85" s="23">
        <f>(Table13[Running/distance]*Table13[Range]/1000*running_cost_convert-Table13[Running cost])/Table13[Running cost]</f>
        <v>6.3434939843803276E-4</v>
      </c>
    </row>
    <row r="86" spans="1:28" hidden="1" x14ac:dyDescent="0.3">
      <c r="A86" s="11" t="s">
        <v>92</v>
      </c>
      <c r="B86">
        <v>811</v>
      </c>
      <c r="C86">
        <v>155</v>
      </c>
      <c r="D86">
        <v>525</v>
      </c>
      <c r="E86">
        <f>IF(D:D&lt;minaddmultirange,MAX(Table13[[#This Row],[Base range]],Minbaserange)*rangemultipl*rangemultiplsmalladd/10000,MAX(Table13[[#This Row],[Base range]],Minbaserange)*minaddmultirange/100)</f>
        <v>525</v>
      </c>
      <c r="F86">
        <v>25</v>
      </c>
      <c r="G86" s="9">
        <f>Table13[[#This Row],[Base range]]/((Table13[[#This Row],[Speed]]/3600*16*256)/(74*2)*24/10*2)+$AE$10</f>
        <v>29.542903726109738</v>
      </c>
      <c r="H86" s="21">
        <f>ROUNDDOWN(Table13[[#This Row],[Travel_time]]*formula_vsig_time,0)</f>
        <v>11</v>
      </c>
      <c r="I8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86" s="2">
        <f>Table13[[#This Row],[Capacity]]*Table13[[#This Row],[Range]]*payment_rate*Table13[[#This Row],[Time factor]]/2^21*GBP_to_Currency</f>
        <v>30155.071020126343</v>
      </c>
      <c r="K86" s="9">
        <f>365/Table13[[#This Row],[Travel_time]]</f>
        <v>12.354912820482722</v>
      </c>
      <c r="L86" s="2">
        <f>Table13[[#This Row],[Income per travel]]*Table13[[#This Row],[Annual travels, max]]</f>
        <v>372563.27354912594</v>
      </c>
      <c r="M86" s="2">
        <f>Table13[[#This Row],[In_game_life]]*Table13[[#This Row],[Annual profit]]*ROI____lifetime*cost_factor</f>
        <v>2328520.4596820371</v>
      </c>
      <c r="N86" s="18">
        <f>Table13[[#This Row],[Annual profit]]*Running_cost_weight*runningcost_factor</f>
        <v>93140.818387281484</v>
      </c>
      <c r="O86" s="18">
        <f>Table13[[#This Row],[Buying cost]]+Table13[[#This Row],[Running cost]]*Table13[[#This Row],[In_game_life]]</f>
        <v>4657040.9193640742</v>
      </c>
      <c r="P86" s="18">
        <f>Table13[[#This Row],[Annual profit]]*Table13[[#This Row],[In_game_life]]-Table13[[#This Row],[Total cost]]</f>
        <v>4657040.9193640742</v>
      </c>
      <c r="Q86" s="22">
        <f>Table13[[#This Row],[Buying cost]]/buying_cost_convert*10000</f>
        <v>133058.31198183069</v>
      </c>
      <c r="R86" s="22">
        <f>Table13[[#This Row],[Running cost]]/running_cost_convert*1000</f>
        <v>310469.3946242716</v>
      </c>
      <c r="S86" s="22">
        <f>ROUND(Table13[IG buying cost factor]/Table13[Range],0)</f>
        <v>253</v>
      </c>
      <c r="T86" s="22">
        <f>ROUND(Table13[IG running cost factor]/Table13[Range],0)</f>
        <v>591</v>
      </c>
      <c r="U86" s="18"/>
      <c r="V86" s="18"/>
      <c r="W86" s="18">
        <f>IFERROR(Table13[[#This Row],[in-game cost]]/Table13[[#This Row],[Newgrf cost factor]],0)</f>
        <v>0</v>
      </c>
      <c r="X86" s="18"/>
      <c r="Y86" s="18"/>
      <c r="Z86" s="18">
        <f>IFERROR(Table13[[#This Row],[in-game running]]/Table13[[#This Row],[Newgrf running factor]],0)</f>
        <v>0</v>
      </c>
      <c r="AA86" s="23">
        <f>(Table13[[#This Row],[Buying/distance]]*Table13[Range]/10000*buying_cost_convert-Table13[Buying cost])/Table13[Buying cost]</f>
        <v>-1.7534566488604771E-3</v>
      </c>
      <c r="AB86" s="23">
        <f>(Table13[Running/distance]*Table13[Range]/1000*running_cost_convert-Table13[Running cost])/Table13[Running cost]</f>
        <v>-6.261313599263777E-4</v>
      </c>
    </row>
    <row r="87" spans="1:28" hidden="1" x14ac:dyDescent="0.3">
      <c r="A87" s="11" t="s">
        <v>93</v>
      </c>
      <c r="B87">
        <v>811</v>
      </c>
      <c r="C87">
        <v>155</v>
      </c>
      <c r="D87">
        <v>685</v>
      </c>
      <c r="E87">
        <f>IF(D:D&lt;minaddmultirange,MAX(Table13[[#This Row],[Base range]],Minbaserange)*rangemultipl*rangemultiplsmalladd/10000,MAX(Table13[[#This Row],[Base range]],Minbaserange)*minaddmultirange/100)</f>
        <v>685</v>
      </c>
      <c r="F87">
        <v>25</v>
      </c>
      <c r="G87" s="9">
        <f>Table13[[#This Row],[Base range]]/((Table13[[#This Row],[Speed]]/3600*16*256)/(74*2)*24/10*2)+$AE$10</f>
        <v>34.889312480733665</v>
      </c>
      <c r="H87" s="21">
        <f>ROUNDDOWN(Table13[[#This Row],[Travel_time]]*formula_vsig_time,0)</f>
        <v>13</v>
      </c>
      <c r="I8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87" s="2">
        <f>Table13[[#This Row],[Capacity]]*Table13[[#This Row],[Range]]*payment_rate*Table13[[#This Row],[Time factor]]/2^21*GBP_to_Currency</f>
        <v>39022.686362266541</v>
      </c>
      <c r="K87" s="9">
        <f>365/Table13[[#This Row],[Travel_time]]</f>
        <v>10.461656422767224</v>
      </c>
      <c r="L87" s="2">
        <f>Table13[[#This Row],[Income per travel]]*Table13[[#This Row],[Annual travels, max]]</f>
        <v>408241.93741543667</v>
      </c>
      <c r="M87" s="2">
        <f>Table13[[#This Row],[In_game_life]]*Table13[[#This Row],[Annual profit]]*ROI____lifetime*cost_factor</f>
        <v>2551512.1088464791</v>
      </c>
      <c r="N87" s="18">
        <f>Table13[[#This Row],[Annual profit]]*Running_cost_weight*runningcost_factor</f>
        <v>102060.48435385917</v>
      </c>
      <c r="O87" s="18">
        <f>Table13[[#This Row],[Buying cost]]+Table13[[#This Row],[Running cost]]*Table13[[#This Row],[In_game_life]]</f>
        <v>5103024.2176929582</v>
      </c>
      <c r="P87" s="18">
        <f>Table13[[#This Row],[Annual profit]]*Table13[[#This Row],[In_game_life]]-Table13[[#This Row],[Total cost]]</f>
        <v>5103024.2176929582</v>
      </c>
      <c r="Q87" s="22">
        <f>Table13[[#This Row],[Buying cost]]/buying_cost_convert*10000</f>
        <v>145800.69193408452</v>
      </c>
      <c r="R87" s="22">
        <f>Table13[[#This Row],[Running cost]]/running_cost_convert*1000</f>
        <v>340201.61451286392</v>
      </c>
      <c r="S87" s="22">
        <f>ROUND(Table13[IG buying cost factor]/Table13[Range],0)</f>
        <v>213</v>
      </c>
      <c r="T87" s="22">
        <f>ROUND(Table13[IG running cost factor]/Table13[Range],0)</f>
        <v>497</v>
      </c>
      <c r="U87" s="18"/>
      <c r="V87" s="18"/>
      <c r="W87" s="18">
        <f>IFERROR(Table13[[#This Row],[in-game cost]]/Table13[[#This Row],[Newgrf cost factor]],0)</f>
        <v>0</v>
      </c>
      <c r="X87" s="18"/>
      <c r="Y87" s="18"/>
      <c r="Z87" s="18">
        <f>IFERROR(Table13[[#This Row],[in-game running]]/Table13[[#This Row],[Newgrf running factor]],0)</f>
        <v>0</v>
      </c>
      <c r="AA87" s="23">
        <f>(Table13[[#This Row],[Buying/distance]]*Table13[Range]/10000*buying_cost_convert-Table13[Buying cost])/Table13[Buying cost]</f>
        <v>7.1541543823836731E-4</v>
      </c>
      <c r="AB87" s="23">
        <f>(Table13[Running/distance]*Table13[Range]/1000*running_cost_convert-Table13[Running cost])/Table13[Running cost]</f>
        <v>7.1541543823833869E-4</v>
      </c>
    </row>
    <row r="88" spans="1:28" hidden="1" x14ac:dyDescent="0.3">
      <c r="A88" s="11" t="s">
        <v>94</v>
      </c>
      <c r="B88">
        <v>811</v>
      </c>
      <c r="C88">
        <v>155</v>
      </c>
      <c r="D88">
        <v>835</v>
      </c>
      <c r="E88">
        <f>IF(D:D&lt;minaddmultirange,MAX(Table13[[#This Row],[Base range]],Minbaserange)*rangemultipl*rangemultiplsmalladd/10000,MAX(Table13[[#This Row],[Base range]],Minbaserange)*minaddmultirange/100)</f>
        <v>835</v>
      </c>
      <c r="F88">
        <v>25</v>
      </c>
      <c r="G88" s="9">
        <f>Table13[[#This Row],[Base range]]/((Table13[[#This Row],[Speed]]/3600*16*256)/(74*2)*24/10*2)+$AE$10</f>
        <v>39.901570688193587</v>
      </c>
      <c r="H88" s="21">
        <f>ROUNDDOWN(Table13[[#This Row],[Travel_time]]*formula_vsig_time,0)</f>
        <v>15</v>
      </c>
      <c r="I8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240</v>
      </c>
      <c r="J88" s="2">
        <f>Table13[[#This Row],[Capacity]]*Table13[[#This Row],[Range]]*payment_rate*Table13[[#This Row],[Time factor]]/2^21*GBP_to_Currency</f>
        <v>47174.677848815918</v>
      </c>
      <c r="K88" s="9">
        <f>365/Table13[[#This Row],[Travel_time]]</f>
        <v>9.1475095768096981</v>
      </c>
      <c r="L88" s="2">
        <f>Table13[[#This Row],[Income per travel]]*Table13[[#This Row],[Annual travels, max]]</f>
        <v>431530.81740495592</v>
      </c>
      <c r="M88" s="2">
        <f>Table13[[#This Row],[In_game_life]]*Table13[[#This Row],[Annual profit]]*ROI____lifetime*cost_factor</f>
        <v>2697067.6087809745</v>
      </c>
      <c r="N88" s="18">
        <f>Table13[[#This Row],[Annual profit]]*Running_cost_weight*runningcost_factor</f>
        <v>107882.70435123898</v>
      </c>
      <c r="O88" s="18">
        <f>Table13[[#This Row],[Buying cost]]+Table13[[#This Row],[Running cost]]*Table13[[#This Row],[In_game_life]]</f>
        <v>5394135.217561949</v>
      </c>
      <c r="P88" s="18">
        <f>Table13[[#This Row],[Annual profit]]*Table13[[#This Row],[In_game_life]]-Table13[[#This Row],[Total cost]]</f>
        <v>5394135.217561949</v>
      </c>
      <c r="Q88" s="22">
        <f>Table13[[#This Row],[Buying cost]]/buying_cost_convert*10000</f>
        <v>154118.14907319855</v>
      </c>
      <c r="R88" s="22">
        <f>Table13[[#This Row],[Running cost]]/running_cost_convert*1000</f>
        <v>359609.01450412988</v>
      </c>
      <c r="S88" s="22">
        <f>ROUND(Table13[IG buying cost factor]/Table13[Range],0)</f>
        <v>185</v>
      </c>
      <c r="T88" s="22">
        <f>ROUND(Table13[IG running cost factor]/Table13[Range],0)</f>
        <v>431</v>
      </c>
      <c r="U88" s="18"/>
      <c r="V88" s="18"/>
      <c r="W88" s="18">
        <f>IFERROR(Table13[[#This Row],[in-game cost]]/Table13[[#This Row],[Newgrf cost factor]],0)</f>
        <v>0</v>
      </c>
      <c r="X88" s="18"/>
      <c r="Y88" s="18"/>
      <c r="Z88" s="18">
        <f>IFERROR(Table13[[#This Row],[in-game running]]/Table13[[#This Row],[Newgrf running factor]],0)</f>
        <v>0</v>
      </c>
      <c r="AA88" s="23">
        <f>(Table13[[#This Row],[Buying/distance]]*Table13[Range]/10000*buying_cost_convert-Table13[Buying cost])/Table13[Buying cost]</f>
        <v>2.3154374027160762E-3</v>
      </c>
      <c r="AB88" s="23">
        <f>(Table13[Running/distance]*Table13[Range]/1000*running_cost_convert-Table13[Running cost])/Table13[Running cost]</f>
        <v>7.6745989321382816E-4</v>
      </c>
    </row>
    <row r="89" spans="1:28" hidden="1" x14ac:dyDescent="0.3">
      <c r="A89" s="11" t="s">
        <v>95</v>
      </c>
      <c r="B89">
        <v>811</v>
      </c>
      <c r="C89">
        <v>155</v>
      </c>
      <c r="D89">
        <v>685</v>
      </c>
      <c r="E89">
        <f>IF(D:D&lt;minaddmultirange,MAX(Table13[[#This Row],[Base range]],Minbaserange)*rangemultipl*rangemultiplsmalladd/10000,MAX(Table13[[#This Row],[Base range]],Minbaserange)*minaddmultirange/100)</f>
        <v>685</v>
      </c>
      <c r="F89">
        <v>25</v>
      </c>
      <c r="G89" s="9">
        <f>Table13[[#This Row],[Base range]]/((Table13[[#This Row],[Speed]]/3600*16*256)/(74*2)*24/10*2)+$AE$10</f>
        <v>34.889312480733665</v>
      </c>
      <c r="H89" s="21">
        <f>ROUNDDOWN(Table13[[#This Row],[Travel_time]]*formula_vsig_time,0)</f>
        <v>13</v>
      </c>
      <c r="I8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89" s="2">
        <f>Table13[[#This Row],[Capacity]]*Table13[[#This Row],[Range]]*payment_rate*Table13[[#This Row],[Time factor]]/2^21*GBP_to_Currency</f>
        <v>39022.686362266541</v>
      </c>
      <c r="K89" s="9">
        <f>365/Table13[[#This Row],[Travel_time]]</f>
        <v>10.461656422767224</v>
      </c>
      <c r="L89" s="2">
        <f>Table13[[#This Row],[Income per travel]]*Table13[[#This Row],[Annual travels, max]]</f>
        <v>408241.93741543667</v>
      </c>
      <c r="M89" s="2">
        <f>Table13[[#This Row],[In_game_life]]*Table13[[#This Row],[Annual profit]]*ROI____lifetime*cost_factor</f>
        <v>2551512.1088464791</v>
      </c>
      <c r="N89" s="18">
        <f>Table13[[#This Row],[Annual profit]]*Running_cost_weight*runningcost_factor</f>
        <v>102060.48435385917</v>
      </c>
      <c r="O89" s="18">
        <f>Table13[[#This Row],[Buying cost]]+Table13[[#This Row],[Running cost]]*Table13[[#This Row],[In_game_life]]</f>
        <v>5103024.2176929582</v>
      </c>
      <c r="P89" s="18">
        <f>Table13[[#This Row],[Annual profit]]*Table13[[#This Row],[In_game_life]]-Table13[[#This Row],[Total cost]]</f>
        <v>5103024.2176929582</v>
      </c>
      <c r="Q89" s="22">
        <f>Table13[[#This Row],[Buying cost]]/buying_cost_convert*10000</f>
        <v>145800.69193408452</v>
      </c>
      <c r="R89" s="22">
        <f>Table13[[#This Row],[Running cost]]/running_cost_convert*1000</f>
        <v>340201.61451286392</v>
      </c>
      <c r="S89" s="22">
        <f>ROUND(Table13[IG buying cost factor]/Table13[Range],0)</f>
        <v>213</v>
      </c>
      <c r="T89" s="22">
        <f>ROUND(Table13[IG running cost factor]/Table13[Range],0)</f>
        <v>497</v>
      </c>
      <c r="U89" s="18"/>
      <c r="V89" s="18"/>
      <c r="W89" s="18">
        <f>IFERROR(Table13[[#This Row],[in-game cost]]/Table13[[#This Row],[Newgrf cost factor]],0)</f>
        <v>0</v>
      </c>
      <c r="X89" s="18"/>
      <c r="Y89" s="18"/>
      <c r="Z89" s="18">
        <f>IFERROR(Table13[[#This Row],[in-game running]]/Table13[[#This Row],[Newgrf running factor]],0)</f>
        <v>0</v>
      </c>
      <c r="AA89" s="23">
        <f>(Table13[[#This Row],[Buying/distance]]*Table13[Range]/10000*buying_cost_convert-Table13[Buying cost])/Table13[Buying cost]</f>
        <v>7.1541543823836731E-4</v>
      </c>
      <c r="AB89" s="23">
        <f>(Table13[Running/distance]*Table13[Range]/1000*running_cost_convert-Table13[Running cost])/Table13[Running cost]</f>
        <v>7.1541543823833869E-4</v>
      </c>
    </row>
    <row r="90" spans="1:28" hidden="1" x14ac:dyDescent="0.3">
      <c r="A90" s="11" t="s">
        <v>96</v>
      </c>
      <c r="B90">
        <v>811</v>
      </c>
      <c r="C90">
        <v>155</v>
      </c>
      <c r="D90">
        <v>930</v>
      </c>
      <c r="E90">
        <f>IF(D:D&lt;minaddmultirange,MAX(Table13[[#This Row],[Base range]],Minbaserange)*rangemultipl*rangemultiplsmalladd/10000,MAX(Table13[[#This Row],[Base range]],Minbaserange)*minaddmultirange/100)</f>
        <v>930</v>
      </c>
      <c r="F90">
        <v>20</v>
      </c>
      <c r="G90" s="9">
        <f>Table13[[#This Row],[Base range]]/((Table13[[#This Row],[Speed]]/3600*16*256)/(74*2)*24/10*2)+$AE$10</f>
        <v>43.076000886251535</v>
      </c>
      <c r="H90" s="21">
        <f>ROUNDDOWN(Table13[[#This Row],[Travel_time]]*formula_vsig_time,0)</f>
        <v>17</v>
      </c>
      <c r="I9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238</v>
      </c>
      <c r="J90" s="2">
        <f>Table13[[#This Row],[Capacity]]*Table13[[#This Row],[Range]]*payment_rate*Table13[[#This Row],[Time factor]]/2^21*GBP_to_Currency</f>
        <v>52104.007959365845</v>
      </c>
      <c r="K90" s="9">
        <f>365/Table13[[#This Row],[Travel_time]]</f>
        <v>8.4733956841498763</v>
      </c>
      <c r="L90" s="2">
        <f>Table13[[#This Row],[Income per travel]]*Table13[[#This Row],[Annual travels, max]]</f>
        <v>441497.87616980134</v>
      </c>
      <c r="M90" s="2">
        <f>Table13[[#This Row],[In_game_life]]*Table13[[#This Row],[Annual profit]]*ROI____lifetime*cost_factor</f>
        <v>2207489.3808490066</v>
      </c>
      <c r="N90" s="18">
        <f>Table13[[#This Row],[Annual profit]]*Running_cost_weight*runningcost_factor</f>
        <v>110374.46904245034</v>
      </c>
      <c r="O90" s="18">
        <f>Table13[[#This Row],[Buying cost]]+Table13[[#This Row],[Running cost]]*Table13[[#This Row],[In_game_life]]</f>
        <v>4414978.7616980132</v>
      </c>
      <c r="P90" s="18">
        <f>Table13[[#This Row],[Annual profit]]*Table13[[#This Row],[In_game_life]]-Table13[[#This Row],[Total cost]]</f>
        <v>4414978.7616980132</v>
      </c>
      <c r="Q90" s="22">
        <f>Table13[[#This Row],[Buying cost]]/buying_cost_convert*10000</f>
        <v>126142.25033422894</v>
      </c>
      <c r="R90" s="22">
        <f>Table13[[#This Row],[Running cost]]/running_cost_convert*1000</f>
        <v>367914.8968081678</v>
      </c>
      <c r="S90" s="22">
        <f>ROUND(Table13[IG buying cost factor]/Table13[Range],0)</f>
        <v>136</v>
      </c>
      <c r="T90" s="22">
        <f>ROUND(Table13[IG running cost factor]/Table13[Range],0)</f>
        <v>396</v>
      </c>
      <c r="U90" s="18"/>
      <c r="V90" s="18"/>
      <c r="W90" s="18">
        <f>IFERROR(Table13[[#This Row],[in-game cost]]/Table13[[#This Row],[Newgrf cost factor]],0)</f>
        <v>0</v>
      </c>
      <c r="X90" s="18"/>
      <c r="Y90" s="18"/>
      <c r="Z90" s="18">
        <f>IFERROR(Table13[[#This Row],[in-game running]]/Table13[[#This Row],[Newgrf running factor]],0)</f>
        <v>0</v>
      </c>
      <c r="AA90" s="23">
        <f>(Table13[[#This Row],[Buying/distance]]*Table13[Range]/10000*buying_cost_convert-Table13[Buying cost])/Table13[Buying cost]</f>
        <v>2.6775300494175755E-3</v>
      </c>
      <c r="AB90" s="23">
        <f>(Table13[Running/distance]*Table13[Range]/1000*running_cost_convert-Table13[Running cost])/Table13[Running cost]</f>
        <v>9.9235773000660521E-4</v>
      </c>
    </row>
    <row r="91" spans="1:28" hidden="1" x14ac:dyDescent="0.3">
      <c r="A91" s="11" t="s">
        <v>97</v>
      </c>
      <c r="B91">
        <v>974</v>
      </c>
      <c r="C91">
        <v>160</v>
      </c>
      <c r="D91">
        <v>1020</v>
      </c>
      <c r="E91">
        <f>IF(D:D&lt;minaddmultirange,MAX(Table13[[#This Row],[Base range]],Minbaserange)*rangemultipl*rangemultiplsmalladd/10000,MAX(Table13[[#This Row],[Base range]],Minbaserange)*minaddmultirange/100)</f>
        <v>1020</v>
      </c>
      <c r="F91">
        <v>30</v>
      </c>
      <c r="G91" s="9">
        <f>Table13[[#This Row],[Base range]]/((Table13[[#This Row],[Speed]]/3600*16*256)/(74*2)*24/10*2)+$AE$10</f>
        <v>40.37946772330595</v>
      </c>
      <c r="H91" s="21">
        <f>ROUNDDOWN(Table13[[#This Row],[Travel_time]]*formula_vsig_time,0)</f>
        <v>16</v>
      </c>
      <c r="I9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239</v>
      </c>
      <c r="J91" s="2">
        <f>Table13[[#This Row],[Capacity]]*Table13[[#This Row],[Range]]*payment_rate*Table13[[#This Row],[Time factor]]/2^21*GBP_to_Currency</f>
        <v>59237.617492675781</v>
      </c>
      <c r="K91" s="9">
        <f>365/Table13[[#This Row],[Travel_time]]</f>
        <v>9.0392474338965041</v>
      </c>
      <c r="L91" s="2">
        <f>Table13[[#This Row],[Income per travel]]*Table13[[#This Row],[Annual travels, max]]</f>
        <v>535463.4819108122</v>
      </c>
      <c r="M91" s="2">
        <f>Table13[[#This Row],[In_game_life]]*Table13[[#This Row],[Annual profit]]*ROI____lifetime*cost_factor</f>
        <v>4015976.1143310918</v>
      </c>
      <c r="N91" s="18">
        <f>Table13[[#This Row],[Annual profit]]*Running_cost_weight*runningcost_factor</f>
        <v>133865.87047770305</v>
      </c>
      <c r="O91" s="18">
        <f>Table13[[#This Row],[Buying cost]]+Table13[[#This Row],[Running cost]]*Table13[[#This Row],[In_game_life]]</f>
        <v>8031952.2286621835</v>
      </c>
      <c r="P91" s="18">
        <f>Table13[[#This Row],[Annual profit]]*Table13[[#This Row],[In_game_life]]-Table13[[#This Row],[Total cost]]</f>
        <v>8031952.2286621835</v>
      </c>
      <c r="Q91" s="22">
        <f>Table13[[#This Row],[Buying cost]]/buying_cost_convert*10000</f>
        <v>229484.34939034813</v>
      </c>
      <c r="R91" s="22">
        <f>Table13[[#This Row],[Running cost]]/running_cost_convert*1000</f>
        <v>446219.56825901015</v>
      </c>
      <c r="S91" s="22">
        <f>ROUND(Table13[IG buying cost factor]/Table13[Range],0)</f>
        <v>225</v>
      </c>
      <c r="T91" s="22">
        <f>ROUND(Table13[IG running cost factor]/Table13[Range],0)</f>
        <v>437</v>
      </c>
      <c r="U91" s="18"/>
      <c r="V91" s="18"/>
      <c r="W91" s="18">
        <f>IFERROR(Table13[[#This Row],[in-game cost]]/Table13[[#This Row],[Newgrf cost factor]],0)</f>
        <v>0</v>
      </c>
      <c r="X91" s="18"/>
      <c r="Y91" s="18"/>
      <c r="Z91" s="18">
        <f>IFERROR(Table13[[#This Row],[in-game running]]/Table13[[#This Row],[Newgrf running factor]],0)</f>
        <v>0</v>
      </c>
      <c r="AA91" s="23">
        <f>(Table13[[#This Row],[Buying/distance]]*Table13[Range]/10000*buying_cost_convert-Table13[Buying cost])/Table13[Buying cost]</f>
        <v>6.8199028358480347E-5</v>
      </c>
      <c r="AB91" s="23">
        <f>(Table13[Running/distance]*Table13[Range]/1000*running_cost_convert-Table13[Running cost])/Table13[Running cost]</f>
        <v>-1.0747360562453E-3</v>
      </c>
    </row>
    <row r="92" spans="1:28" hidden="1" x14ac:dyDescent="0.3">
      <c r="A92" s="11" t="s">
        <v>98</v>
      </c>
      <c r="B92">
        <v>975</v>
      </c>
      <c r="C92">
        <v>162</v>
      </c>
      <c r="D92">
        <v>1205</v>
      </c>
      <c r="E92">
        <f>IF(D:D&lt;minaddmultirange,MAX(Table13[[#This Row],[Base range]],Minbaserange)*rangemultipl*rangemultiplsmalladd/10000,MAX(Table13[[#This Row],[Base range]],Minbaserange)*minaddmultirange/100)</f>
        <v>1205</v>
      </c>
      <c r="F92">
        <v>30</v>
      </c>
      <c r="G92" s="9">
        <f>Table13[[#This Row],[Base range]]/((Table13[[#This Row],[Speed]]/3600*16*256)/(74*2)*24/10*2)+$AE$10</f>
        <v>45.49233774038462</v>
      </c>
      <c r="H92" s="21">
        <f>ROUNDDOWN(Table13[[#This Row],[Travel_time]]*formula_vsig_time,0)</f>
        <v>18</v>
      </c>
      <c r="I9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237</v>
      </c>
      <c r="J92" s="2">
        <f>Table13[[#This Row],[Capacity]]*Table13[[#This Row],[Range]]*payment_rate*Table13[[#This Row],[Time factor]]/2^21*GBP_to_Currency</f>
        <v>70263.525223731995</v>
      </c>
      <c r="K92" s="9">
        <f>365/Table13[[#This Row],[Travel_time]]</f>
        <v>8.023329161121147</v>
      </c>
      <c r="L92" s="2">
        <f>Table13[[#This Row],[Income per travel]]*Table13[[#This Row],[Annual travels, max]]</f>
        <v>563747.39089074021</v>
      </c>
      <c r="M92" s="2">
        <f>Table13[[#This Row],[In_game_life]]*Table13[[#This Row],[Annual profit]]*ROI____lifetime*cost_factor</f>
        <v>4228105.4316805517</v>
      </c>
      <c r="N92" s="18">
        <f>Table13[[#This Row],[Annual profit]]*Running_cost_weight*runningcost_factor</f>
        <v>140936.84772268505</v>
      </c>
      <c r="O92" s="18">
        <f>Table13[[#This Row],[Buying cost]]+Table13[[#This Row],[Running cost]]*Table13[[#This Row],[In_game_life]]</f>
        <v>8456210.8633611035</v>
      </c>
      <c r="P92" s="18">
        <f>Table13[[#This Row],[Annual profit]]*Table13[[#This Row],[In_game_life]]-Table13[[#This Row],[Total cost]]</f>
        <v>8456210.8633611035</v>
      </c>
      <c r="Q92" s="22">
        <f>Table13[[#This Row],[Buying cost]]/buying_cost_convert*10000</f>
        <v>241606.02466746009</v>
      </c>
      <c r="R92" s="22">
        <f>Table13[[#This Row],[Running cost]]/running_cost_convert*1000</f>
        <v>469789.49240895017</v>
      </c>
      <c r="S92" s="22">
        <f>ROUND(Table13[IG buying cost factor]/Table13[Range],0)</f>
        <v>201</v>
      </c>
      <c r="T92" s="22">
        <f>ROUND(Table13[IG running cost factor]/Table13[Range],0)</f>
        <v>390</v>
      </c>
      <c r="U92" s="18"/>
      <c r="V92" s="18"/>
      <c r="W92" s="18">
        <f>IFERROR(Table13[[#This Row],[in-game cost]]/Table13[[#This Row],[Newgrf cost factor]],0)</f>
        <v>0</v>
      </c>
      <c r="X92" s="18"/>
      <c r="Y92" s="18"/>
      <c r="Z92" s="18">
        <f>IFERROR(Table13[[#This Row],[in-game running]]/Table13[[#This Row],[Newgrf running factor]],0)</f>
        <v>0</v>
      </c>
      <c r="AA92" s="23">
        <f>(Table13[[#This Row],[Buying/distance]]*Table13[Range]/10000*buying_cost_convert-Table13[Buying cost])/Table13[Buying cost]</f>
        <v>2.4791407141618853E-3</v>
      </c>
      <c r="AB92" s="23">
        <f>(Table13[Running/distance]*Table13[Range]/1000*running_cost_convert-Table13[Running cost])/Table13[Running cost]</f>
        <v>3.4165853779910825E-4</v>
      </c>
    </row>
    <row r="93" spans="1:28" hidden="1" x14ac:dyDescent="0.3">
      <c r="A93" s="10" t="s">
        <v>99</v>
      </c>
      <c r="B93">
        <v>833</v>
      </c>
      <c r="C93">
        <v>165</v>
      </c>
      <c r="D93">
        <v>1165</v>
      </c>
      <c r="E93">
        <f>IF(D:D&lt;minaddmultirange,MAX(Table13[[#This Row],[Base range]],Minbaserange)*rangemultipl*rangemultiplsmalladd/10000,MAX(Table13[[#This Row],[Base range]],Minbaserange)*minaddmultirange/100)</f>
        <v>1165</v>
      </c>
      <c r="F93">
        <v>30</v>
      </c>
      <c r="G93" s="9">
        <f>Table13[[#This Row],[Base range]]/((Table13[[#This Row],[Speed]]/3600*16*256)/(74*2)*24/10*2)+$AE$10</f>
        <v>49.90041407187875</v>
      </c>
      <c r="H93" s="21">
        <f>ROUNDDOWN(Table13[[#This Row],[Travel_time]]*formula_vsig_time,0)</f>
        <v>19</v>
      </c>
      <c r="I9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236</v>
      </c>
      <c r="J93" s="2">
        <f>Table13[[#This Row],[Capacity]]*Table13[[#This Row],[Range]]*payment_rate*Table13[[#This Row],[Time factor]]/2^21*GBP_to_Currency</f>
        <v>68897.172689437866</v>
      </c>
      <c r="K93" s="9">
        <f>365/Table13[[#This Row],[Travel_time]]</f>
        <v>7.3145685619810283</v>
      </c>
      <c r="L93" s="2">
        <f>Table13[[#This Row],[Income per travel]]*Table13[[#This Row],[Annual travels, max]]</f>
        <v>503953.09336354013</v>
      </c>
      <c r="M93" s="2">
        <f>Table13[[#This Row],[In_game_life]]*Table13[[#This Row],[Annual profit]]*ROI____lifetime*cost_factor</f>
        <v>3779648.2002265509</v>
      </c>
      <c r="N93" s="18">
        <f>Table13[[#This Row],[Annual profit]]*Running_cost_weight*runningcost_factor</f>
        <v>125988.27334088503</v>
      </c>
      <c r="O93" s="18">
        <f>Table13[[#This Row],[Buying cost]]+Table13[[#This Row],[Running cost]]*Table13[[#This Row],[In_game_life]]</f>
        <v>7559296.4004531018</v>
      </c>
      <c r="P93" s="18">
        <f>Table13[[#This Row],[Annual profit]]*Table13[[#This Row],[In_game_life]]-Table13[[#This Row],[Total cost]]</f>
        <v>7559296.4004531018</v>
      </c>
      <c r="Q93" s="22">
        <f>Table13[[#This Row],[Buying cost]]/buying_cost_convert*10000</f>
        <v>215979.8971558029</v>
      </c>
      <c r="R93" s="22">
        <f>Table13[[#This Row],[Running cost]]/running_cost_convert*1000</f>
        <v>419960.91113628342</v>
      </c>
      <c r="S93" s="22">
        <f>ROUND(Table13[IG buying cost factor]/Table13[Range],0)</f>
        <v>185</v>
      </c>
      <c r="T93" s="22">
        <f>ROUND(Table13[IG running cost factor]/Table13[Range],0)</f>
        <v>360</v>
      </c>
      <c r="U93" s="18"/>
      <c r="V93" s="18"/>
      <c r="W93" s="18">
        <f>IFERROR(Table13[[#This Row],[in-game cost]]/Table13[[#This Row],[Newgrf cost factor]],0)</f>
        <v>0</v>
      </c>
      <c r="X93" s="18"/>
      <c r="Y93" s="18"/>
      <c r="Z93" s="18">
        <f>IFERROR(Table13[[#This Row],[in-game running]]/Table13[[#This Row],[Newgrf running factor]],0)</f>
        <v>0</v>
      </c>
      <c r="AA93" s="23">
        <f>(Table13[[#This Row],[Buying/distance]]*Table13[Range]/10000*buying_cost_convert-Table13[Buying cost])/Table13[Buying cost]</f>
        <v>-2.1062013724119154E-3</v>
      </c>
      <c r="AB93" s="23">
        <f>(Table13[Running/distance]*Table13[Range]/1000*running_cost_convert-Table13[Running cost])/Table13[Running cost]</f>
        <v>-1.335627010537222E-3</v>
      </c>
    </row>
    <row r="94" spans="1:28" hidden="1" x14ac:dyDescent="0.3">
      <c r="A94" s="10" t="s">
        <v>100</v>
      </c>
      <c r="B94">
        <v>822</v>
      </c>
      <c r="C94">
        <v>168</v>
      </c>
      <c r="D94">
        <v>1800</v>
      </c>
      <c r="E94">
        <f>IF(D:D&lt;minaddmultirange,MAX(Table13[[#This Row],[Base range]],Minbaserange)*rangemultipl*rangemultiplsmalladd/10000,MAX(Table13[[#This Row],[Base range]],Minbaserange)*minaddmultirange/100)</f>
        <v>1800</v>
      </c>
      <c r="F94">
        <v>15</v>
      </c>
      <c r="G94" s="9">
        <f>Table13[[#This Row],[Base range]]/((Table13[[#This Row],[Speed]]/3600*16*256)/(74*2)*24/10*2)+$AE$10</f>
        <v>71.342210310218974</v>
      </c>
      <c r="H94" s="21">
        <f>ROUNDDOWN(Table13[[#This Row],[Travel_time]]*formula_vsig_time,0)</f>
        <v>28</v>
      </c>
      <c r="I9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223</v>
      </c>
      <c r="J94" s="2">
        <f>Table13[[#This Row],[Capacity]]*Table13[[#This Row],[Range]]*payment_rate*Table13[[#This Row],[Time factor]]/2^21*GBP_to_Currency</f>
        <v>102415.61508178711</v>
      </c>
      <c r="K94" s="9">
        <f>365/Table13[[#This Row],[Travel_time]]</f>
        <v>5.1161857533269872</v>
      </c>
      <c r="L94" s="2">
        <f>Table13[[#This Row],[Income per travel]]*Table13[[#This Row],[Annual travels, max]]</f>
        <v>523977.31079965975</v>
      </c>
      <c r="M94" s="2">
        <f>Table13[[#This Row],[In_game_life]]*Table13[[#This Row],[Annual profit]]*ROI____lifetime*cost_factor</f>
        <v>1964914.915498724</v>
      </c>
      <c r="N94" s="18">
        <f>Table13[[#This Row],[Annual profit]]*Running_cost_weight*runningcost_factor</f>
        <v>130994.32769991494</v>
      </c>
      <c r="O94" s="18">
        <f>Table13[[#This Row],[Buying cost]]+Table13[[#This Row],[Running cost]]*Table13[[#This Row],[In_game_life]]</f>
        <v>3929829.8309974479</v>
      </c>
      <c r="P94" s="18">
        <f>Table13[[#This Row],[Annual profit]]*Table13[[#This Row],[In_game_life]]-Table13[[#This Row],[Total cost]]</f>
        <v>3929829.8309974479</v>
      </c>
      <c r="Q94" s="22">
        <f>Table13[[#This Row],[Buying cost]]/buying_cost_convert*10000</f>
        <v>112280.85231421281</v>
      </c>
      <c r="R94" s="22">
        <f>Table13[[#This Row],[Running cost]]/running_cost_convert*1000</f>
        <v>436647.75899971649</v>
      </c>
      <c r="S94" s="22">
        <f>ROUND(Table13[IG buying cost factor]/Table13[Range],0)</f>
        <v>62</v>
      </c>
      <c r="T94" s="22">
        <f>ROUND(Table13[IG running cost factor]/Table13[Range],0)</f>
        <v>243</v>
      </c>
      <c r="U94" s="18"/>
      <c r="V94" s="18"/>
      <c r="W94" s="18">
        <f>IFERROR(Table13[[#This Row],[in-game cost]]/Table13[[#This Row],[Newgrf cost factor]],0)</f>
        <v>0</v>
      </c>
      <c r="X94" s="18"/>
      <c r="Y94" s="18"/>
      <c r="Z94" s="18">
        <f>IFERROR(Table13[[#This Row],[in-game running]]/Table13[[#This Row],[Newgrf running factor]],0)</f>
        <v>0</v>
      </c>
      <c r="AA94" s="23">
        <f>(Table13[[#This Row],[Buying/distance]]*Table13[Range]/10000*buying_cost_convert-Table13[Buying cost])/Table13[Buying cost]</f>
        <v>-6.0638327923221019E-3</v>
      </c>
      <c r="AB94" s="23">
        <f>(Table13[Running/distance]*Table13[Range]/1000*running_cost_convert-Table13[Running cost])/Table13[Running cost]</f>
        <v>1.7227639093048159E-3</v>
      </c>
    </row>
    <row r="95" spans="1:28" hidden="1" x14ac:dyDescent="0.3">
      <c r="A95" s="14" t="s">
        <v>101</v>
      </c>
      <c r="B95">
        <v>901</v>
      </c>
      <c r="C95">
        <v>172</v>
      </c>
      <c r="D95">
        <v>785</v>
      </c>
      <c r="E95">
        <f>IF(D:D&lt;minaddmultirange,MAX(Table13[[#This Row],[Base range]],Minbaserange)*rangemultipl*rangemultiplsmalladd/10000,MAX(Table13[[#This Row],[Base range]],Minbaserange)*minaddmultirange/100)</f>
        <v>785</v>
      </c>
      <c r="F95">
        <v>25</v>
      </c>
      <c r="G95" s="9">
        <f>Table13[[#This Row],[Base range]]/((Table13[[#This Row],[Speed]]/3600*16*256)/(74*2)*24/10*2)+$AE$10</f>
        <v>35.6106474576859</v>
      </c>
      <c r="H95" s="21">
        <f>ROUNDDOWN(Table13[[#This Row],[Travel_time]]*formula_vsig_time,0)</f>
        <v>14</v>
      </c>
      <c r="I9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241</v>
      </c>
      <c r="J95" s="2">
        <f>Table13[[#This Row],[Capacity]]*Table13[[#This Row],[Range]]*payment_rate*Table13[[#This Row],[Time factor]]/2^21*GBP_to_Currency</f>
        <v>49419.082021713257</v>
      </c>
      <c r="K95" s="9">
        <f>365/Table13[[#This Row],[Travel_time]]</f>
        <v>10.249743435125932</v>
      </c>
      <c r="L95" s="2">
        <f>Table13[[#This Row],[Income per travel]]*Table13[[#This Row],[Annual travels, max]]</f>
        <v>506532.91152200545</v>
      </c>
      <c r="M95" s="2">
        <f>Table13[[#This Row],[In_game_life]]*Table13[[#This Row],[Annual profit]]*ROI____lifetime*cost_factor</f>
        <v>3165830.6970125339</v>
      </c>
      <c r="N95" s="18">
        <f>Table13[[#This Row],[Annual profit]]*Running_cost_weight*runningcost_factor</f>
        <v>126633.22788050136</v>
      </c>
      <c r="O95" s="18">
        <f>Table13[[#This Row],[Buying cost]]+Table13[[#This Row],[Running cost]]*Table13[[#This Row],[In_game_life]]</f>
        <v>6331661.3940250678</v>
      </c>
      <c r="P95" s="18">
        <f>Table13[[#This Row],[Annual profit]]*Table13[[#This Row],[In_game_life]]-Table13[[#This Row],[Total cost]]</f>
        <v>6331661.3940250678</v>
      </c>
      <c r="Q95" s="22">
        <f>Table13[[#This Row],[Buying cost]]/buying_cost_convert*10000</f>
        <v>180904.61125785907</v>
      </c>
      <c r="R95" s="22">
        <f>Table13[[#This Row],[Running cost]]/running_cost_convert*1000</f>
        <v>422110.75960167119</v>
      </c>
      <c r="S95" s="22">
        <f>ROUND(Table13[IG buying cost factor]/Table13[Range],0)</f>
        <v>230</v>
      </c>
      <c r="T95" s="22">
        <f>ROUND(Table13[IG running cost factor]/Table13[Range],0)</f>
        <v>538</v>
      </c>
      <c r="U95" s="18"/>
      <c r="V95" s="18"/>
      <c r="W95" s="18">
        <f>IFERROR(Table13[[#This Row],[in-game cost]]/Table13[[#This Row],[Newgrf cost factor]],0)</f>
        <v>0</v>
      </c>
      <c r="X95" s="18"/>
      <c r="Y95" s="18"/>
      <c r="Z95" s="18">
        <f>IFERROR(Table13[[#This Row],[in-game running]]/Table13[[#This Row],[Newgrf running factor]],0)</f>
        <v>0</v>
      </c>
      <c r="AA95" s="23">
        <f>(Table13[[#This Row],[Buying/distance]]*Table13[Range]/10000*buying_cost_convert-Table13[Buying cost])/Table13[Buying cost]</f>
        <v>-1.9602112704226299E-3</v>
      </c>
      <c r="AB95" s="23">
        <f>(Table13[Running/distance]*Table13[Range]/1000*running_cost_convert-Table13[Running cost])/Table13[Running cost]</f>
        <v>5.1939068915390452E-4</v>
      </c>
    </row>
    <row r="96" spans="1:28" hidden="1" x14ac:dyDescent="0.3">
      <c r="A96" s="14" t="s">
        <v>102</v>
      </c>
      <c r="B96">
        <v>901</v>
      </c>
      <c r="C96">
        <v>176</v>
      </c>
      <c r="D96">
        <v>725</v>
      </c>
      <c r="E96">
        <f>IF(D:D&lt;minaddmultirange,MAX(Table13[[#This Row],[Base range]],Minbaserange)*rangemultipl*rangemultiplsmalladd/10000,MAX(Table13[[#This Row],[Base range]],Minbaserange)*minaddmultirange/100)</f>
        <v>725</v>
      </c>
      <c r="F96">
        <v>25</v>
      </c>
      <c r="G96" s="9">
        <f>Table13[[#This Row],[Base range]]/((Table13[[#This Row],[Speed]]/3600*16*256)/(74*2)*24/10*2)+$AE$10</f>
        <v>33.806011983213097</v>
      </c>
      <c r="H96" s="21">
        <f>ROUNDDOWN(Table13[[#This Row],[Travel_time]]*formula_vsig_time,0)</f>
        <v>13</v>
      </c>
      <c r="I9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242</v>
      </c>
      <c r="J96" s="2">
        <f>Table13[[#This Row],[Capacity]]*Table13[[#This Row],[Range]]*payment_rate*Table13[[#This Row],[Time factor]]/2^21*GBP_to_Currency</f>
        <v>46897.054672241211</v>
      </c>
      <c r="K96" s="9">
        <f>365/Table13[[#This Row],[Travel_time]]</f>
        <v>10.796896131411373</v>
      </c>
      <c r="L96" s="2">
        <f>Table13[[#This Row],[Income per travel]]*Table13[[#This Row],[Annual travels, max]]</f>
        <v>506342.62816530879</v>
      </c>
      <c r="M96" s="2">
        <f>Table13[[#This Row],[In_game_life]]*Table13[[#This Row],[Annual profit]]*ROI____lifetime*cost_factor</f>
        <v>3164641.4260331797</v>
      </c>
      <c r="N96" s="18">
        <f>Table13[[#This Row],[Annual profit]]*Running_cost_weight*runningcost_factor</f>
        <v>126585.6570413272</v>
      </c>
      <c r="O96" s="18">
        <f>Table13[[#This Row],[Buying cost]]+Table13[[#This Row],[Running cost]]*Table13[[#This Row],[In_game_life]]</f>
        <v>6329282.8520663595</v>
      </c>
      <c r="P96" s="18">
        <f>Table13[[#This Row],[Annual profit]]*Table13[[#This Row],[In_game_life]]-Table13[[#This Row],[Total cost]]</f>
        <v>6329282.8520663595</v>
      </c>
      <c r="Q96" s="22">
        <f>Table13[[#This Row],[Buying cost]]/buying_cost_convert*10000</f>
        <v>180836.65291618172</v>
      </c>
      <c r="R96" s="22">
        <f>Table13[[#This Row],[Running cost]]/running_cost_convert*1000</f>
        <v>421952.19013775734</v>
      </c>
      <c r="S96" s="22">
        <f>ROUND(Table13[IG buying cost factor]/Table13[Range],0)</f>
        <v>249</v>
      </c>
      <c r="T96" s="22">
        <f>ROUND(Table13[IG running cost factor]/Table13[Range],0)</f>
        <v>582</v>
      </c>
      <c r="U96" s="18"/>
      <c r="V96" s="18"/>
      <c r="W96" s="18">
        <f>IFERROR(Table13[[#This Row],[in-game cost]]/Table13[[#This Row],[Newgrf cost factor]],0)</f>
        <v>0</v>
      </c>
      <c r="X96" s="18"/>
      <c r="Y96" s="18"/>
      <c r="Z96" s="18">
        <f>IFERROR(Table13[[#This Row],[in-game running]]/Table13[[#This Row],[Newgrf running factor]],0)</f>
        <v>0</v>
      </c>
      <c r="AA96" s="23">
        <f>(Table13[[#This Row],[Buying/distance]]*Table13[Range]/10000*buying_cost_convert-Table13[Buying cost])/Table13[Buying cost]</f>
        <v>-1.7233946280026434E-3</v>
      </c>
      <c r="AB96" s="23">
        <f>(Table13[Running/distance]*Table13[Range]/1000*running_cost_convert-Table13[Running cost])/Table13[Running cost]</f>
        <v>-5.1904879474921627E-6</v>
      </c>
    </row>
    <row r="97" spans="1:28" hidden="1" x14ac:dyDescent="0.3">
      <c r="A97" s="1" t="s">
        <v>103</v>
      </c>
      <c r="B97">
        <v>946</v>
      </c>
      <c r="C97">
        <v>177</v>
      </c>
      <c r="D97">
        <v>1255</v>
      </c>
      <c r="E97">
        <f>IF(D:D&lt;minaddmultirange,MAX(Table13[[#This Row],[Base range]],Minbaserange)*rangemultipl*rangemultiplsmalladd/10000,MAX(Table13[[#This Row],[Base range]],Minbaserange)*minaddmultirange/100)</f>
        <v>1255</v>
      </c>
      <c r="F97">
        <v>25</v>
      </c>
      <c r="G97" s="9">
        <f>Table13[[#This Row],[Base range]]/((Table13[[#This Row],[Speed]]/3600*16*256)/(74*2)*24/10*2)+$AE$10</f>
        <v>47.951384530258991</v>
      </c>
      <c r="H97" s="21">
        <f>ROUNDDOWN(Table13[[#This Row],[Travel_time]]*formula_vsig_time,0)</f>
        <v>19</v>
      </c>
      <c r="I9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236</v>
      </c>
      <c r="J97" s="2">
        <f>Table13[[#This Row],[Capacity]]*Table13[[#This Row],[Range]]*payment_rate*Table13[[#This Row],[Time factor]]/2^21*GBP_to_Currency</f>
        <v>79617.497491836548</v>
      </c>
      <c r="K97" s="9">
        <f>365/Table13[[#This Row],[Travel_time]]</f>
        <v>7.6118761444661169</v>
      </c>
      <c r="L97" s="2">
        <f>Table13[[#This Row],[Income per travel]]*Table13[[#This Row],[Annual travels, max]]</f>
        <v>606038.52984020149</v>
      </c>
      <c r="M97" s="2">
        <f>Table13[[#This Row],[In_game_life]]*Table13[[#This Row],[Annual profit]]*ROI____lifetime*cost_factor</f>
        <v>3787740.8115012594</v>
      </c>
      <c r="N97" s="18">
        <f>Table13[[#This Row],[Annual profit]]*Running_cost_weight*runningcost_factor</f>
        <v>151509.63246005037</v>
      </c>
      <c r="O97" s="18">
        <f>Table13[[#This Row],[Buying cost]]+Table13[[#This Row],[Running cost]]*Table13[[#This Row],[In_game_life]]</f>
        <v>7575481.6230025189</v>
      </c>
      <c r="P97" s="18">
        <f>Table13[[#This Row],[Annual profit]]*Table13[[#This Row],[In_game_life]]-Table13[[#This Row],[Total cost]]</f>
        <v>7575481.6230025189</v>
      </c>
      <c r="Q97" s="22">
        <f>Table13[[#This Row],[Buying cost]]/buying_cost_convert*10000</f>
        <v>216442.33208578627</v>
      </c>
      <c r="R97" s="22">
        <f>Table13[[#This Row],[Running cost]]/running_cost_convert*1000</f>
        <v>505032.10820016789</v>
      </c>
      <c r="S97" s="22">
        <f>ROUND(Table13[IG buying cost factor]/Table13[Range],0)</f>
        <v>172</v>
      </c>
      <c r="T97" s="22">
        <f>ROUND(Table13[IG running cost factor]/Table13[Range],0)</f>
        <v>402</v>
      </c>
      <c r="U97" s="18"/>
      <c r="V97" s="18"/>
      <c r="W97" s="18">
        <f>IFERROR(Table13[[#This Row],[in-game cost]]/Table13[[#This Row],[Newgrf cost factor]],0)</f>
        <v>0</v>
      </c>
      <c r="X97" s="18"/>
      <c r="Y97" s="18"/>
      <c r="Z97" s="18">
        <f>IFERROR(Table13[[#This Row],[in-game running]]/Table13[[#This Row],[Newgrf running factor]],0)</f>
        <v>0</v>
      </c>
      <c r="AA97" s="23">
        <f>(Table13[[#This Row],[Buying/distance]]*Table13[Range]/10000*buying_cost_convert-Table13[Buying cost])/Table13[Buying cost]</f>
        <v>-2.6904722388385437E-3</v>
      </c>
      <c r="AB97" s="23">
        <f>(Table13[Running/distance]*Table13[Range]/1000*running_cost_convert-Table13[Running cost])/Table13[Running cost]</f>
        <v>-1.0338118937201738E-3</v>
      </c>
    </row>
    <row r="98" spans="1:28" hidden="1" x14ac:dyDescent="0.3">
      <c r="A98" s="1" t="s">
        <v>104</v>
      </c>
      <c r="B98">
        <v>946</v>
      </c>
      <c r="C98">
        <v>177</v>
      </c>
      <c r="D98">
        <v>1350</v>
      </c>
      <c r="E98">
        <f>IF(D:D&lt;minaddmultirange,MAX(Table13[[#This Row],[Base range]],Minbaserange)*rangemultipl*rangemultiplsmalladd/10000,MAX(Table13[[#This Row],[Base range]],Minbaserange)*minaddmultirange/100)</f>
        <v>1350</v>
      </c>
      <c r="F98">
        <v>25</v>
      </c>
      <c r="G98" s="9">
        <f>Table13[[#This Row],[Base range]]/((Table13[[#This Row],[Speed]]/3600*16*256)/(74*2)*24/10*2)+$AE$10</f>
        <v>50.672804076374213</v>
      </c>
      <c r="H98" s="21">
        <f>ROUNDDOWN(Table13[[#This Row],[Travel_time]]*formula_vsig_time,0)</f>
        <v>20</v>
      </c>
      <c r="I9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235</v>
      </c>
      <c r="J98" s="2">
        <f>Table13[[#This Row],[Capacity]]*Table13[[#This Row],[Range]]*payment_rate*Table13[[#This Row],[Time factor]]/2^21*GBP_to_Currency</f>
        <v>85281.420350074768</v>
      </c>
      <c r="K98" s="9">
        <f>365/Table13[[#This Row],[Travel_time]]</f>
        <v>7.203074837734869</v>
      </c>
      <c r="L98" s="2">
        <f>Table13[[#This Row],[Income per travel]]*Table13[[#This Row],[Annual travels, max]]</f>
        <v>614288.45304991398</v>
      </c>
      <c r="M98" s="2">
        <f>Table13[[#This Row],[In_game_life]]*Table13[[#This Row],[Annual profit]]*ROI____lifetime*cost_factor</f>
        <v>3839302.8315619621</v>
      </c>
      <c r="N98" s="18">
        <f>Table13[[#This Row],[Annual profit]]*Running_cost_weight*runningcost_factor</f>
        <v>153572.1132624785</v>
      </c>
      <c r="O98" s="18">
        <f>Table13[[#This Row],[Buying cost]]+Table13[[#This Row],[Running cost]]*Table13[[#This Row],[In_game_life]]</f>
        <v>7678605.6631239243</v>
      </c>
      <c r="P98" s="18">
        <f>Table13[[#This Row],[Annual profit]]*Table13[[#This Row],[In_game_life]]-Table13[[#This Row],[Total cost]]</f>
        <v>7678605.6631239243</v>
      </c>
      <c r="Q98" s="22">
        <f>Table13[[#This Row],[Buying cost]]/buying_cost_convert*10000</f>
        <v>219388.73323211211</v>
      </c>
      <c r="R98" s="22">
        <f>Table13[[#This Row],[Running cost]]/running_cost_convert*1000</f>
        <v>511907.04420826165</v>
      </c>
      <c r="S98" s="22">
        <f>ROUND(Table13[IG buying cost factor]/Table13[Range],0)</f>
        <v>163</v>
      </c>
      <c r="T98" s="22">
        <f>ROUND(Table13[IG running cost factor]/Table13[Range],0)</f>
        <v>379</v>
      </c>
      <c r="U98" s="18"/>
      <c r="V98" s="18"/>
      <c r="W98" s="18">
        <f>IFERROR(Table13[[#This Row],[in-game cost]]/Table13[[#This Row],[Newgrf cost factor]],0)</f>
        <v>0</v>
      </c>
      <c r="X98" s="18"/>
      <c r="Y98" s="18"/>
      <c r="Z98" s="18">
        <f>IFERROR(Table13[[#This Row],[in-game running]]/Table13[[#This Row],[Newgrf running factor]],0)</f>
        <v>0</v>
      </c>
      <c r="AA98" s="23">
        <f>(Table13[[#This Row],[Buying/distance]]*Table13[Range]/10000*buying_cost_convert-Table13[Buying cost])/Table13[Buying cost]</f>
        <v>3.0141327594442181E-3</v>
      </c>
      <c r="AB98" s="23">
        <f>(Table13[Running/distance]*Table13[Range]/1000*running_cost_convert-Table13[Running cost])/Table13[Running cost]</f>
        <v>-5.0213063322698782E-4</v>
      </c>
    </row>
    <row r="99" spans="1:28" hidden="1" x14ac:dyDescent="0.3">
      <c r="A99" s="1" t="s">
        <v>105</v>
      </c>
      <c r="B99">
        <v>946</v>
      </c>
      <c r="C99">
        <v>177</v>
      </c>
      <c r="D99">
        <v>1335</v>
      </c>
      <c r="E99">
        <f>IF(D:D&lt;minaddmultirange,MAX(Table13[[#This Row],[Base range]],Minbaserange)*rangemultipl*rangemultiplsmalladd/10000,MAX(Table13[[#This Row],[Base range]],Minbaserange)*minaddmultirange/100)</f>
        <v>1335</v>
      </c>
      <c r="F99">
        <v>25</v>
      </c>
      <c r="G99" s="9">
        <f>Table13[[#This Row],[Base range]]/((Table13[[#This Row],[Speed]]/3600*16*256)/(74*2)*24/10*2)+$AE$10</f>
        <v>50.243106253303388</v>
      </c>
      <c r="H99" s="21">
        <f>ROUNDDOWN(Table13[[#This Row],[Travel_time]]*formula_vsig_time,0)</f>
        <v>20</v>
      </c>
      <c r="I9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235</v>
      </c>
      <c r="J99" s="2">
        <f>Table13[[#This Row],[Capacity]]*Table13[[#This Row],[Range]]*payment_rate*Table13[[#This Row],[Time factor]]/2^21*GBP_to_Currency</f>
        <v>84333.849012851715</v>
      </c>
      <c r="K99" s="9">
        <f>365/Table13[[#This Row],[Travel_time]]</f>
        <v>7.2646782259009308</v>
      </c>
      <c r="L99" s="2">
        <f>Table13[[#This Row],[Income per travel]]*Table13[[#This Row],[Annual travels, max]]</f>
        <v>612658.27663008054</v>
      </c>
      <c r="M99" s="2">
        <f>Table13[[#This Row],[In_game_life]]*Table13[[#This Row],[Annual profit]]*ROI____lifetime*cost_factor</f>
        <v>3829114.2289380035</v>
      </c>
      <c r="N99" s="18">
        <f>Table13[[#This Row],[Annual profit]]*Running_cost_weight*runningcost_factor</f>
        <v>153164.56915752013</v>
      </c>
      <c r="O99" s="18">
        <f>Table13[[#This Row],[Buying cost]]+Table13[[#This Row],[Running cost]]*Table13[[#This Row],[In_game_life]]</f>
        <v>7658228.4578760071</v>
      </c>
      <c r="P99" s="18">
        <f>Table13[[#This Row],[Annual profit]]*Table13[[#This Row],[In_game_life]]-Table13[[#This Row],[Total cost]]</f>
        <v>7658228.4578760071</v>
      </c>
      <c r="Q99" s="22">
        <f>Table13[[#This Row],[Buying cost]]/buying_cost_convert*10000</f>
        <v>218806.52736788589</v>
      </c>
      <c r="R99" s="22">
        <f>Table13[[#This Row],[Running cost]]/running_cost_convert*1000</f>
        <v>510548.56385840045</v>
      </c>
      <c r="S99" s="22">
        <f>ROUND(Table13[IG buying cost factor]/Table13[Range],0)</f>
        <v>164</v>
      </c>
      <c r="T99" s="22">
        <f>ROUND(Table13[IG running cost factor]/Table13[Range],0)</f>
        <v>382</v>
      </c>
      <c r="U99" s="18"/>
      <c r="V99" s="18"/>
      <c r="W99" s="18">
        <f>IFERROR(Table13[[#This Row],[in-game cost]]/Table13[[#This Row],[Newgrf cost factor]],0)</f>
        <v>0</v>
      </c>
      <c r="X99" s="18"/>
      <c r="Y99" s="18"/>
      <c r="Z99" s="18">
        <f>IFERROR(Table13[[#This Row],[in-game running]]/Table13[[#This Row],[Newgrf running factor]],0)</f>
        <v>0</v>
      </c>
      <c r="AA99" s="23">
        <f>(Table13[[#This Row],[Buying/distance]]*Table13[Range]/10000*buying_cost_convert-Table13[Buying cost])/Table13[Buying cost]</f>
        <v>6.1000297257880949E-4</v>
      </c>
      <c r="AB99" s="23">
        <f>(Table13[Running/distance]*Table13[Range]/1000*running_cost_convert-Table13[Running cost])/Table13[Running cost]</f>
        <v>-1.1332200291154118E-3</v>
      </c>
    </row>
    <row r="100" spans="1:28" hidden="1" x14ac:dyDescent="0.3">
      <c r="A100" s="1" t="s">
        <v>106</v>
      </c>
      <c r="B100">
        <v>946</v>
      </c>
      <c r="C100">
        <v>177</v>
      </c>
      <c r="D100">
        <v>1770</v>
      </c>
      <c r="E100">
        <f>IF(D:D&lt;minaddmultirange,MAX(Table13[[#This Row],[Base range]],Minbaserange)*rangemultipl*rangemultiplsmalladd/10000,MAX(Table13[[#This Row],[Base range]],Minbaserange)*minaddmultirange/100)</f>
        <v>1770</v>
      </c>
      <c r="F100">
        <v>25</v>
      </c>
      <c r="G100" s="9">
        <f>Table13[[#This Row],[Base range]]/((Table13[[#This Row],[Speed]]/3600*16*256)/(74*2)*24/10*2)+$AE$10</f>
        <v>62.704343122357301</v>
      </c>
      <c r="H100" s="21">
        <f>ROUNDDOWN(Table13[[#This Row],[Travel_time]]*formula_vsig_time,0)</f>
        <v>25</v>
      </c>
      <c r="I10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229</v>
      </c>
      <c r="J100" s="2">
        <f>Table13[[#This Row],[Capacity]]*Table13[[#This Row],[Range]]*payment_rate*Table13[[#This Row],[Time factor]]/2^21*GBP_to_Currency</f>
        <v>108958.60712528229</v>
      </c>
      <c r="K100" s="9">
        <f>365/Table13[[#This Row],[Travel_time]]</f>
        <v>5.8209684022646089</v>
      </c>
      <c r="L100" s="2">
        <f>Table13[[#This Row],[Income per travel]]*Table13[[#This Row],[Annual travels, max]]</f>
        <v>634244.60923103162</v>
      </c>
      <c r="M100" s="2">
        <f>Table13[[#This Row],[In_game_life]]*Table13[[#This Row],[Annual profit]]*ROI____lifetime*cost_factor</f>
        <v>3964028.8076939476</v>
      </c>
      <c r="N100" s="18">
        <f>Table13[[#This Row],[Annual profit]]*Running_cost_weight*runningcost_factor</f>
        <v>158561.1523077579</v>
      </c>
      <c r="O100" s="18">
        <f>Table13[[#This Row],[Buying cost]]+Table13[[#This Row],[Running cost]]*Table13[[#This Row],[In_game_life]]</f>
        <v>7928057.6153878951</v>
      </c>
      <c r="P100" s="18">
        <f>Table13[[#This Row],[Annual profit]]*Table13[[#This Row],[In_game_life]]-Table13[[#This Row],[Total cost]]</f>
        <v>7928057.6153878951</v>
      </c>
      <c r="Q100" s="22">
        <f>Table13[[#This Row],[Buying cost]]/buying_cost_convert*10000</f>
        <v>226515.9318682256</v>
      </c>
      <c r="R100" s="22">
        <f>Table13[[#This Row],[Running cost]]/running_cost_convert*1000</f>
        <v>528537.17435919307</v>
      </c>
      <c r="S100" s="22">
        <f>ROUND(Table13[IG buying cost factor]/Table13[Range],0)</f>
        <v>128</v>
      </c>
      <c r="T100" s="22">
        <f>ROUND(Table13[IG running cost factor]/Table13[Range],0)</f>
        <v>299</v>
      </c>
      <c r="U100" s="18"/>
      <c r="V100" s="18"/>
      <c r="W100" s="18">
        <f>IFERROR(Table13[[#This Row],[in-game cost]]/Table13[[#This Row],[Newgrf cost factor]],0)</f>
        <v>0</v>
      </c>
      <c r="X100" s="18"/>
      <c r="Y100" s="18"/>
      <c r="Z100" s="18">
        <f>IFERROR(Table13[[#This Row],[in-game running]]/Table13[[#This Row],[Newgrf running factor]],0)</f>
        <v>0</v>
      </c>
      <c r="AA100" s="23">
        <f>(Table13[[#This Row],[Buying/distance]]*Table13[Range]/10000*buying_cost_convert-Table13[Buying cost])/Table13[Buying cost]</f>
        <v>1.9454760383062522E-4</v>
      </c>
      <c r="AB100" s="23">
        <f>(Table13[Running/distance]*Table13[Range]/1000*running_cost_convert-Table13[Running cost])/Table13[Running cost]</f>
        <v>1.3108361614241788E-3</v>
      </c>
    </row>
    <row r="101" spans="1:28" hidden="1" x14ac:dyDescent="0.3">
      <c r="A101" s="11" t="s">
        <v>107</v>
      </c>
      <c r="B101">
        <v>974</v>
      </c>
      <c r="C101">
        <v>180</v>
      </c>
      <c r="D101">
        <v>685</v>
      </c>
      <c r="E101">
        <f>IF(D:D&lt;minaddmultirange,MAX(Table13[[#This Row],[Base range]],Minbaserange)*rangemultipl*rangemultiplsmalladd/10000,MAX(Table13[[#This Row],[Base range]],Minbaserange)*minaddmultirange/100)</f>
        <v>685</v>
      </c>
      <c r="F101">
        <v>30</v>
      </c>
      <c r="G101" s="9">
        <f>Table13[[#This Row],[Base range]]/((Table13[[#This Row],[Speed]]/3600*16*256)/(74*2)*24/10*2)+$AE$10</f>
        <v>31.05876018672998</v>
      </c>
      <c r="H101" s="21">
        <f>ROUNDDOWN(Table13[[#This Row],[Travel_time]]*formula_vsig_time,0)</f>
        <v>12</v>
      </c>
      <c r="I10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243</v>
      </c>
      <c r="J101" s="2">
        <f>Table13[[#This Row],[Capacity]]*Table13[[#This Row],[Range]]*payment_rate*Table13[[#This Row],[Time factor]]/2^21*GBP_to_Currency</f>
        <v>45503.926992416382</v>
      </c>
      <c r="K101" s="9">
        <f>365/Table13[[#This Row],[Travel_time]]</f>
        <v>11.75191790675367</v>
      </c>
      <c r="L101" s="2">
        <f>Table13[[#This Row],[Income per travel]]*Table13[[#This Row],[Annual travels, max]]</f>
        <v>534758.41444978979</v>
      </c>
      <c r="M101" s="2">
        <f>Table13[[#This Row],[In_game_life]]*Table13[[#This Row],[Annual profit]]*ROI____lifetime*cost_factor</f>
        <v>4010688.1083734236</v>
      </c>
      <c r="N101" s="18">
        <f>Table13[[#This Row],[Annual profit]]*Running_cost_weight*runningcost_factor</f>
        <v>133689.60361244745</v>
      </c>
      <c r="O101" s="18">
        <f>Table13[[#This Row],[Buying cost]]+Table13[[#This Row],[Running cost]]*Table13[[#This Row],[In_game_life]]</f>
        <v>8021376.2167468471</v>
      </c>
      <c r="P101" s="18">
        <f>Table13[[#This Row],[Annual profit]]*Table13[[#This Row],[In_game_life]]-Table13[[#This Row],[Total cost]]</f>
        <v>8021376.2167468471</v>
      </c>
      <c r="Q101" s="22">
        <f>Table13[[#This Row],[Buying cost]]/buying_cost_convert*10000</f>
        <v>229182.17762133849</v>
      </c>
      <c r="R101" s="22">
        <f>Table13[[#This Row],[Running cost]]/running_cost_convert*1000</f>
        <v>445632.01204149151</v>
      </c>
      <c r="S101" s="22">
        <f>ROUND(Table13[IG buying cost factor]/Table13[Range],0)</f>
        <v>335</v>
      </c>
      <c r="T101" s="22">
        <f>ROUND(Table13[IG running cost factor]/Table13[Range],0)</f>
        <v>651</v>
      </c>
      <c r="U101" s="18"/>
      <c r="V101" s="18"/>
      <c r="W101" s="18">
        <f>IFERROR(Table13[[#This Row],[in-game cost]]/Table13[[#This Row],[Newgrf cost factor]],0)</f>
        <v>0</v>
      </c>
      <c r="X101" s="18"/>
      <c r="Y101" s="18"/>
      <c r="Z101" s="18">
        <f>IFERROR(Table13[[#This Row],[in-game running]]/Table13[[#This Row],[Newgrf running factor]],0)</f>
        <v>0</v>
      </c>
      <c r="AA101" s="23">
        <f>(Table13[[#This Row],[Buying/distance]]*Table13[Range]/10000*buying_cost_convert-Table13[Buying cost])/Table13[Buying cost]</f>
        <v>1.2776839006449553E-3</v>
      </c>
      <c r="AB101" s="23">
        <f>(Table13[Running/distance]*Table13[Range]/1000*running_cost_convert-Table13[Running cost])/Table13[Running cost]</f>
        <v>6.7990617891313992E-4</v>
      </c>
    </row>
    <row r="102" spans="1:28" hidden="1" x14ac:dyDescent="0.3">
      <c r="A102" s="11" t="s">
        <v>108</v>
      </c>
      <c r="B102">
        <v>974</v>
      </c>
      <c r="C102">
        <v>180</v>
      </c>
      <c r="D102">
        <v>900</v>
      </c>
      <c r="E102">
        <f>IF(D:D&lt;minaddmultirange,MAX(Table13[[#This Row],[Base range]],Minbaserange)*rangemultipl*rangemultiplsmalladd/10000,MAX(Table13[[#This Row],[Base range]],Minbaserange)*minaddmultirange/100)</f>
        <v>900</v>
      </c>
      <c r="F102">
        <v>30</v>
      </c>
      <c r="G102" s="9">
        <f>Table13[[#This Row],[Base range]]/((Table13[[#This Row],[Speed]]/3600*16*256)/(74*2)*24/10*2)+$AE$10</f>
        <v>37.040706814681727</v>
      </c>
      <c r="H102" s="21">
        <f>ROUNDDOWN(Table13[[#This Row],[Travel_time]]*formula_vsig_time,0)</f>
        <v>14</v>
      </c>
      <c r="I10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241</v>
      </c>
      <c r="J102" s="2">
        <f>Table13[[#This Row],[Capacity]]*Table13[[#This Row],[Range]]*payment_rate*Table13[[#This Row],[Time factor]]/2^21*GBP_to_Currency</f>
        <v>59294.114112854004</v>
      </c>
      <c r="K102" s="9">
        <f>365/Table13[[#This Row],[Travel_time]]</f>
        <v>9.8540236239586534</v>
      </c>
      <c r="L102" s="2">
        <f>Table13[[#This Row],[Income per travel]]*Table13[[#This Row],[Annual travels, max]]</f>
        <v>584285.60122976359</v>
      </c>
      <c r="M102" s="2">
        <f>Table13[[#This Row],[In_game_life]]*Table13[[#This Row],[Annual profit]]*ROI____lifetime*cost_factor</f>
        <v>4382142.0092232265</v>
      </c>
      <c r="N102" s="18">
        <f>Table13[[#This Row],[Annual profit]]*Running_cost_weight*runningcost_factor</f>
        <v>146071.4003074409</v>
      </c>
      <c r="O102" s="18">
        <f>Table13[[#This Row],[Buying cost]]+Table13[[#This Row],[Running cost]]*Table13[[#This Row],[In_game_life]]</f>
        <v>8764284.0184464529</v>
      </c>
      <c r="P102" s="18">
        <f>Table13[[#This Row],[Annual profit]]*Table13[[#This Row],[In_game_life]]-Table13[[#This Row],[Total cost]]</f>
        <v>8764284.0184464529</v>
      </c>
      <c r="Q102" s="22">
        <f>Table13[[#This Row],[Buying cost]]/buying_cost_convert*10000</f>
        <v>250408.11481275578</v>
      </c>
      <c r="R102" s="22">
        <f>Table13[[#This Row],[Running cost]]/running_cost_convert*1000</f>
        <v>486904.66769146966</v>
      </c>
      <c r="S102" s="22">
        <f>ROUND(Table13[IG buying cost factor]/Table13[Range],0)</f>
        <v>278</v>
      </c>
      <c r="T102" s="22">
        <f>ROUND(Table13[IG running cost factor]/Table13[Range],0)</f>
        <v>541</v>
      </c>
      <c r="U102" s="18"/>
      <c r="V102" s="18"/>
      <c r="W102" s="18">
        <f>IFERROR(Table13[[#This Row],[in-game cost]]/Table13[[#This Row],[Newgrf cost factor]],0)</f>
        <v>0</v>
      </c>
      <c r="X102" s="18"/>
      <c r="Y102" s="18"/>
      <c r="Z102" s="18">
        <f>IFERROR(Table13[[#This Row],[in-game running]]/Table13[[#This Row],[Newgrf running factor]],0)</f>
        <v>0</v>
      </c>
      <c r="AA102" s="23">
        <f>(Table13[[#This Row],[Buying/distance]]*Table13[Range]/10000*buying_cost_convert-Table13[Buying cost])/Table13[Buying cost]</f>
        <v>-8.3110251004212346E-4</v>
      </c>
      <c r="AB102" s="23">
        <f>(Table13[Running/distance]*Table13[Range]/1000*running_cost_convert-Table13[Running cost])/Table13[Running cost]</f>
        <v>-9.5864586630249351E-6</v>
      </c>
    </row>
    <row r="103" spans="1:28" hidden="1" x14ac:dyDescent="0.3">
      <c r="A103" s="11" t="s">
        <v>109</v>
      </c>
      <c r="B103">
        <v>914</v>
      </c>
      <c r="C103">
        <v>181</v>
      </c>
      <c r="D103">
        <v>1285</v>
      </c>
      <c r="E103">
        <f>IF(D:D&lt;minaddmultirange,MAX(Table13[[#This Row],[Base range]],Minbaserange)*rangemultipl*rangemultiplsmalladd/10000,MAX(Table13[[#This Row],[Base range]],Minbaserange)*minaddmultirange/100)</f>
        <v>1285</v>
      </c>
      <c r="F103">
        <v>30</v>
      </c>
      <c r="G103" s="9">
        <f>Table13[[#This Row],[Base range]]/((Table13[[#This Row],[Speed]]/3600*16*256)/(74*2)*24/10*2)+$AE$10</f>
        <v>50.099560226340273</v>
      </c>
      <c r="H103" s="21">
        <f>ROUNDDOWN(Table13[[#This Row],[Travel_time]]*formula_vsig_time,0)</f>
        <v>20</v>
      </c>
      <c r="I10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235</v>
      </c>
      <c r="J103" s="2">
        <f>Table13[[#This Row],[Capacity]]*Table13[[#This Row],[Range]]*payment_rate*Table13[[#This Row],[Time factor]]/2^21*GBP_to_Currency</f>
        <v>83009.747445583344</v>
      </c>
      <c r="K103" s="9">
        <f>365/Table13[[#This Row],[Travel_time]]</f>
        <v>7.2854930931728639</v>
      </c>
      <c r="L103" s="2">
        <f>Table13[[#This Row],[Income per travel]]*Table13[[#This Row],[Annual travels, max]]</f>
        <v>604766.94168082124</v>
      </c>
      <c r="M103" s="2">
        <f>Table13[[#This Row],[In_game_life]]*Table13[[#This Row],[Annual profit]]*ROI____lifetime*cost_factor</f>
        <v>4535752.0626061596</v>
      </c>
      <c r="N103" s="18">
        <f>Table13[[#This Row],[Annual profit]]*Running_cost_weight*runningcost_factor</f>
        <v>151191.73542020531</v>
      </c>
      <c r="O103" s="18">
        <f>Table13[[#This Row],[Buying cost]]+Table13[[#This Row],[Running cost]]*Table13[[#This Row],[In_game_life]]</f>
        <v>9071504.1252123192</v>
      </c>
      <c r="P103" s="18">
        <f>Table13[[#This Row],[Annual profit]]*Table13[[#This Row],[In_game_life]]-Table13[[#This Row],[Total cost]]</f>
        <v>9071504.1252123192</v>
      </c>
      <c r="Q103" s="22">
        <f>Table13[[#This Row],[Buying cost]]/buying_cost_convert*10000</f>
        <v>259185.83214892339</v>
      </c>
      <c r="R103" s="22">
        <f>Table13[[#This Row],[Running cost]]/running_cost_convert*1000</f>
        <v>503972.45140068437</v>
      </c>
      <c r="S103" s="22">
        <f>ROUND(Table13[IG buying cost factor]/Table13[Range],0)</f>
        <v>202</v>
      </c>
      <c r="T103" s="22">
        <f>ROUND(Table13[IG running cost factor]/Table13[Range],0)</f>
        <v>392</v>
      </c>
      <c r="U103" s="18"/>
      <c r="V103" s="18"/>
      <c r="W103" s="18">
        <f>IFERROR(Table13[[#This Row],[in-game cost]]/Table13[[#This Row],[Newgrf cost factor]],0)</f>
        <v>0</v>
      </c>
      <c r="X103" s="18"/>
      <c r="Y103" s="18"/>
      <c r="Z103" s="18">
        <f>IFERROR(Table13[[#This Row],[in-game running]]/Table13[[#This Row],[Newgrf running factor]],0)</f>
        <v>0</v>
      </c>
      <c r="AA103" s="23">
        <f>(Table13[[#This Row],[Buying/distance]]*Table13[Range]/10000*buying_cost_convert-Table13[Buying cost])/Table13[Buying cost]</f>
        <v>1.4822100725623716E-3</v>
      </c>
      <c r="AB103" s="23">
        <f>(Table13[Running/distance]*Table13[Range]/1000*running_cost_convert-Table13[Running cost])/Table13[Running cost]</f>
        <v>-5.0092301669016305E-4</v>
      </c>
    </row>
    <row r="104" spans="1:28" hidden="1" x14ac:dyDescent="0.3">
      <c r="A104" s="11" t="s">
        <v>110</v>
      </c>
      <c r="B104">
        <v>903</v>
      </c>
      <c r="C104">
        <v>185</v>
      </c>
      <c r="D104">
        <v>785</v>
      </c>
      <c r="E104">
        <f>IF(D:D&lt;minaddmultirange,MAX(Table13[[#This Row],[Base range]],Minbaserange)*rangemultipl*rangemultiplsmalladd/10000,MAX(Table13[[#This Row],[Base range]],Minbaserange)*minaddmultirange/100)</f>
        <v>785</v>
      </c>
      <c r="F104">
        <v>25</v>
      </c>
      <c r="G104" s="9">
        <f>Table13[[#This Row],[Base range]]/((Table13[[#This Row],[Speed]]/3600*16*256)/(74*2)*24/10*2)+$AE$10</f>
        <v>35.558353664867113</v>
      </c>
      <c r="H104" s="21">
        <f>ROUNDDOWN(Table13[[#This Row],[Travel_time]]*formula_vsig_time,0)</f>
        <v>14</v>
      </c>
      <c r="I10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241</v>
      </c>
      <c r="J104" s="2">
        <f>Table13[[#This Row],[Capacity]]*Table13[[#This Row],[Range]]*payment_rate*Table13[[#This Row],[Time factor]]/2^21*GBP_to_Currency</f>
        <v>53154.24519777298</v>
      </c>
      <c r="K104" s="9">
        <f>365/Table13[[#This Row],[Travel_time]]</f>
        <v>10.264817191484111</v>
      </c>
      <c r="L104" s="2">
        <f>Table13[[#This Row],[Income per travel]]*Table13[[#This Row],[Annual travels, max]]</f>
        <v>545618.60990646179</v>
      </c>
      <c r="M104" s="2">
        <f>Table13[[#This Row],[In_game_life]]*Table13[[#This Row],[Annual profit]]*ROI____lifetime*cost_factor</f>
        <v>3410116.311915386</v>
      </c>
      <c r="N104" s="18">
        <f>Table13[[#This Row],[Annual profit]]*Running_cost_weight*runningcost_factor</f>
        <v>136404.65247661545</v>
      </c>
      <c r="O104" s="18">
        <f>Table13[[#This Row],[Buying cost]]+Table13[[#This Row],[Running cost]]*Table13[[#This Row],[In_game_life]]</f>
        <v>6820232.623830772</v>
      </c>
      <c r="P104" s="18">
        <f>Table13[[#This Row],[Annual profit]]*Table13[[#This Row],[In_game_life]]-Table13[[#This Row],[Total cost]]</f>
        <v>6820232.623830772</v>
      </c>
      <c r="Q104" s="22">
        <f>Table13[[#This Row],[Buying cost]]/buying_cost_convert*10000</f>
        <v>194863.78925230776</v>
      </c>
      <c r="R104" s="22">
        <f>Table13[[#This Row],[Running cost]]/running_cost_convert*1000</f>
        <v>454682.17492205149</v>
      </c>
      <c r="S104" s="22">
        <f>ROUND(Table13[IG buying cost factor]/Table13[Range],0)</f>
        <v>248</v>
      </c>
      <c r="T104" s="22">
        <f>ROUND(Table13[IG running cost factor]/Table13[Range],0)</f>
        <v>579</v>
      </c>
      <c r="U104" s="18"/>
      <c r="V104" s="18"/>
      <c r="W104" s="18">
        <f>IFERROR(Table13[[#This Row],[in-game cost]]/Table13[[#This Row],[Newgrf cost factor]],0)</f>
        <v>0</v>
      </c>
      <c r="X104" s="18"/>
      <c r="Y104" s="18"/>
      <c r="Z104" s="18">
        <f>IFERROR(Table13[[#This Row],[in-game running]]/Table13[[#This Row],[Newgrf running factor]],0)</f>
        <v>0</v>
      </c>
      <c r="AA104" s="23">
        <f>(Table13[[#This Row],[Buying/distance]]*Table13[Range]/10000*buying_cost_convert-Table13[Buying cost])/Table13[Buying cost]</f>
        <v>-9.4316780461352421E-4</v>
      </c>
      <c r="AB104" s="23">
        <f>(Table13[Running/distance]*Table13[Range]/1000*running_cost_convert-Table13[Running cost])/Table13[Running cost]</f>
        <v>-3.6767423768074907E-4</v>
      </c>
    </row>
    <row r="105" spans="1:28" hidden="1" x14ac:dyDescent="0.3">
      <c r="A105" s="11" t="s">
        <v>111</v>
      </c>
      <c r="B105">
        <v>903</v>
      </c>
      <c r="C105">
        <v>185</v>
      </c>
      <c r="D105">
        <v>885</v>
      </c>
      <c r="E105">
        <f>IF(D:D&lt;minaddmultirange,MAX(Table13[[#This Row],[Base range]],Minbaserange)*rangemultipl*rangemultiplsmalladd/10000,MAX(Table13[[#This Row],[Base range]],Minbaserange)*minaddmultirange/100)</f>
        <v>885</v>
      </c>
      <c r="F105">
        <v>25</v>
      </c>
      <c r="G105" s="9">
        <f>Table13[[#This Row],[Base range]]/((Table13[[#This Row],[Speed]]/3600*16*256)/(74*2)*24/10*2)+$AE$10</f>
        <v>38.559417825996675</v>
      </c>
      <c r="H105" s="21">
        <f>ROUNDDOWN(Table13[[#This Row],[Travel_time]]*formula_vsig_time,0)</f>
        <v>15</v>
      </c>
      <c r="I10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240</v>
      </c>
      <c r="J105" s="2">
        <f>Table13[[#This Row],[Capacity]]*Table13[[#This Row],[Range]]*payment_rate*Table13[[#This Row],[Time factor]]/2^21*GBP_to_Currency</f>
        <v>59676.833152770996</v>
      </c>
      <c r="K105" s="9">
        <f>365/Table13[[#This Row],[Travel_time]]</f>
        <v>9.4659105499751028</v>
      </c>
      <c r="L105" s="2">
        <f>Table13[[#This Row],[Income per travel]]*Table13[[#This Row],[Annual travels, max]]</f>
        <v>564895.56452991895</v>
      </c>
      <c r="M105" s="2">
        <f>Table13[[#This Row],[In_game_life]]*Table13[[#This Row],[Annual profit]]*ROI____lifetime*cost_factor</f>
        <v>3530597.2783119935</v>
      </c>
      <c r="N105" s="18">
        <f>Table13[[#This Row],[Annual profit]]*Running_cost_weight*runningcost_factor</f>
        <v>141223.89113247974</v>
      </c>
      <c r="O105" s="18">
        <f>Table13[[#This Row],[Buying cost]]+Table13[[#This Row],[Running cost]]*Table13[[#This Row],[In_game_life]]</f>
        <v>7061194.5566239869</v>
      </c>
      <c r="P105" s="18">
        <f>Table13[[#This Row],[Annual profit]]*Table13[[#This Row],[In_game_life]]-Table13[[#This Row],[Total cost]]</f>
        <v>7061194.5566239869</v>
      </c>
      <c r="Q105" s="22">
        <f>Table13[[#This Row],[Buying cost]]/buying_cost_convert*10000</f>
        <v>201748.41590354248</v>
      </c>
      <c r="R105" s="22">
        <f>Table13[[#This Row],[Running cost]]/running_cost_convert*1000</f>
        <v>470746.30377493246</v>
      </c>
      <c r="S105" s="22">
        <f>ROUND(Table13[IG buying cost factor]/Table13[Range],0)</f>
        <v>228</v>
      </c>
      <c r="T105" s="22">
        <f>ROUND(Table13[IG running cost factor]/Table13[Range],0)</f>
        <v>532</v>
      </c>
      <c r="U105" s="18"/>
      <c r="V105" s="18"/>
      <c r="W105" s="18">
        <f>IFERROR(Table13[[#This Row],[in-game cost]]/Table13[[#This Row],[Newgrf cost factor]],0)</f>
        <v>0</v>
      </c>
      <c r="X105" s="18"/>
      <c r="Y105" s="18"/>
      <c r="Z105" s="18">
        <f>IFERROR(Table13[[#This Row],[in-game running]]/Table13[[#This Row],[Newgrf running factor]],0)</f>
        <v>0</v>
      </c>
      <c r="AA105" s="23">
        <f>(Table13[[#This Row],[Buying/distance]]*Table13[Range]/10000*buying_cost_convert-Table13[Buying cost])/Table13[Buying cost]</f>
        <v>1.565518931886787E-4</v>
      </c>
      <c r="AB105" s="23">
        <f>(Table13[Running/distance]*Table13[Range]/1000*running_cost_convert-Table13[Running cost])/Table13[Running cost]</f>
        <v>1.5655189318868694E-4</v>
      </c>
    </row>
    <row r="106" spans="1:28" hidden="1" x14ac:dyDescent="0.3">
      <c r="A106" s="11" t="s">
        <v>112</v>
      </c>
      <c r="B106">
        <v>999</v>
      </c>
      <c r="C106">
        <v>189</v>
      </c>
      <c r="D106">
        <v>2050</v>
      </c>
      <c r="E106">
        <f>IF(D:D&lt;minaddmultirange,MAX(Table13[[#This Row],[Base range]],Minbaserange)*rangemultipl*rangemultiplsmalladd/10000,MAX(Table13[[#This Row],[Base range]],Minbaserange)*minaddmultirange/100)</f>
        <v>2050</v>
      </c>
      <c r="F106">
        <v>30</v>
      </c>
      <c r="G106" s="9">
        <f>Table13[[#This Row],[Base range]]/((Table13[[#This Row],[Speed]]/3600*16*256)/(74*2)*24/10*2)+$AE$10</f>
        <v>67.609809027777771</v>
      </c>
      <c r="H106" s="21">
        <f>ROUNDDOWN(Table13[[#This Row],[Travel_time]]*formula_vsig_time,0)</f>
        <v>27</v>
      </c>
      <c r="I10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225</v>
      </c>
      <c r="J106" s="2">
        <f>Table13[[#This Row],[Capacity]]*Table13[[#This Row],[Range]]*payment_rate*Table13[[#This Row],[Time factor]]/2^21*GBP_to_Currency</f>
        <v>132396.86787128448</v>
      </c>
      <c r="K106" s="9">
        <f>365/Table13[[#This Row],[Travel_time]]</f>
        <v>5.3986249221623774</v>
      </c>
      <c r="L106" s="2">
        <f>Table13[[#This Row],[Income per travel]]*Table13[[#This Row],[Annual travels, max]]</f>
        <v>714761.0305061558</v>
      </c>
      <c r="M106" s="2">
        <f>Table13[[#This Row],[In_game_life]]*Table13[[#This Row],[Annual profit]]*ROI____lifetime*cost_factor</f>
        <v>5360707.7287961682</v>
      </c>
      <c r="N106" s="18">
        <f>Table13[[#This Row],[Annual profit]]*Running_cost_weight*runningcost_factor</f>
        <v>178690.25762653895</v>
      </c>
      <c r="O106" s="18">
        <f>Table13[[#This Row],[Buying cost]]+Table13[[#This Row],[Running cost]]*Table13[[#This Row],[In_game_life]]</f>
        <v>10721415.457592336</v>
      </c>
      <c r="P106" s="18">
        <f>Table13[[#This Row],[Annual profit]]*Table13[[#This Row],[In_game_life]]-Table13[[#This Row],[Total cost]]</f>
        <v>10721415.457592336</v>
      </c>
      <c r="Q106" s="22">
        <f>Table13[[#This Row],[Buying cost]]/buying_cost_convert*10000</f>
        <v>306326.15593120962</v>
      </c>
      <c r="R106" s="22">
        <f>Table13[[#This Row],[Running cost]]/running_cost_convert*1000</f>
        <v>595634.19208846311</v>
      </c>
      <c r="S106" s="22">
        <f>ROUND(Table13[IG buying cost factor]/Table13[Range],0)</f>
        <v>149</v>
      </c>
      <c r="T106" s="22">
        <f>ROUND(Table13[IG running cost factor]/Table13[Range],0)</f>
        <v>291</v>
      </c>
      <c r="U106" s="18"/>
      <c r="V106" s="18"/>
      <c r="W106" s="18">
        <f>IFERROR(Table13[[#This Row],[in-game cost]]/Table13[[#This Row],[Newgrf cost factor]],0)</f>
        <v>0</v>
      </c>
      <c r="X106" s="18"/>
      <c r="Y106" s="18"/>
      <c r="Z106" s="18">
        <f>IFERROR(Table13[[#This Row],[in-game running]]/Table13[[#This Row],[Newgrf running factor]],0)</f>
        <v>0</v>
      </c>
      <c r="AA106" s="23">
        <f>(Table13[[#This Row],[Buying/distance]]*Table13[Range]/10000*buying_cost_convert-Table13[Buying cost])/Table13[Buying cost]</f>
        <v>-2.8602060720089727E-3</v>
      </c>
      <c r="AB106" s="23">
        <f>(Table13[Running/distance]*Table13[Range]/1000*running_cost_convert-Table13[Running cost])/Table13[Running cost]</f>
        <v>1.5375341504921796E-3</v>
      </c>
    </row>
    <row r="107" spans="1:28" hidden="1" x14ac:dyDescent="0.3">
      <c r="A107" s="11" t="s">
        <v>113</v>
      </c>
      <c r="B107">
        <v>990</v>
      </c>
      <c r="C107">
        <v>189</v>
      </c>
      <c r="D107">
        <v>2210</v>
      </c>
      <c r="E107">
        <f>IF(D:D&lt;minaddmultirange,MAX(Table13[[#This Row],[Base range]],Minbaserange)*rangemultipl*rangemultiplsmalladd/10000,MAX(Table13[[#This Row],[Base range]],Minbaserange)*minaddmultirange/100)</f>
        <v>2210</v>
      </c>
      <c r="F107">
        <v>30</v>
      </c>
      <c r="G107" s="9">
        <f>Table13[[#This Row],[Base range]]/((Table13[[#This Row],[Speed]]/3600*16*256)/(74*2)*24/10*2)+$AE$10</f>
        <v>72.495087594696969</v>
      </c>
      <c r="H107" s="21">
        <f>ROUNDDOWN(Table13[[#This Row],[Travel_time]]*formula_vsig_time,0)</f>
        <v>28</v>
      </c>
      <c r="I10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223</v>
      </c>
      <c r="J107" s="2">
        <f>Table13[[#This Row],[Capacity]]*Table13[[#This Row],[Range]]*payment_rate*Table13[[#This Row],[Time factor]]/2^21*GBP_to_Currency</f>
        <v>141461.56833171844</v>
      </c>
      <c r="K107" s="9">
        <f>365/Table13[[#This Row],[Travel_time]]</f>
        <v>5.0348239047675811</v>
      </c>
      <c r="L107" s="2">
        <f>Table13[[#This Row],[Income per travel]]*Table13[[#This Row],[Annual travels, max]]</f>
        <v>712234.08584244864</v>
      </c>
      <c r="M107" s="2">
        <f>Table13[[#This Row],[In_game_life]]*Table13[[#This Row],[Annual profit]]*ROI____lifetime*cost_factor</f>
        <v>5341755.6438183645</v>
      </c>
      <c r="N107" s="18">
        <f>Table13[[#This Row],[Annual profit]]*Running_cost_weight*runningcost_factor</f>
        <v>178058.52146061216</v>
      </c>
      <c r="O107" s="18">
        <f>Table13[[#This Row],[Buying cost]]+Table13[[#This Row],[Running cost]]*Table13[[#This Row],[In_game_life]]</f>
        <v>10683511.287636729</v>
      </c>
      <c r="P107" s="18">
        <f>Table13[[#This Row],[Annual profit]]*Table13[[#This Row],[In_game_life]]-Table13[[#This Row],[Total cost]]</f>
        <v>10683511.287636729</v>
      </c>
      <c r="Q107" s="22">
        <f>Table13[[#This Row],[Buying cost]]/buying_cost_convert*10000</f>
        <v>305243.17964676366</v>
      </c>
      <c r="R107" s="22">
        <f>Table13[[#This Row],[Running cost]]/running_cost_convert*1000</f>
        <v>593528.40486870718</v>
      </c>
      <c r="S107" s="22">
        <f>ROUND(Table13[IG buying cost factor]/Table13[Range],0)</f>
        <v>138</v>
      </c>
      <c r="T107" s="22">
        <f>ROUND(Table13[IG running cost factor]/Table13[Range],0)</f>
        <v>269</v>
      </c>
      <c r="U107" s="18"/>
      <c r="V107" s="18"/>
      <c r="W107" s="18">
        <f>IFERROR(Table13[[#This Row],[in-game cost]]/Table13[[#This Row],[Newgrf cost factor]],0)</f>
        <v>0</v>
      </c>
      <c r="X107" s="18"/>
      <c r="Y107" s="18"/>
      <c r="Z107" s="18">
        <f>IFERROR(Table13[[#This Row],[in-game running]]/Table13[[#This Row],[Newgrf running factor]],0)</f>
        <v>0</v>
      </c>
      <c r="AA107" s="23">
        <f>(Table13[[#This Row],[Buying/distance]]*Table13[Range]/10000*buying_cost_convert-Table13[Buying cost])/Table13[Buying cost]</f>
        <v>-8.6219664946566102E-4</v>
      </c>
      <c r="AB107" s="23">
        <f>(Table13[Running/distance]*Table13[Range]/1000*running_cost_convert-Table13[Running cost])/Table13[Running cost]</f>
        <v>1.620133296746792E-3</v>
      </c>
    </row>
    <row r="108" spans="1:28" hidden="1" x14ac:dyDescent="0.3">
      <c r="A108" s="1" t="s">
        <v>114</v>
      </c>
      <c r="B108">
        <v>946</v>
      </c>
      <c r="C108">
        <v>189</v>
      </c>
      <c r="D108">
        <v>1950</v>
      </c>
      <c r="E108">
        <f>IF(D:D&lt;minaddmultirange,MAX(Table13[[#This Row],[Base range]],Minbaserange)*rangemultipl*rangemultiplsmalladd/10000,MAX(Table13[[#This Row],[Base range]],Minbaserange)*minaddmultirange/100)</f>
        <v>1950</v>
      </c>
      <c r="F108">
        <v>25</v>
      </c>
      <c r="G108" s="9">
        <f>Table13[[#This Row],[Base range]]/((Table13[[#This Row],[Speed]]/3600*16*256)/(74*2)*24/10*2)+$AE$10</f>
        <v>67.860716999207199</v>
      </c>
      <c r="H108" s="21">
        <f>ROUNDDOWN(Table13[[#This Row],[Travel_time]]*formula_vsig_time,0)</f>
        <v>27</v>
      </c>
      <c r="I10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225</v>
      </c>
      <c r="J108" s="2">
        <f>Table13[[#This Row],[Capacity]]*Table13[[#This Row],[Range]]*payment_rate*Table13[[#This Row],[Time factor]]/2^21*GBP_to_Currency</f>
        <v>125938.48407268524</v>
      </c>
      <c r="K108" s="9">
        <f>365/Table13[[#This Row],[Travel_time]]</f>
        <v>5.378664065754923</v>
      </c>
      <c r="L108" s="2">
        <f>Table13[[#This Row],[Income per travel]]*Table13[[#This Row],[Annual travels, max]]</f>
        <v>677380.79877740087</v>
      </c>
      <c r="M108" s="2">
        <f>Table13[[#This Row],[In_game_life]]*Table13[[#This Row],[Annual profit]]*ROI____lifetime*cost_factor</f>
        <v>4233629.9923587553</v>
      </c>
      <c r="N108" s="18">
        <f>Table13[[#This Row],[Annual profit]]*Running_cost_weight*runningcost_factor</f>
        <v>169345.19969435022</v>
      </c>
      <c r="O108" s="18">
        <f>Table13[[#This Row],[Buying cost]]+Table13[[#This Row],[Running cost]]*Table13[[#This Row],[In_game_life]]</f>
        <v>8467259.9847175106</v>
      </c>
      <c r="P108" s="18">
        <f>Table13[[#This Row],[Annual profit]]*Table13[[#This Row],[In_game_life]]-Table13[[#This Row],[Total cost]]</f>
        <v>8467259.9847175106</v>
      </c>
      <c r="Q108" s="22">
        <f>Table13[[#This Row],[Buying cost]]/buying_cost_convert*10000</f>
        <v>241921.71384907173</v>
      </c>
      <c r="R108" s="22">
        <f>Table13[[#This Row],[Running cost]]/running_cost_convert*1000</f>
        <v>564483.99898116733</v>
      </c>
      <c r="S108" s="22">
        <f>ROUND(Table13[IG buying cost factor]/Table13[Range],0)</f>
        <v>124</v>
      </c>
      <c r="T108" s="22">
        <f>ROUND(Table13[IG running cost factor]/Table13[Range],0)</f>
        <v>289</v>
      </c>
      <c r="U108" s="18"/>
      <c r="V108" s="18"/>
      <c r="W108" s="18">
        <f>IFERROR(Table13[[#This Row],[in-game cost]]/Table13[[#This Row],[Newgrf cost factor]],0)</f>
        <v>0</v>
      </c>
      <c r="X108" s="18"/>
      <c r="Y108" s="18"/>
      <c r="Z108" s="18">
        <f>IFERROR(Table13[[#This Row],[in-game running]]/Table13[[#This Row],[Newgrf running factor]],0)</f>
        <v>0</v>
      </c>
      <c r="AA108" s="23">
        <f>(Table13[[#This Row],[Buying/distance]]*Table13[Range]/10000*buying_cost_convert-Table13[Buying cost])/Table13[Buying cost]</f>
        <v>-5.0311254469562205E-4</v>
      </c>
      <c r="AB108" s="23">
        <f>(Table13[Running/distance]*Table13[Range]/1000*running_cost_convert-Table13[Running cost])/Table13[Running cost]</f>
        <v>-1.6546066546671914E-3</v>
      </c>
    </row>
    <row r="109" spans="1:28" hidden="1" x14ac:dyDescent="0.3">
      <c r="A109" s="11" t="s">
        <v>115</v>
      </c>
      <c r="B109">
        <v>933</v>
      </c>
      <c r="C109">
        <v>200</v>
      </c>
      <c r="D109">
        <v>1365</v>
      </c>
      <c r="E109">
        <f>IF(D:D&lt;minaddmultirange,MAX(Table13[[#This Row],[Base range]],Minbaserange)*rangemultipl*rangemultiplsmalladd/10000,MAX(Table13[[#This Row],[Base range]],Minbaserange)*minaddmultirange/100)</f>
        <v>1365</v>
      </c>
      <c r="F109">
        <v>25</v>
      </c>
      <c r="G109" s="9">
        <f>Table13[[#This Row],[Base range]]/((Table13[[#This Row],[Speed]]/3600*16*256)/(74*2)*24/10*2)+$AE$10</f>
        <v>51.647338474678456</v>
      </c>
      <c r="H109" s="21">
        <f>ROUNDDOWN(Table13[[#This Row],[Travel_time]]*formula_vsig_time,0)</f>
        <v>20</v>
      </c>
      <c r="I10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235</v>
      </c>
      <c r="J109" s="2">
        <f>Table13[[#This Row],[Capacity]]*Table13[[#This Row],[Range]]*payment_rate*Table13[[#This Row],[Time factor]]/2^21*GBP_to_Currency</f>
        <v>97433.888912200928</v>
      </c>
      <c r="K109" s="9">
        <f>365/Table13[[#This Row],[Travel_time]]</f>
        <v>7.0671599114241168</v>
      </c>
      <c r="L109" s="2">
        <f>Table13[[#This Row],[Income per travel]]*Table13[[#This Row],[Annual travels, max]]</f>
        <v>688580.87373445719</v>
      </c>
      <c r="M109" s="2">
        <f>Table13[[#This Row],[In_game_life]]*Table13[[#This Row],[Annual profit]]*ROI____lifetime*cost_factor</f>
        <v>4303630.4608403575</v>
      </c>
      <c r="N109" s="18">
        <f>Table13[[#This Row],[Annual profit]]*Running_cost_weight*runningcost_factor</f>
        <v>172145.2184336143</v>
      </c>
      <c r="O109" s="18">
        <f>Table13[[#This Row],[Buying cost]]+Table13[[#This Row],[Running cost]]*Table13[[#This Row],[In_game_life]]</f>
        <v>8607260.9216807149</v>
      </c>
      <c r="P109" s="18">
        <f>Table13[[#This Row],[Annual profit]]*Table13[[#This Row],[In_game_life]]-Table13[[#This Row],[Total cost]]</f>
        <v>8607260.9216807149</v>
      </c>
      <c r="Q109" s="22">
        <f>Table13[[#This Row],[Buying cost]]/buying_cost_convert*10000</f>
        <v>245921.740619449</v>
      </c>
      <c r="R109" s="22">
        <f>Table13[[#This Row],[Running cost]]/running_cost_convert*1000</f>
        <v>573817.39477871428</v>
      </c>
      <c r="S109" s="22">
        <f>ROUND(Table13[IG buying cost factor]/Table13[Range],0)</f>
        <v>180</v>
      </c>
      <c r="T109" s="22">
        <f>ROUND(Table13[IG running cost factor]/Table13[Range],0)</f>
        <v>420</v>
      </c>
      <c r="U109" s="18"/>
      <c r="V109" s="18"/>
      <c r="W109" s="18">
        <f>IFERROR(Table13[[#This Row],[in-game cost]]/Table13[[#This Row],[Newgrf cost factor]],0)</f>
        <v>0</v>
      </c>
      <c r="X109" s="18"/>
      <c r="Y109" s="18"/>
      <c r="Z109" s="18">
        <f>IFERROR(Table13[[#This Row],[in-game running]]/Table13[[#This Row],[Newgrf running factor]],0)</f>
        <v>0</v>
      </c>
      <c r="AA109" s="23">
        <f>(Table13[[#This Row],[Buying/distance]]*Table13[Range]/10000*buying_cost_convert-Table13[Buying cost])/Table13[Buying cost]</f>
        <v>-9.0167147845675885E-4</v>
      </c>
      <c r="AB109" s="23">
        <f>(Table13[Running/distance]*Table13[Range]/1000*running_cost_convert-Table13[Running cost])/Table13[Running cost]</f>
        <v>-9.016714784567453E-4</v>
      </c>
    </row>
    <row r="110" spans="1:28" hidden="1" x14ac:dyDescent="0.3">
      <c r="A110" s="10" t="s">
        <v>116</v>
      </c>
      <c r="B110">
        <v>833</v>
      </c>
      <c r="C110">
        <v>206</v>
      </c>
      <c r="D110">
        <v>1335</v>
      </c>
      <c r="E110">
        <f>IF(D:D&lt;minaddmultirange,MAX(Table13[[#This Row],[Base range]],Minbaserange)*rangemultipl*rangemultiplsmalladd/10000,MAX(Table13[[#This Row],[Base range]],Minbaserange)*minaddmultirange/100)</f>
        <v>1335</v>
      </c>
      <c r="F110">
        <v>30</v>
      </c>
      <c r="G110" s="9">
        <f>Table13[[#This Row],[Base range]]/((Table13[[#This Row],[Speed]]/3600*16*256)/(74*2)*24/10*2)+$AE$10</f>
        <v>55.430946597388953</v>
      </c>
      <c r="H110" s="21">
        <f>ROUNDDOWN(Table13[[#This Row],[Travel_time]]*formula_vsig_time,0)</f>
        <v>22</v>
      </c>
      <c r="I11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233</v>
      </c>
      <c r="J110" s="2">
        <f>Table13[[#This Row],[Capacity]]*Table13[[#This Row],[Range]]*payment_rate*Table13[[#This Row],[Time factor]]/2^21*GBP_to_Currency</f>
        <v>97315.929436683655</v>
      </c>
      <c r="K110" s="9">
        <f>365/Table13[[#This Row],[Travel_time]]</f>
        <v>6.5847693825454741</v>
      </c>
      <c r="L110" s="2">
        <f>Table13[[#This Row],[Income per travel]]*Table13[[#This Row],[Annual travels, max]]</f>
        <v>640802.95258863037</v>
      </c>
      <c r="M110" s="2">
        <f>Table13[[#This Row],[In_game_life]]*Table13[[#This Row],[Annual profit]]*ROI____lifetime*cost_factor</f>
        <v>4806022.1444147276</v>
      </c>
      <c r="N110" s="18">
        <f>Table13[[#This Row],[Annual profit]]*Running_cost_weight*runningcost_factor</f>
        <v>160200.73814715759</v>
      </c>
      <c r="O110" s="18">
        <f>Table13[[#This Row],[Buying cost]]+Table13[[#This Row],[Running cost]]*Table13[[#This Row],[In_game_life]]</f>
        <v>9612044.2888294552</v>
      </c>
      <c r="P110" s="18">
        <f>Table13[[#This Row],[Annual profit]]*Table13[[#This Row],[In_game_life]]-Table13[[#This Row],[Total cost]]</f>
        <v>9612044.2888294552</v>
      </c>
      <c r="Q110" s="22">
        <f>Table13[[#This Row],[Buying cost]]/buying_cost_convert*10000</f>
        <v>274629.83682369872</v>
      </c>
      <c r="R110" s="22">
        <f>Table13[[#This Row],[Running cost]]/running_cost_convert*1000</f>
        <v>534002.46049052535</v>
      </c>
      <c r="S110" s="22">
        <f>ROUND(Table13[IG buying cost factor]/Table13[Range],0)</f>
        <v>206</v>
      </c>
      <c r="T110" s="22">
        <f>ROUND(Table13[IG running cost factor]/Table13[Range],0)</f>
        <v>400</v>
      </c>
      <c r="U110" s="18"/>
      <c r="V110" s="18"/>
      <c r="W110" s="18">
        <f>IFERROR(Table13[[#This Row],[in-game cost]]/Table13[[#This Row],[Newgrf cost factor]],0)</f>
        <v>0</v>
      </c>
      <c r="X110" s="18"/>
      <c r="Y110" s="18"/>
      <c r="Z110" s="18">
        <f>IFERROR(Table13[[#This Row],[in-game running]]/Table13[[#This Row],[Newgrf running factor]],0)</f>
        <v>0</v>
      </c>
      <c r="AA110" s="23">
        <f>(Table13[[#This Row],[Buying/distance]]*Table13[Range]/10000*buying_cost_convert-Table13[Buying cost])/Table13[Buying cost]</f>
        <v>1.3842748504610983E-3</v>
      </c>
      <c r="AB110" s="23">
        <f>(Table13[Running/distance]*Table13[Range]/1000*running_cost_convert-Table13[Running cost])/Table13[Running cost]</f>
        <v>-4.6076389293261634E-6</v>
      </c>
    </row>
    <row r="111" spans="1:28" hidden="1" x14ac:dyDescent="0.3">
      <c r="A111" s="11" t="s">
        <v>117</v>
      </c>
      <c r="B111">
        <v>901</v>
      </c>
      <c r="C111">
        <v>218</v>
      </c>
      <c r="D111">
        <v>1225</v>
      </c>
      <c r="E111">
        <f>IF(D:D&lt;minaddmultirange,MAX(Table13[[#This Row],[Base range]],Minbaserange)*rangemultipl*rangemultiplsmalladd/10000,MAX(Table13[[#This Row],[Base range]],Minbaserange)*minaddmultirange/100)</f>
        <v>1225</v>
      </c>
      <c r="F111">
        <v>28</v>
      </c>
      <c r="G111" s="9">
        <f>Table13[[#This Row],[Base range]]/((Table13[[#This Row],[Speed]]/3600*16*256)/(74*2)*24/10*2)+$AE$10</f>
        <v>48.844640937153159</v>
      </c>
      <c r="H111" s="21">
        <f>ROUNDDOWN(Table13[[#This Row],[Travel_time]]*formula_vsig_time,0)</f>
        <v>19</v>
      </c>
      <c r="I11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236</v>
      </c>
      <c r="J111" s="2">
        <f>Table13[[#This Row],[Capacity]]*Table13[[#This Row],[Range]]*payment_rate*Table13[[#This Row],[Time factor]]/2^21*GBP_to_Currency</f>
        <v>95715.905666351318</v>
      </c>
      <c r="K111" s="9">
        <f>365/Table13[[#This Row],[Travel_time]]</f>
        <v>7.4726723955169181</v>
      </c>
      <c r="L111" s="2">
        <f>Table13[[#This Row],[Income per travel]]*Table13[[#This Row],[Annual travels, max]]</f>
        <v>715253.60608484491</v>
      </c>
      <c r="M111" s="2">
        <f>Table13[[#This Row],[In_game_life]]*Table13[[#This Row],[Annual profit]]*ROI____lifetime*cost_factor</f>
        <v>5006775.2425939143</v>
      </c>
      <c r="N111" s="18">
        <f>Table13[[#This Row],[Annual profit]]*Running_cost_weight*runningcost_factor</f>
        <v>178813.40152121123</v>
      </c>
      <c r="O111" s="18">
        <f>Table13[[#This Row],[Buying cost]]+Table13[[#This Row],[Running cost]]*Table13[[#This Row],[In_game_life]]</f>
        <v>10013550.485187829</v>
      </c>
      <c r="P111" s="18">
        <f>Table13[[#This Row],[Annual profit]]*Table13[[#This Row],[In_game_life]]-Table13[[#This Row],[Total cost]]</f>
        <v>10013550.485187829</v>
      </c>
      <c r="Q111" s="22">
        <f>Table13[[#This Row],[Buying cost]]/buying_cost_convert*10000</f>
        <v>286101.44243393798</v>
      </c>
      <c r="R111" s="22">
        <f>Table13[[#This Row],[Running cost]]/running_cost_convert*1000</f>
        <v>596044.67173737078</v>
      </c>
      <c r="S111" s="22">
        <f>ROUND(Table13[IG buying cost factor]/Table13[Range],0)</f>
        <v>234</v>
      </c>
      <c r="T111" s="22">
        <f>ROUND(Table13[IG running cost factor]/Table13[Range],0)</f>
        <v>487</v>
      </c>
      <c r="U111" s="18"/>
      <c r="V111" s="18"/>
      <c r="W111" s="18">
        <f>IFERROR(Table13[[#This Row],[in-game cost]]/Table13[[#This Row],[Newgrf cost factor]],0)</f>
        <v>0</v>
      </c>
      <c r="X111" s="18"/>
      <c r="Y111" s="18"/>
      <c r="Z111" s="18">
        <f>IFERROR(Table13[[#This Row],[in-game running]]/Table13[[#This Row],[Newgrf running factor]],0)</f>
        <v>0</v>
      </c>
      <c r="AA111" s="23">
        <f>(Table13[[#This Row],[Buying/distance]]*Table13[Range]/10000*buying_cost_convert-Table13[Buying cost])/Table13[Buying cost]</f>
        <v>1.9173533743672264E-3</v>
      </c>
      <c r="AB111" s="23">
        <f>(Table13[Running/distance]*Table13[Range]/1000*running_cost_convert-Table13[Running cost])/Table13[Running cost]</f>
        <v>8.8974583244477506E-4</v>
      </c>
    </row>
    <row r="112" spans="1:28" hidden="1" x14ac:dyDescent="0.3">
      <c r="A112" s="11" t="s">
        <v>118</v>
      </c>
      <c r="B112">
        <v>901</v>
      </c>
      <c r="C112">
        <v>218</v>
      </c>
      <c r="D112">
        <v>1965</v>
      </c>
      <c r="E112">
        <f>IF(D:D&lt;minaddmultirange,MAX(Table13[[#This Row],[Base range]],Minbaserange)*rangemultipl*rangemultiplsmalladd/10000,MAX(Table13[[#This Row],[Base range]],Minbaserange)*minaddmultirange/100)</f>
        <v>1965</v>
      </c>
      <c r="F112">
        <v>32</v>
      </c>
      <c r="G112" s="9">
        <f>Table13[[#This Row],[Base range]]/((Table13[[#This Row],[Speed]]/3600*16*256)/(74*2)*24/10*2)+$AE$10</f>
        <v>71.101811788984463</v>
      </c>
      <c r="H112" s="21">
        <f>ROUNDDOWN(Table13[[#This Row],[Travel_time]]*formula_vsig_time,0)</f>
        <v>28</v>
      </c>
      <c r="I11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223</v>
      </c>
      <c r="J112" s="2">
        <f>Table13[[#This Row],[Capacity]]*Table13[[#This Row],[Range]]*payment_rate*Table13[[#This Row],[Time factor]]/2^21*GBP_to_Currency</f>
        <v>145078.62775325775</v>
      </c>
      <c r="K112" s="9">
        <f>365/Table13[[#This Row],[Travel_time]]</f>
        <v>5.1334838144946975</v>
      </c>
      <c r="L112" s="2">
        <f>Table13[[#This Row],[Income per travel]]*Table13[[#This Row],[Annual travels, max]]</f>
        <v>744758.78740044986</v>
      </c>
      <c r="M112" s="2">
        <f>Table13[[#This Row],[In_game_life]]*Table13[[#This Row],[Annual profit]]*ROI____lifetime*cost_factor</f>
        <v>5958070.2992035989</v>
      </c>
      <c r="N112" s="18">
        <f>Table13[[#This Row],[Annual profit]]*Running_cost_weight*runningcost_factor</f>
        <v>186189.69685011246</v>
      </c>
      <c r="O112" s="18">
        <f>Table13[[#This Row],[Buying cost]]+Table13[[#This Row],[Running cost]]*Table13[[#This Row],[In_game_life]]</f>
        <v>11916140.598407198</v>
      </c>
      <c r="P112" s="18">
        <f>Table13[[#This Row],[Annual profit]]*Table13[[#This Row],[In_game_life]]-Table13[[#This Row],[Total cost]]</f>
        <v>11916140.598407198</v>
      </c>
      <c r="Q112" s="22">
        <f>Table13[[#This Row],[Buying cost]]/buying_cost_convert*10000</f>
        <v>340461.15995449136</v>
      </c>
      <c r="R112" s="22">
        <f>Table13[[#This Row],[Running cost]]/running_cost_convert*1000</f>
        <v>620632.32283370825</v>
      </c>
      <c r="S112" s="22">
        <f>ROUND(Table13[IG buying cost factor]/Table13[Range],0)</f>
        <v>173</v>
      </c>
      <c r="T112" s="22">
        <f>ROUND(Table13[IG running cost factor]/Table13[Range],0)</f>
        <v>316</v>
      </c>
      <c r="U112" s="18"/>
      <c r="V112" s="18"/>
      <c r="W112" s="18">
        <f>IFERROR(Table13[[#This Row],[in-game cost]]/Table13[[#This Row],[Newgrf cost factor]],0)</f>
        <v>0</v>
      </c>
      <c r="X112" s="18"/>
      <c r="Y112" s="18"/>
      <c r="Z112" s="18">
        <f>IFERROR(Table13[[#This Row],[in-game running]]/Table13[[#This Row],[Newgrf running factor]],0)</f>
        <v>0</v>
      </c>
      <c r="AA112" s="23">
        <f>(Table13[[#This Row],[Buying/distance]]*Table13[Range]/10000*buying_cost_convert-Table13[Buying cost])/Table13[Buying cost]</f>
        <v>-1.5160611993460811E-3</v>
      </c>
      <c r="AB112" s="23">
        <f>(Table13[Running/distance]*Table13[Range]/1000*running_cost_convert-Table13[Running cost])/Table13[Running cost]</f>
        <v>4.957478928700915E-4</v>
      </c>
    </row>
    <row r="113" spans="1:28" hidden="1" x14ac:dyDescent="0.3">
      <c r="A113" s="10" t="s">
        <v>119</v>
      </c>
      <c r="B113">
        <v>914</v>
      </c>
      <c r="C113">
        <v>218</v>
      </c>
      <c r="D113">
        <v>1995</v>
      </c>
      <c r="E113">
        <f>IF(D:D&lt;minaddmultirange,MAX(Table13[[#This Row],[Base range]],Minbaserange)*rangemultipl*rangemultiplsmalladd/10000,MAX(Table13[[#This Row],[Base range]],Minbaserange)*minaddmultirange/100)</f>
        <v>1995</v>
      </c>
      <c r="F113">
        <v>30</v>
      </c>
      <c r="G113" s="9">
        <f>Table13[[#This Row],[Base range]]/((Table13[[#This Row],[Speed]]/3600*16*256)/(74*2)*24/10*2)+$AE$10</f>
        <v>71.150679106263681</v>
      </c>
      <c r="H113" s="21">
        <f>ROUNDDOWN(Table13[[#This Row],[Travel_time]]*formula_vsig_time,0)</f>
        <v>28</v>
      </c>
      <c r="I11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223</v>
      </c>
      <c r="J113" s="2">
        <f>Table13[[#This Row],[Capacity]]*Table13[[#This Row],[Range]]*payment_rate*Table13[[#This Row],[Time factor]]/2^21*GBP_to_Currency</f>
        <v>147293.56863498688</v>
      </c>
      <c r="K113" s="9">
        <f>365/Table13[[#This Row],[Travel_time]]</f>
        <v>5.1299580634342474</v>
      </c>
      <c r="L113" s="2">
        <f>Table13[[#This Row],[Income per travel]]*Table13[[#This Row],[Annual travels, max]]</f>
        <v>755609.83011105668</v>
      </c>
      <c r="M113" s="2">
        <f>Table13[[#This Row],[In_game_life]]*Table13[[#This Row],[Annual profit]]*ROI____lifetime*cost_factor</f>
        <v>5667073.7258329252</v>
      </c>
      <c r="N113" s="18">
        <f>Table13[[#This Row],[Annual profit]]*Running_cost_weight*runningcost_factor</f>
        <v>188902.45752776417</v>
      </c>
      <c r="O113" s="18">
        <f>Table13[[#This Row],[Buying cost]]+Table13[[#This Row],[Running cost]]*Table13[[#This Row],[In_game_life]]</f>
        <v>11334147.45166585</v>
      </c>
      <c r="P113" s="18">
        <f>Table13[[#This Row],[Annual profit]]*Table13[[#This Row],[In_game_life]]-Table13[[#This Row],[Total cost]]</f>
        <v>11334147.45166585</v>
      </c>
      <c r="Q113" s="22">
        <f>Table13[[#This Row],[Buying cost]]/buying_cost_convert*10000</f>
        <v>323832.78433330997</v>
      </c>
      <c r="R113" s="22">
        <f>Table13[[#This Row],[Running cost]]/running_cost_convert*1000</f>
        <v>629674.85842588055</v>
      </c>
      <c r="S113" s="22">
        <f>ROUND(Table13[IG buying cost factor]/Table13[Range],0)</f>
        <v>162</v>
      </c>
      <c r="T113" s="22">
        <f>ROUND(Table13[IG running cost factor]/Table13[Range],0)</f>
        <v>316</v>
      </c>
      <c r="U113" s="18"/>
      <c r="V113" s="18"/>
      <c r="W113" s="18">
        <f>IFERROR(Table13[[#This Row],[in-game cost]]/Table13[[#This Row],[Newgrf cost factor]],0)</f>
        <v>0</v>
      </c>
      <c r="X113" s="18"/>
      <c r="Y113" s="18"/>
      <c r="Z113" s="18">
        <f>IFERROR(Table13[[#This Row],[in-game running]]/Table13[[#This Row],[Newgrf running factor]],0)</f>
        <v>0</v>
      </c>
      <c r="AA113" s="23">
        <f>(Table13[[#This Row],[Buying/distance]]*Table13[Range]/10000*buying_cost_convert-Table13[Buying cost])/Table13[Buying cost]</f>
        <v>-1.9849266794692852E-3</v>
      </c>
      <c r="AB113" s="23">
        <f>(Table13[Running/distance]*Table13[Range]/1000*running_cost_convert-Table13[Running cost])/Table13[Running cost]</f>
        <v>1.1833751405959021E-3</v>
      </c>
    </row>
    <row r="114" spans="1:28" hidden="1" x14ac:dyDescent="0.3">
      <c r="A114" s="11" t="s">
        <v>120</v>
      </c>
      <c r="B114">
        <v>888</v>
      </c>
      <c r="C114">
        <v>220</v>
      </c>
      <c r="D114">
        <v>535</v>
      </c>
      <c r="E114">
        <f>IF(D:D&lt;minaddmultirange,MAX(Table13[[#This Row],[Base range]],Minbaserange)*rangemultipl*rangemultiplsmalladd/10000,MAX(Table13[[#This Row],[Base range]],Minbaserange)*minaddmultirange/100)</f>
        <v>535</v>
      </c>
      <c r="F114">
        <v>17</v>
      </c>
      <c r="G114" s="9">
        <f>Table13[[#This Row],[Base range]]/((Table13[[#This Row],[Speed]]/3600*16*256)/(74*2)*24/10*2)+$AE$10</f>
        <v>28.326904296875</v>
      </c>
      <c r="H114" s="21">
        <f>ROUNDDOWN(Table13[[#This Row],[Travel_time]]*formula_vsig_time,0)</f>
        <v>11</v>
      </c>
      <c r="I11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114" s="2">
        <f>Table13[[#This Row],[Capacity]]*Table13[[#This Row],[Range]]*payment_rate*Table13[[#This Row],[Time factor]]/2^21*GBP_to_Currency</f>
        <v>43615.998268127441</v>
      </c>
      <c r="K114" s="9">
        <f>365/Table13[[#This Row],[Travel_time]]</f>
        <v>12.885276702836409</v>
      </c>
      <c r="L114" s="2">
        <f>Table13[[#This Row],[Income per travel]]*Table13[[#This Row],[Annual travels, max]]</f>
        <v>562004.20635525568</v>
      </c>
      <c r="M114" s="2">
        <f>Table13[[#This Row],[In_game_life]]*Table13[[#This Row],[Annual profit]]*ROI____lifetime*cost_factor</f>
        <v>2388517.8770098365</v>
      </c>
      <c r="N114" s="18">
        <f>Table13[[#This Row],[Annual profit]]*Running_cost_weight*runningcost_factor</f>
        <v>140501.05158881392</v>
      </c>
      <c r="O114" s="18">
        <f>Table13[[#This Row],[Buying cost]]+Table13[[#This Row],[Running cost]]*Table13[[#This Row],[In_game_life]]</f>
        <v>4777035.754019673</v>
      </c>
      <c r="P114" s="18">
        <f>Table13[[#This Row],[Annual profit]]*Table13[[#This Row],[In_game_life]]-Table13[[#This Row],[Total cost]]</f>
        <v>4777035.754019673</v>
      </c>
      <c r="Q114" s="22">
        <f>Table13[[#This Row],[Buying cost]]/buying_cost_convert*10000</f>
        <v>136486.73582913351</v>
      </c>
      <c r="R114" s="22">
        <f>Table13[[#This Row],[Running cost]]/running_cost_convert*1000</f>
        <v>468336.83862937969</v>
      </c>
      <c r="S114" s="22">
        <f>ROUND(Table13[IG buying cost factor]/Table13[Range],0)</f>
        <v>255</v>
      </c>
      <c r="T114" s="22">
        <f>ROUND(Table13[IG running cost factor]/Table13[Range],0)</f>
        <v>875</v>
      </c>
      <c r="U114" s="18"/>
      <c r="V114" s="18"/>
      <c r="W114" s="18">
        <f>IFERROR(Table13[[#This Row],[in-game cost]]/Table13[[#This Row],[Newgrf cost factor]],0)</f>
        <v>0</v>
      </c>
      <c r="X114" s="18"/>
      <c r="Y114" s="18"/>
      <c r="Z114" s="18">
        <f>IFERROR(Table13[[#This Row],[in-game running]]/Table13[[#This Row],[Newgrf running factor]],0)</f>
        <v>0</v>
      </c>
      <c r="AA114" s="23">
        <f>(Table13[[#This Row],[Buying/distance]]*Table13[Range]/10000*buying_cost_convert-Table13[Buying cost])/Table13[Buying cost]</f>
        <v>-4.5232109009332819E-4</v>
      </c>
      <c r="AB114" s="23">
        <f>(Table13[Running/distance]*Table13[Range]/1000*running_cost_convert-Table13[Running cost])/Table13[Running cost]</f>
        <v>-4.5232109009338907E-4</v>
      </c>
    </row>
    <row r="115" spans="1:28" hidden="1" x14ac:dyDescent="0.3">
      <c r="A115" s="11" t="s">
        <v>121</v>
      </c>
      <c r="B115">
        <v>871</v>
      </c>
      <c r="C115">
        <v>220</v>
      </c>
      <c r="D115">
        <v>1190</v>
      </c>
      <c r="E115">
        <f>IF(D:D&lt;minaddmultirange,MAX(Table13[[#This Row],[Base range]],Minbaserange)*rangemultipl*rangemultiplsmalladd/10000,MAX(Table13[[#This Row],[Base range]],Minbaserange)*minaddmultirange/100)</f>
        <v>1190</v>
      </c>
      <c r="F115">
        <v>20</v>
      </c>
      <c r="G115" s="9">
        <f>Table13[[#This Row],[Base range]]/((Table13[[#This Row],[Speed]]/3600*16*256)/(74*2)*24/10*2)+$AE$10</f>
        <v>49.024724634041341</v>
      </c>
      <c r="H115" s="21">
        <f>ROUNDDOWN(Table13[[#This Row],[Travel_time]]*formula_vsig_time,0)</f>
        <v>19</v>
      </c>
      <c r="I11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236</v>
      </c>
      <c r="J115" s="2">
        <f>Table13[[#This Row],[Capacity]]*Table13[[#This Row],[Range]]*payment_rate*Table13[[#This Row],[Time factor]]/2^21*GBP_to_Currency</f>
        <v>93834.203720092773</v>
      </c>
      <c r="K115" s="9">
        <f>365/Table13[[#This Row],[Travel_time]]</f>
        <v>7.44522284876955</v>
      </c>
      <c r="L115" s="2">
        <f>Table13[[#This Row],[Income per travel]]*Table13[[#This Row],[Annual travels, max]]</f>
        <v>698616.55753293145</v>
      </c>
      <c r="M115" s="2">
        <f>Table13[[#This Row],[In_game_life]]*Table13[[#This Row],[Annual profit]]*ROI____lifetime*cost_factor</f>
        <v>3493082.7876646575</v>
      </c>
      <c r="N115" s="18">
        <f>Table13[[#This Row],[Annual profit]]*Running_cost_weight*runningcost_factor</f>
        <v>174654.13938323286</v>
      </c>
      <c r="O115" s="18">
        <f>Table13[[#This Row],[Buying cost]]+Table13[[#This Row],[Running cost]]*Table13[[#This Row],[In_game_life]]</f>
        <v>6986165.5753293149</v>
      </c>
      <c r="P115" s="18">
        <f>Table13[[#This Row],[Annual profit]]*Table13[[#This Row],[In_game_life]]-Table13[[#This Row],[Total cost]]</f>
        <v>6986165.5753293149</v>
      </c>
      <c r="Q115" s="22">
        <f>Table13[[#This Row],[Buying cost]]/buying_cost_convert*10000</f>
        <v>199604.73072369469</v>
      </c>
      <c r="R115" s="22">
        <f>Table13[[#This Row],[Running cost]]/running_cost_convert*1000</f>
        <v>582180.46461077617</v>
      </c>
      <c r="S115" s="22">
        <f>ROUND(Table13[IG buying cost factor]/Table13[Range],0)</f>
        <v>168</v>
      </c>
      <c r="T115" s="22">
        <f>ROUND(Table13[IG running cost factor]/Table13[Range],0)</f>
        <v>489</v>
      </c>
      <c r="U115" s="18"/>
      <c r="V115" s="18"/>
      <c r="W115" s="18">
        <f>IFERROR(Table13[[#This Row],[in-game cost]]/Table13[[#This Row],[Newgrf cost factor]],0)</f>
        <v>0</v>
      </c>
      <c r="X115" s="18"/>
      <c r="Y115" s="18"/>
      <c r="Z115" s="18">
        <f>IFERROR(Table13[[#This Row],[in-game running]]/Table13[[#This Row],[Newgrf running factor]],0)</f>
        <v>0</v>
      </c>
      <c r="AA115" s="23">
        <f>(Table13[[#This Row],[Buying/distance]]*Table13[Range]/10000*buying_cost_convert-Table13[Buying cost])/Table13[Buying cost]</f>
        <v>1.5794679573086041E-3</v>
      </c>
      <c r="AB115" s="23">
        <f>(Table13[Running/distance]*Table13[Range]/1000*running_cost_convert-Table13[Running cost])/Table13[Running cost]</f>
        <v>-4.6457177321644876E-4</v>
      </c>
    </row>
    <row r="116" spans="1:28" hidden="1" x14ac:dyDescent="0.3">
      <c r="A116" s="11" t="s">
        <v>122</v>
      </c>
      <c r="B116">
        <v>871</v>
      </c>
      <c r="C116">
        <v>220</v>
      </c>
      <c r="D116">
        <v>1925</v>
      </c>
      <c r="E116">
        <f>IF(D:D&lt;minaddmultirange,MAX(Table13[[#This Row],[Base range]],Minbaserange)*rangemultipl*rangemultiplsmalladd/10000,MAX(Table13[[#This Row],[Base range]],Minbaserange)*minaddmultirange/100)</f>
        <v>1925</v>
      </c>
      <c r="F116">
        <v>22</v>
      </c>
      <c r="G116" s="9">
        <f>Table13[[#This Row],[Base range]]/((Table13[[#This Row],[Speed]]/3600*16*256)/(74*2)*24/10*2)+$AE$10</f>
        <v>71.892936908008039</v>
      </c>
      <c r="H116" s="21">
        <f>ROUNDDOWN(Table13[[#This Row],[Travel_time]]*formula_vsig_time,0)</f>
        <v>28</v>
      </c>
      <c r="I11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223</v>
      </c>
      <c r="J116" s="2">
        <f>Table13[[#This Row],[Capacity]]*Table13[[#This Row],[Range]]*payment_rate*Table13[[#This Row],[Time factor]]/2^21*GBP_to_Currency</f>
        <v>143429.27575111389</v>
      </c>
      <c r="K116" s="9">
        <f>365/Table13[[#This Row],[Travel_time]]</f>
        <v>5.0769938703024833</v>
      </c>
      <c r="L116" s="2">
        <f>Table13[[#This Row],[Income per travel]]*Table13[[#This Row],[Annual travels, max]]</f>
        <v>728189.55381032987</v>
      </c>
      <c r="M116" s="2">
        <f>Table13[[#This Row],[In_game_life]]*Table13[[#This Row],[Annual profit]]*ROI____lifetime*cost_factor</f>
        <v>4005042.5459568142</v>
      </c>
      <c r="N116" s="18">
        <f>Table13[[#This Row],[Annual profit]]*Running_cost_weight*runningcost_factor</f>
        <v>182047.38845258247</v>
      </c>
      <c r="O116" s="18">
        <f>Table13[[#This Row],[Buying cost]]+Table13[[#This Row],[Running cost]]*Table13[[#This Row],[In_game_life]]</f>
        <v>8010085.0919136284</v>
      </c>
      <c r="P116" s="18">
        <f>Table13[[#This Row],[Annual profit]]*Table13[[#This Row],[In_game_life]]-Table13[[#This Row],[Total cost]]</f>
        <v>8010085.0919136284</v>
      </c>
      <c r="Q116" s="22">
        <f>Table13[[#This Row],[Buying cost]]/buying_cost_convert*10000</f>
        <v>228859.57405467512</v>
      </c>
      <c r="R116" s="22">
        <f>Table13[[#This Row],[Running cost]]/running_cost_convert*1000</f>
        <v>606824.62817527493</v>
      </c>
      <c r="S116" s="22">
        <f>ROUND(Table13[IG buying cost factor]/Table13[Range],0)</f>
        <v>119</v>
      </c>
      <c r="T116" s="22">
        <f>ROUND(Table13[IG running cost factor]/Table13[Range],0)</f>
        <v>315</v>
      </c>
      <c r="U116" s="18"/>
      <c r="V116" s="18"/>
      <c r="W116" s="18">
        <f>IFERROR(Table13[[#This Row],[in-game cost]]/Table13[[#This Row],[Newgrf cost factor]],0)</f>
        <v>0</v>
      </c>
      <c r="X116" s="18"/>
      <c r="Y116" s="18"/>
      <c r="Z116" s="18">
        <f>IFERROR(Table13[[#This Row],[in-game running]]/Table13[[#This Row],[Newgrf running factor]],0)</f>
        <v>0</v>
      </c>
      <c r="AA116" s="23">
        <f>(Table13[[#This Row],[Buying/distance]]*Table13[Range]/10000*buying_cost_convert-Table13[Buying cost])/Table13[Buying cost]</f>
        <v>9.4130187131012189E-4</v>
      </c>
      <c r="AB116" s="23">
        <f>(Table13[Running/distance]*Table13[Range]/1000*running_cost_convert-Table13[Running cost])/Table13[Running cost]</f>
        <v>-7.4095241754925192E-4</v>
      </c>
    </row>
    <row r="117" spans="1:28" hidden="1" x14ac:dyDescent="0.3">
      <c r="A117" s="11" t="s">
        <v>123</v>
      </c>
      <c r="B117">
        <v>871</v>
      </c>
      <c r="C117">
        <v>220</v>
      </c>
      <c r="D117">
        <v>2230</v>
      </c>
      <c r="E117">
        <f>IF(D:D&lt;minaddmultirange,MAX(Table13[[#This Row],[Base range]],Minbaserange)*rangemultipl*rangemultiplsmalladd/10000,MAX(Table13[[#This Row],[Base range]],Minbaserange)*minaddmultirange/100)</f>
        <v>2230</v>
      </c>
      <c r="F117">
        <v>22</v>
      </c>
      <c r="G117" s="9">
        <f>Table13[[#This Row],[Base range]]/((Table13[[#This Row],[Speed]]/3600*16*256)/(74*2)*24/10*2)+$AE$10</f>
        <v>81.382467171354776</v>
      </c>
      <c r="H117" s="21">
        <f>ROUNDDOWN(Table13[[#This Row],[Travel_time]]*formula_vsig_time,0)</f>
        <v>32</v>
      </c>
      <c r="I11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215</v>
      </c>
      <c r="J117" s="2">
        <f>Table13[[#This Row],[Capacity]]*Table13[[#This Row],[Range]]*payment_rate*Table13[[#This Row],[Time factor]]/2^21*GBP_to_Currency</f>
        <v>160193.73655319214</v>
      </c>
      <c r="K117" s="9">
        <f>365/Table13[[#This Row],[Travel_time]]</f>
        <v>4.4849955117663685</v>
      </c>
      <c r="L117" s="2">
        <f>Table13[[#This Row],[Income per travel]]*Table13[[#This Row],[Annual travels, max]]</f>
        <v>718468.18945415074</v>
      </c>
      <c r="M117" s="2">
        <f>Table13[[#This Row],[In_game_life]]*Table13[[#This Row],[Annual profit]]*ROI____lifetime*cost_factor</f>
        <v>3951575.041997829</v>
      </c>
      <c r="N117" s="18">
        <f>Table13[[#This Row],[Annual profit]]*Running_cost_weight*runningcost_factor</f>
        <v>179617.04736353768</v>
      </c>
      <c r="O117" s="18">
        <f>Table13[[#This Row],[Buying cost]]+Table13[[#This Row],[Running cost]]*Table13[[#This Row],[In_game_life]]</f>
        <v>7903150.083995658</v>
      </c>
      <c r="P117" s="18">
        <f>Table13[[#This Row],[Annual profit]]*Table13[[#This Row],[In_game_life]]-Table13[[#This Row],[Total cost]]</f>
        <v>7903150.083995658</v>
      </c>
      <c r="Q117" s="22">
        <f>Table13[[#This Row],[Buying cost]]/buying_cost_convert*10000</f>
        <v>225804.28811416167</v>
      </c>
      <c r="R117" s="22">
        <f>Table13[[#This Row],[Running cost]]/running_cost_convert*1000</f>
        <v>598723.49121179234</v>
      </c>
      <c r="S117" s="22">
        <f>ROUND(Table13[IG buying cost factor]/Table13[Range],0)</f>
        <v>101</v>
      </c>
      <c r="T117" s="22">
        <f>ROUND(Table13[IG running cost factor]/Table13[Range],0)</f>
        <v>268</v>
      </c>
      <c r="U117" s="18"/>
      <c r="V117" s="18"/>
      <c r="W117" s="18">
        <f>IFERROR(Table13[[#This Row],[in-game cost]]/Table13[[#This Row],[Newgrf cost factor]],0)</f>
        <v>0</v>
      </c>
      <c r="X117" s="18"/>
      <c r="Y117" s="18"/>
      <c r="Z117" s="18">
        <f>IFERROR(Table13[[#This Row],[in-game running]]/Table13[[#This Row],[Newgrf running factor]],0)</f>
        <v>0</v>
      </c>
      <c r="AA117" s="23">
        <f>(Table13[[#This Row],[Buying/distance]]*Table13[Range]/10000*buying_cost_convert-Table13[Buying cost])/Table13[Buying cost]</f>
        <v>-2.5433003020354909E-3</v>
      </c>
      <c r="AB117" s="23">
        <f>(Table13[Running/distance]*Table13[Range]/1000*running_cost_convert-Table13[Running cost])/Table13[Running cost]</f>
        <v>-1.8096687831628869E-3</v>
      </c>
    </row>
    <row r="118" spans="1:28" hidden="1" x14ac:dyDescent="0.3">
      <c r="A118" s="11" t="s">
        <v>124</v>
      </c>
      <c r="B118">
        <v>998</v>
      </c>
      <c r="C118">
        <v>233</v>
      </c>
      <c r="D118">
        <v>2215</v>
      </c>
      <c r="E118">
        <f>IF(D:D&lt;minaddmultirange,MAX(Table13[[#This Row],[Base range]],Minbaserange)*rangemultipl*rangemultiplsmalladd/10000,MAX(Table13[[#This Row],[Base range]],Minbaserange)*minaddmultirange/100)</f>
        <v>2215</v>
      </c>
      <c r="F118">
        <v>30</v>
      </c>
      <c r="G118" s="9">
        <f>Table13[[#This Row],[Base range]]/((Table13[[#This Row],[Speed]]/3600*16*256)/(74*2)*24/10*2)+$AE$10</f>
        <v>72.145926618862717</v>
      </c>
      <c r="H118" s="21">
        <f>ROUNDDOWN(Table13[[#This Row],[Travel_time]]*formula_vsig_time,0)</f>
        <v>28</v>
      </c>
      <c r="I11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223</v>
      </c>
      <c r="J118" s="2">
        <f>Table13[[#This Row],[Capacity]]*Table13[[#This Row],[Range]]*payment_rate*Table13[[#This Row],[Time factor]]/2^21*GBP_to_Currency</f>
        <v>174788.9777302742</v>
      </c>
      <c r="K118" s="9">
        <f>365/Table13[[#This Row],[Travel_time]]</f>
        <v>5.0591906862357758</v>
      </c>
      <c r="L118" s="2">
        <f>Table13[[#This Row],[Income per travel]]*Table13[[#This Row],[Annual travels, max]]</f>
        <v>884290.76818967564</v>
      </c>
      <c r="M118" s="2">
        <f>Table13[[#This Row],[In_game_life]]*Table13[[#This Row],[Annual profit]]*ROI____lifetime*cost_factor</f>
        <v>6632180.7614225671</v>
      </c>
      <c r="N118" s="18">
        <f>Table13[[#This Row],[Annual profit]]*Running_cost_weight*runningcost_factor</f>
        <v>221072.69204741891</v>
      </c>
      <c r="O118" s="18">
        <f>Table13[[#This Row],[Buying cost]]+Table13[[#This Row],[Running cost]]*Table13[[#This Row],[In_game_life]]</f>
        <v>13264361.522845134</v>
      </c>
      <c r="P118" s="18">
        <f>Table13[[#This Row],[Annual profit]]*Table13[[#This Row],[In_game_life]]-Table13[[#This Row],[Total cost]]</f>
        <v>13264361.522845134</v>
      </c>
      <c r="Q118" s="22">
        <f>Table13[[#This Row],[Buying cost]]/buying_cost_convert*10000</f>
        <v>378981.75779557525</v>
      </c>
      <c r="R118" s="22">
        <f>Table13[[#This Row],[Running cost]]/running_cost_convert*1000</f>
        <v>736908.97349139641</v>
      </c>
      <c r="S118" s="22">
        <f>ROUND(Table13[IG buying cost factor]/Table13[Range],0)</f>
        <v>171</v>
      </c>
      <c r="T118" s="22">
        <f>ROUND(Table13[IG running cost factor]/Table13[Range],0)</f>
        <v>333</v>
      </c>
      <c r="U118" s="18"/>
      <c r="V118" s="18"/>
      <c r="W118" s="18">
        <f>IFERROR(Table13[[#This Row],[in-game cost]]/Table13[[#This Row],[Newgrf cost factor]],0)</f>
        <v>0</v>
      </c>
      <c r="X118" s="18"/>
      <c r="Y118" s="18"/>
      <c r="Z118" s="18">
        <f>IFERROR(Table13[[#This Row],[in-game running]]/Table13[[#This Row],[Newgrf running factor]],0)</f>
        <v>0</v>
      </c>
      <c r="AA118" s="23">
        <f>(Table13[[#This Row],[Buying/distance]]*Table13[Range]/10000*buying_cost_convert-Table13[Buying cost])/Table13[Buying cost]</f>
        <v>-5.7194783420731667E-4</v>
      </c>
      <c r="AB118" s="23">
        <f>(Table13[Running/distance]*Table13[Range]/1000*running_cost_convert-Table13[Running cost])/Table13[Running cost]</f>
        <v>9.3095149235775001E-4</v>
      </c>
    </row>
    <row r="119" spans="1:28" hidden="1" x14ac:dyDescent="0.3">
      <c r="A119" s="11" t="s">
        <v>125</v>
      </c>
      <c r="B119">
        <v>896</v>
      </c>
      <c r="C119">
        <v>240</v>
      </c>
      <c r="D119">
        <v>2665</v>
      </c>
      <c r="E119">
        <f>IF(D:D&lt;minaddmultirange,MAX(Table13[[#This Row],[Base range]],Minbaserange)*rangemultipl*rangemultiplsmalladd/10000,MAX(Table13[[#This Row],[Base range]],Minbaserange)*minaddmultirange/100)</f>
        <v>2665</v>
      </c>
      <c r="F119">
        <v>25</v>
      </c>
      <c r="G119" s="9">
        <f>Table13[[#This Row],[Base range]]/((Table13[[#This Row],[Speed]]/3600*16*256)/(74*2)*24/10*2)+$AE$10</f>
        <v>92.603190830775674</v>
      </c>
      <c r="H119" s="21">
        <f>ROUNDDOWN(Table13[[#This Row],[Travel_time]]*formula_vsig_time,0)</f>
        <v>37</v>
      </c>
      <c r="I11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205</v>
      </c>
      <c r="J119" s="2">
        <f>Table13[[#This Row],[Capacity]]*Table13[[#This Row],[Range]]*payment_rate*Table13[[#This Row],[Time factor]]/2^21*GBP_to_Currency</f>
        <v>199132.36141204834</v>
      </c>
      <c r="K119" s="9">
        <f>365/Table13[[#This Row],[Travel_time]]</f>
        <v>3.9415488464863588</v>
      </c>
      <c r="L119" s="2">
        <f>Table13[[#This Row],[Income per travel]]*Table13[[#This Row],[Annual travels, max]]</f>
        <v>784889.92942176387</v>
      </c>
      <c r="M119" s="2">
        <f>Table13[[#This Row],[In_game_life]]*Table13[[#This Row],[Annual profit]]*ROI____lifetime*cost_factor</f>
        <v>4905562.0588860242</v>
      </c>
      <c r="N119" s="18">
        <f>Table13[[#This Row],[Annual profit]]*Running_cost_weight*runningcost_factor</f>
        <v>196222.48235544097</v>
      </c>
      <c r="O119" s="18">
        <f>Table13[[#This Row],[Buying cost]]+Table13[[#This Row],[Running cost]]*Table13[[#This Row],[In_game_life]]</f>
        <v>9811124.1177720483</v>
      </c>
      <c r="P119" s="18">
        <f>Table13[[#This Row],[Annual profit]]*Table13[[#This Row],[In_game_life]]-Table13[[#This Row],[Total cost]]</f>
        <v>9811124.1177720483</v>
      </c>
      <c r="Q119" s="22">
        <f>Table13[[#This Row],[Buying cost]]/buying_cost_convert*10000</f>
        <v>280317.83193634427</v>
      </c>
      <c r="R119" s="22">
        <f>Table13[[#This Row],[Running cost]]/running_cost_convert*1000</f>
        <v>654074.94118480326</v>
      </c>
      <c r="S119" s="22">
        <f>ROUND(Table13[IG buying cost factor]/Table13[Range],0)</f>
        <v>105</v>
      </c>
      <c r="T119" s="22">
        <f>ROUND(Table13[IG running cost factor]/Table13[Range],0)</f>
        <v>245</v>
      </c>
      <c r="U119" s="18"/>
      <c r="V119" s="18"/>
      <c r="W119" s="18">
        <f>IFERROR(Table13[[#This Row],[in-game cost]]/Table13[[#This Row],[Newgrf cost factor]],0)</f>
        <v>0</v>
      </c>
      <c r="X119" s="18"/>
      <c r="Y119" s="18"/>
      <c r="Z119" s="18">
        <f>IFERROR(Table13[[#This Row],[in-game running]]/Table13[[#This Row],[Newgrf running factor]],0)</f>
        <v>0</v>
      </c>
      <c r="AA119" s="23">
        <f>(Table13[[#This Row],[Buying/distance]]*Table13[Range]/10000*buying_cost_convert-Table13[Buying cost])/Table13[Buying cost]</f>
        <v>-1.7581183934675716E-3</v>
      </c>
      <c r="AB119" s="23">
        <f>(Table13[Running/distance]*Table13[Range]/1000*running_cost_convert-Table13[Running cost])/Table13[Running cost]</f>
        <v>-1.7581183934675716E-3</v>
      </c>
    </row>
    <row r="120" spans="1:28" hidden="1" x14ac:dyDescent="0.3">
      <c r="A120" s="11" t="s">
        <v>126</v>
      </c>
      <c r="B120">
        <v>945</v>
      </c>
      <c r="C120">
        <v>242</v>
      </c>
      <c r="D120">
        <v>2735</v>
      </c>
      <c r="E120">
        <f>IF(D:D&lt;minaddmultirange,MAX(Table13[[#This Row],[Base range]],Minbaserange)*rangemultipl*rangemultiplsmalladd/10000,MAX(Table13[[#This Row],[Base range]],Minbaserange)*minaddmultirange/100)</f>
        <v>2735</v>
      </c>
      <c r="F120">
        <v>35</v>
      </c>
      <c r="G120" s="9">
        <f>Table13[[#This Row],[Base range]]/((Table13[[#This Row],[Speed]]/3600*16*256)/(74*2)*24/10*2)+$AE$10</f>
        <v>90.431144593253975</v>
      </c>
      <c r="H120" s="21">
        <f>ROUNDDOWN(Table13[[#This Row],[Travel_time]]*formula_vsig_time,0)</f>
        <v>36</v>
      </c>
      <c r="I12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207</v>
      </c>
      <c r="J120" s="2">
        <f>Table13[[#This Row],[Capacity]]*Table13[[#This Row],[Range]]*payment_rate*Table13[[#This Row],[Time factor]]/2^21*GBP_to_Currency</f>
        <v>208076.27756595612</v>
      </c>
      <c r="K120" s="9">
        <f>365/Table13[[#This Row],[Travel_time]]</f>
        <v>4.036220061591794</v>
      </c>
      <c r="L120" s="2">
        <f>Table13[[#This Row],[Income per travel]]*Table13[[#This Row],[Annual travels, max]]</f>
        <v>839841.64585305459</v>
      </c>
      <c r="M120" s="2">
        <f>Table13[[#This Row],[In_game_life]]*Table13[[#This Row],[Annual profit]]*ROI____lifetime*cost_factor</f>
        <v>7348614.401214228</v>
      </c>
      <c r="N120" s="18">
        <f>Table13[[#This Row],[Annual profit]]*Running_cost_weight*runningcost_factor</f>
        <v>209960.41146326365</v>
      </c>
      <c r="O120" s="18">
        <f>Table13[[#This Row],[Buying cost]]+Table13[[#This Row],[Running cost]]*Table13[[#This Row],[In_game_life]]</f>
        <v>14697228.802428456</v>
      </c>
      <c r="P120" s="18">
        <f>Table13[[#This Row],[Annual profit]]*Table13[[#This Row],[In_game_life]]-Table13[[#This Row],[Total cost]]</f>
        <v>14697228.802428456</v>
      </c>
      <c r="Q120" s="22">
        <f>Table13[[#This Row],[Buying cost]]/buying_cost_convert*10000</f>
        <v>419920.8229265273</v>
      </c>
      <c r="R120" s="22">
        <f>Table13[[#This Row],[Running cost]]/running_cost_convert*1000</f>
        <v>699868.03821087885</v>
      </c>
      <c r="S120" s="22">
        <f>ROUND(Table13[IG buying cost factor]/Table13[Range],0)</f>
        <v>154</v>
      </c>
      <c r="T120" s="22">
        <f>ROUND(Table13[IG running cost factor]/Table13[Range],0)</f>
        <v>256</v>
      </c>
      <c r="U120" s="18"/>
      <c r="V120" s="18"/>
      <c r="W120" s="18">
        <f>IFERROR(Table13[[#This Row],[in-game cost]]/Table13[[#This Row],[Newgrf cost factor]],0)</f>
        <v>0</v>
      </c>
      <c r="X120" s="18"/>
      <c r="Y120" s="18"/>
      <c r="Z120" s="18">
        <f>IFERROR(Table13[[#This Row],[in-game running]]/Table13[[#This Row],[Newgrf running factor]],0)</f>
        <v>0</v>
      </c>
      <c r="AA120" s="23">
        <f>(Table13[[#This Row],[Buying/distance]]*Table13[Range]/10000*buying_cost_convert-Table13[Buying cost])/Table13[Buying cost]</f>
        <v>3.0224199519983089E-3</v>
      </c>
      <c r="AB120" s="23">
        <f>(Table13[Running/distance]*Table13[Range]/1000*running_cost_convert-Table13[Running cost])/Table13[Running cost]</f>
        <v>4.1716691316199319E-4</v>
      </c>
    </row>
    <row r="121" spans="1:28" hidden="1" x14ac:dyDescent="0.3">
      <c r="A121" s="11" t="s">
        <v>127</v>
      </c>
      <c r="B121">
        <v>941</v>
      </c>
      <c r="C121">
        <v>243</v>
      </c>
      <c r="D121">
        <v>1200</v>
      </c>
      <c r="E121">
        <f>IF(D:D&lt;minaddmultirange,MAX(Table13[[#This Row],[Base range]],Minbaserange)*rangemultipl*rangemultiplsmalladd/10000,MAX(Table13[[#This Row],[Base range]],Minbaserange)*minaddmultirange/100)</f>
        <v>1200</v>
      </c>
      <c r="F121">
        <v>30</v>
      </c>
      <c r="G121" s="9">
        <f>Table13[[#This Row],[Base range]]/((Table13[[#This Row],[Speed]]/3600*16*256)/(74*2)*24/10*2)+$AE$10</f>
        <v>46.558481668437828</v>
      </c>
      <c r="H121" s="21">
        <f>ROUNDDOWN(Table13[[#This Row],[Travel_time]]*formula_vsig_time,0)</f>
        <v>18</v>
      </c>
      <c r="I12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237</v>
      </c>
      <c r="J121" s="2">
        <f>Table13[[#This Row],[Capacity]]*Table13[[#This Row],[Range]]*payment_rate*Table13[[#This Row],[Time factor]]/2^21*GBP_to_Currency</f>
        <v>104957.96298980713</v>
      </c>
      <c r="K121" s="9">
        <f>365/Table13[[#This Row],[Travel_time]]</f>
        <v>7.8396027301602249</v>
      </c>
      <c r="L121" s="2">
        <f>Table13[[#This Row],[Income per travel]]*Table13[[#This Row],[Annual travels, max]]</f>
        <v>822828.7332069478</v>
      </c>
      <c r="M121" s="2">
        <f>Table13[[#This Row],[In_game_life]]*Table13[[#This Row],[Annual profit]]*ROI____lifetime*cost_factor</f>
        <v>6171215.4990521083</v>
      </c>
      <c r="N121" s="18">
        <f>Table13[[#This Row],[Annual profit]]*Running_cost_weight*runningcost_factor</f>
        <v>205707.18330173695</v>
      </c>
      <c r="O121" s="18">
        <f>Table13[[#This Row],[Buying cost]]+Table13[[#This Row],[Running cost]]*Table13[[#This Row],[In_game_life]]</f>
        <v>12342430.998104217</v>
      </c>
      <c r="P121" s="18">
        <f>Table13[[#This Row],[Annual profit]]*Table13[[#This Row],[In_game_life]]-Table13[[#This Row],[Total cost]]</f>
        <v>12342430.998104217</v>
      </c>
      <c r="Q121" s="22">
        <f>Table13[[#This Row],[Buying cost]]/buying_cost_convert*10000</f>
        <v>352640.88566012046</v>
      </c>
      <c r="R121" s="22">
        <f>Table13[[#This Row],[Running cost]]/running_cost_convert*1000</f>
        <v>685690.61100578983</v>
      </c>
      <c r="S121" s="22">
        <f>ROUND(Table13[IG buying cost factor]/Table13[Range],0)</f>
        <v>294</v>
      </c>
      <c r="T121" s="22">
        <f>ROUND(Table13[IG running cost factor]/Table13[Range],0)</f>
        <v>571</v>
      </c>
      <c r="U121" s="18"/>
      <c r="V121" s="18"/>
      <c r="W121" s="18">
        <f>IFERROR(Table13[[#This Row],[in-game cost]]/Table13[[#This Row],[Newgrf cost factor]],0)</f>
        <v>0</v>
      </c>
      <c r="X121" s="18"/>
      <c r="Y121" s="18"/>
      <c r="Z121" s="18">
        <f>IFERROR(Table13[[#This Row],[in-game running]]/Table13[[#This Row],[Newgrf running factor]],0)</f>
        <v>0</v>
      </c>
      <c r="AA121" s="23">
        <f>(Table13[[#This Row],[Buying/distance]]*Table13[Range]/10000*buying_cost_convert-Table13[Buying cost])/Table13[Buying cost]</f>
        <v>4.5120786145280955E-4</v>
      </c>
      <c r="AB121" s="23">
        <f>(Table13[Running/distance]*Table13[Range]/1000*running_cost_convert-Table13[Running cost])/Table13[Running cost]</f>
        <v>-7.1549908649061337E-4</v>
      </c>
    </row>
    <row r="122" spans="1:28" hidden="1" x14ac:dyDescent="0.3">
      <c r="A122" s="11" t="s">
        <v>128</v>
      </c>
      <c r="B122">
        <v>996</v>
      </c>
      <c r="C122">
        <v>245</v>
      </c>
      <c r="D122">
        <v>2165</v>
      </c>
      <c r="E122">
        <f>IF(D:D&lt;minaddmultirange,MAX(Table13[[#This Row],[Base range]],Minbaserange)*rangemultipl*rangemultiplsmalladd/10000,MAX(Table13[[#This Row],[Base range]],Minbaserange)*minaddmultirange/100)</f>
        <v>2165</v>
      </c>
      <c r="F122">
        <v>30</v>
      </c>
      <c r="G122" s="9">
        <f>Table13[[#This Row],[Base range]]/((Table13[[#This Row],[Speed]]/3600*16*256)/(74*2)*24/10*2)+$AE$10</f>
        <v>70.906279414533145</v>
      </c>
      <c r="H122" s="21">
        <f>ROUNDDOWN(Table13[[#This Row],[Travel_time]]*formula_vsig_time,0)</f>
        <v>28</v>
      </c>
      <c r="I12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223</v>
      </c>
      <c r="J122" s="2">
        <f>Table13[[#This Row],[Capacity]]*Table13[[#This Row],[Range]]*payment_rate*Table13[[#This Row],[Time factor]]/2^21*GBP_to_Currency</f>
        <v>179642.2044634819</v>
      </c>
      <c r="K122" s="9">
        <f>365/Table13[[#This Row],[Travel_time]]</f>
        <v>5.1476399976669569</v>
      </c>
      <c r="L122" s="2">
        <f>Table13[[#This Row],[Income per travel]]*Table13[[#This Row],[Annual travels, max]]</f>
        <v>924733.39696528495</v>
      </c>
      <c r="M122" s="2">
        <f>Table13[[#This Row],[In_game_life]]*Table13[[#This Row],[Annual profit]]*ROI____lifetime*cost_factor</f>
        <v>6935500.4772396367</v>
      </c>
      <c r="N122" s="18">
        <f>Table13[[#This Row],[Annual profit]]*Running_cost_weight*runningcost_factor</f>
        <v>231183.34924132124</v>
      </c>
      <c r="O122" s="18">
        <f>Table13[[#This Row],[Buying cost]]+Table13[[#This Row],[Running cost]]*Table13[[#This Row],[In_game_life]]</f>
        <v>13871000.954479273</v>
      </c>
      <c r="P122" s="18">
        <f>Table13[[#This Row],[Annual profit]]*Table13[[#This Row],[In_game_life]]-Table13[[#This Row],[Total cost]]</f>
        <v>13871000.954479273</v>
      </c>
      <c r="Q122" s="22">
        <f>Table13[[#This Row],[Buying cost]]/buying_cost_convert*10000</f>
        <v>396314.31298512209</v>
      </c>
      <c r="R122" s="22">
        <f>Table13[[#This Row],[Running cost]]/running_cost_convert*1000</f>
        <v>770611.16413773748</v>
      </c>
      <c r="S122" s="22">
        <f>ROUND(Table13[IG buying cost factor]/Table13[Range],0)</f>
        <v>183</v>
      </c>
      <c r="T122" s="22">
        <f>ROUND(Table13[IG running cost factor]/Table13[Range],0)</f>
        <v>356</v>
      </c>
      <c r="U122" s="18"/>
      <c r="V122" s="18"/>
      <c r="W122" s="18">
        <f>IFERROR(Table13[[#This Row],[in-game cost]]/Table13[[#This Row],[Newgrf cost factor]],0)</f>
        <v>0</v>
      </c>
      <c r="X122" s="18"/>
      <c r="Y122" s="18"/>
      <c r="Z122" s="18">
        <f>IFERROR(Table13[[#This Row],[in-game running]]/Table13[[#This Row],[Newgrf running factor]],0)</f>
        <v>0</v>
      </c>
      <c r="AA122" s="23">
        <f>(Table13[[#This Row],[Buying/distance]]*Table13[Range]/10000*buying_cost_convert-Table13[Buying cost])/Table13[Buying cost]</f>
        <v>-3.0105646254208456E-4</v>
      </c>
      <c r="AB122" s="23">
        <f>(Table13[Running/distance]*Table13[Range]/1000*running_cost_convert-Table13[Running cost])/Table13[Running cost]</f>
        <v>1.6718660234659575E-4</v>
      </c>
    </row>
    <row r="123" spans="1:28" hidden="1" x14ac:dyDescent="0.3">
      <c r="A123" s="11" t="s">
        <v>129</v>
      </c>
      <c r="B123">
        <v>933</v>
      </c>
      <c r="C123">
        <v>245</v>
      </c>
      <c r="D123">
        <v>1875</v>
      </c>
      <c r="E123">
        <f>IF(D:D&lt;minaddmultirange,MAX(Table13[[#This Row],[Base range]],Minbaserange)*rangemultipl*rangemultiplsmalladd/10000,MAX(Table13[[#This Row],[Base range]],Minbaserange)*minaddmultirange/100)</f>
        <v>1875</v>
      </c>
      <c r="F123">
        <v>30</v>
      </c>
      <c r="G123" s="9">
        <f>Table13[[#This Row],[Base range]]/((Table13[[#This Row],[Speed]]/3600*16*256)/(74*2)*24/10*2)+$AE$10</f>
        <v>66.460629772909968</v>
      </c>
      <c r="H123" s="21">
        <f>ROUNDDOWN(Table13[[#This Row],[Travel_time]]*formula_vsig_time,0)</f>
        <v>26</v>
      </c>
      <c r="I12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227</v>
      </c>
      <c r="J123" s="2">
        <f>Table13[[#This Row],[Capacity]]*Table13[[#This Row],[Range]]*payment_rate*Table13[[#This Row],[Time factor]]/2^21*GBP_to_Currency</f>
        <v>158369.93604898453</v>
      </c>
      <c r="K123" s="9">
        <f>365/Table13[[#This Row],[Travel_time]]</f>
        <v>5.4919732365939407</v>
      </c>
      <c r="L123" s="2">
        <f>Table13[[#This Row],[Income per travel]]*Table13[[#This Row],[Annual travels, max]]</f>
        <v>869763.45026211697</v>
      </c>
      <c r="M123" s="2">
        <f>Table13[[#This Row],[In_game_life]]*Table13[[#This Row],[Annual profit]]*ROI____lifetime*cost_factor</f>
        <v>6523225.8769658776</v>
      </c>
      <c r="N123" s="18">
        <f>Table13[[#This Row],[Annual profit]]*Running_cost_weight*runningcost_factor</f>
        <v>217440.86256552924</v>
      </c>
      <c r="O123" s="18">
        <f>Table13[[#This Row],[Buying cost]]+Table13[[#This Row],[Running cost]]*Table13[[#This Row],[In_game_life]]</f>
        <v>13046451.753931755</v>
      </c>
      <c r="P123" s="18">
        <f>Table13[[#This Row],[Annual profit]]*Table13[[#This Row],[In_game_life]]-Table13[[#This Row],[Total cost]]</f>
        <v>13046451.753931755</v>
      </c>
      <c r="Q123" s="22">
        <f>Table13[[#This Row],[Buying cost]]/buying_cost_convert*10000</f>
        <v>372755.76439805015</v>
      </c>
      <c r="R123" s="22">
        <f>Table13[[#This Row],[Running cost]]/running_cost_convert*1000</f>
        <v>724802.87521843077</v>
      </c>
      <c r="S123" s="22">
        <f>ROUND(Table13[IG buying cost factor]/Table13[Range],0)</f>
        <v>199</v>
      </c>
      <c r="T123" s="22">
        <f>ROUND(Table13[IG running cost factor]/Table13[Range],0)</f>
        <v>387</v>
      </c>
      <c r="U123" s="18"/>
      <c r="V123" s="18"/>
      <c r="W123" s="18">
        <f>IFERROR(Table13[[#This Row],[in-game cost]]/Table13[[#This Row],[Newgrf cost factor]],0)</f>
        <v>0</v>
      </c>
      <c r="X123" s="18"/>
      <c r="Y123" s="18"/>
      <c r="Z123" s="18">
        <f>IFERROR(Table13[[#This Row],[in-game running]]/Table13[[#This Row],[Newgrf running factor]],0)</f>
        <v>0</v>
      </c>
      <c r="AA123" s="23">
        <f>(Table13[[#This Row],[Buying/distance]]*Table13[Range]/10000*buying_cost_convert-Table13[Buying cost])/Table13[Buying cost]</f>
        <v>9.9055638360446728E-4</v>
      </c>
      <c r="AB123" s="23">
        <f>(Table13[Running/distance]*Table13[Range]/1000*running_cost_convert-Table13[Running cost])/Table13[Running cost]</f>
        <v>1.1342736207019515E-3</v>
      </c>
    </row>
    <row r="124" spans="1:28" hidden="1" x14ac:dyDescent="0.3">
      <c r="A124" s="11" t="s">
        <v>130</v>
      </c>
      <c r="B124">
        <v>880</v>
      </c>
      <c r="C124">
        <v>253</v>
      </c>
      <c r="D124">
        <v>2415</v>
      </c>
      <c r="E124">
        <f>IF(D:D&lt;minaddmultirange,MAX(Table13[[#This Row],[Base range]],Minbaserange)*rangemultipl*rangemultiplsmalladd/10000,MAX(Table13[[#This Row],[Base range]],Minbaserange)*minaddmultirange/100)</f>
        <v>2415</v>
      </c>
      <c r="F124">
        <v>25</v>
      </c>
      <c r="G124" s="9">
        <f>Table13[[#This Row],[Base range]]/((Table13[[#This Row],[Speed]]/3600*16*256)/(74*2)*24/10*2)+$AE$10</f>
        <v>86.369950727982967</v>
      </c>
      <c r="H124" s="21">
        <f>ROUNDDOWN(Table13[[#This Row],[Travel_time]]*formula_vsig_time,0)</f>
        <v>34</v>
      </c>
      <c r="I12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211</v>
      </c>
      <c r="J124" s="2">
        <f>Table13[[#This Row],[Capacity]]*Table13[[#This Row],[Range]]*payment_rate*Table13[[#This Row],[Time factor]]/2^21*GBP_to_Currency</f>
        <v>195794.11736726761</v>
      </c>
      <c r="K124" s="9">
        <f>365/Table13[[#This Row],[Travel_time]]</f>
        <v>4.2260068105115147</v>
      </c>
      <c r="L124" s="2">
        <f>Table13[[#This Row],[Income per travel]]*Table13[[#This Row],[Annual travels, max]]</f>
        <v>827427.27345216379</v>
      </c>
      <c r="M124" s="2">
        <f>Table13[[#This Row],[In_game_life]]*Table13[[#This Row],[Annual profit]]*ROI____lifetime*cost_factor</f>
        <v>5171420.4590760237</v>
      </c>
      <c r="N124" s="18">
        <f>Table13[[#This Row],[Annual profit]]*Running_cost_weight*runningcost_factor</f>
        <v>206856.81836304095</v>
      </c>
      <c r="O124" s="18">
        <f>Table13[[#This Row],[Buying cost]]+Table13[[#This Row],[Running cost]]*Table13[[#This Row],[In_game_life]]</f>
        <v>10342840.918152047</v>
      </c>
      <c r="P124" s="18">
        <f>Table13[[#This Row],[Annual profit]]*Table13[[#This Row],[In_game_life]]-Table13[[#This Row],[Total cost]]</f>
        <v>10342840.918152047</v>
      </c>
      <c r="Q124" s="22">
        <f>Table13[[#This Row],[Buying cost]]/buying_cost_convert*10000</f>
        <v>295509.74051862996</v>
      </c>
      <c r="R124" s="22">
        <f>Table13[[#This Row],[Running cost]]/running_cost_convert*1000</f>
        <v>689522.72787680314</v>
      </c>
      <c r="S124" s="22">
        <f>ROUND(Table13[IG buying cost factor]/Table13[Range],0)</f>
        <v>122</v>
      </c>
      <c r="T124" s="22">
        <f>ROUND(Table13[IG running cost factor]/Table13[Range],0)</f>
        <v>286</v>
      </c>
      <c r="U124" s="18"/>
      <c r="V124" s="18"/>
      <c r="W124" s="18">
        <f>IFERROR(Table13[[#This Row],[in-game cost]]/Table13[[#This Row],[Newgrf cost factor]],0)</f>
        <v>0</v>
      </c>
      <c r="X124" s="18"/>
      <c r="Y124" s="18"/>
      <c r="Z124" s="18">
        <f>IFERROR(Table13[[#This Row],[in-game running]]/Table13[[#This Row],[Newgrf running factor]],0)</f>
        <v>0</v>
      </c>
      <c r="AA124" s="23">
        <f>(Table13[[#This Row],[Buying/distance]]*Table13[Range]/10000*buying_cost_convert-Table13[Buying cost])/Table13[Buying cost]</f>
        <v>-2.9770271432878934E-3</v>
      </c>
      <c r="AB124" s="23">
        <f>(Table13[Running/distance]*Table13[Range]/1000*running_cost_convert-Table13[Running cost])/Table13[Running cost]</f>
        <v>1.6928696850809167E-3</v>
      </c>
    </row>
    <row r="125" spans="1:28" hidden="1" x14ac:dyDescent="0.3">
      <c r="A125" s="11" t="s">
        <v>131</v>
      </c>
      <c r="B125">
        <v>982</v>
      </c>
      <c r="C125">
        <v>255</v>
      </c>
      <c r="D125">
        <v>1100</v>
      </c>
      <c r="E125">
        <f>IF(D:D&lt;minaddmultirange,MAX(Table13[[#This Row],[Base range]],Minbaserange)*rangemultipl*rangemultiplsmalladd/10000,MAX(Table13[[#This Row],[Base range]],Minbaserange)*minaddmultirange/100)</f>
        <v>1100</v>
      </c>
      <c r="F125">
        <v>25</v>
      </c>
      <c r="G125" s="9">
        <f>Table13[[#This Row],[Base range]]/((Table13[[#This Row],[Speed]]/3600*16*256)/(74*2)*24/10*2)+$AE$10</f>
        <v>42.355977914969444</v>
      </c>
      <c r="H125" s="21">
        <f>ROUNDDOWN(Table13[[#This Row],[Travel_time]]*formula_vsig_time,0)</f>
        <v>16</v>
      </c>
      <c r="I12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239</v>
      </c>
      <c r="J125" s="2">
        <f>Table13[[#This Row],[Capacity]]*Table13[[#This Row],[Range]]*payment_rate*Table13[[#This Row],[Time factor]]/2^21*GBP_to_Currency</f>
        <v>101814.6550655365</v>
      </c>
      <c r="K125" s="9">
        <f>365/Table13[[#This Row],[Travel_time]]</f>
        <v>8.6174376786376055</v>
      </c>
      <c r="L125" s="2">
        <f>Table13[[#This Row],[Income per travel]]*Table13[[#This Row],[Annual travels, max]]</f>
        <v>877381.44479924534</v>
      </c>
      <c r="M125" s="2">
        <f>Table13[[#This Row],[In_game_life]]*Table13[[#This Row],[Annual profit]]*ROI____lifetime*cost_factor</f>
        <v>5483634.0299952831</v>
      </c>
      <c r="N125" s="18">
        <f>Table13[[#This Row],[Annual profit]]*Running_cost_weight*runningcost_factor</f>
        <v>219345.36119981133</v>
      </c>
      <c r="O125" s="18">
        <f>Table13[[#This Row],[Buying cost]]+Table13[[#This Row],[Running cost]]*Table13[[#This Row],[In_game_life]]</f>
        <v>10967268.059990566</v>
      </c>
      <c r="P125" s="18">
        <f>Table13[[#This Row],[Annual profit]]*Table13[[#This Row],[In_game_life]]-Table13[[#This Row],[Total cost]]</f>
        <v>10967268.059990566</v>
      </c>
      <c r="Q125" s="22">
        <f>Table13[[#This Row],[Buying cost]]/buying_cost_convert*10000</f>
        <v>313350.51599973044</v>
      </c>
      <c r="R125" s="22">
        <f>Table13[[#This Row],[Running cost]]/running_cost_convert*1000</f>
        <v>731151.20399937104</v>
      </c>
      <c r="S125" s="22">
        <f>ROUND(Table13[IG buying cost factor]/Table13[Range],0)</f>
        <v>285</v>
      </c>
      <c r="T125" s="22">
        <f>ROUND(Table13[IG running cost factor]/Table13[Range],0)</f>
        <v>665</v>
      </c>
      <c r="U125" s="18"/>
      <c r="V125" s="18"/>
      <c r="W125" s="18">
        <f>IFERROR(Table13[[#This Row],[in-game cost]]/Table13[[#This Row],[Newgrf cost factor]],0)</f>
        <v>0</v>
      </c>
      <c r="X125" s="18"/>
      <c r="Y125" s="18"/>
      <c r="Z125" s="18">
        <f>IFERROR(Table13[[#This Row],[in-game running]]/Table13[[#This Row],[Newgrf running factor]],0)</f>
        <v>0</v>
      </c>
      <c r="AA125" s="23">
        <f>(Table13[[#This Row],[Buying/distance]]*Table13[Range]/10000*buying_cost_convert-Table13[Buying cost])/Table13[Buying cost]</f>
        <v>4.7705043597140603E-4</v>
      </c>
      <c r="AB125" s="23">
        <f>(Table13[Running/distance]*Table13[Range]/1000*running_cost_convert-Table13[Running cost])/Table13[Running cost]</f>
        <v>4.7705043597136358E-4</v>
      </c>
    </row>
    <row r="126" spans="1:28" hidden="1" x14ac:dyDescent="0.3">
      <c r="A126" s="11" t="s">
        <v>132</v>
      </c>
      <c r="B126">
        <v>982</v>
      </c>
      <c r="C126">
        <v>255</v>
      </c>
      <c r="D126">
        <v>1910</v>
      </c>
      <c r="E126">
        <f>IF(D:D&lt;minaddmultirange,MAX(Table13[[#This Row],[Base range]],Minbaserange)*rangemultipl*rangemultiplsmalladd/10000,MAX(Table13[[#This Row],[Base range]],Minbaserange)*minaddmultirange/100)</f>
        <v>1910</v>
      </c>
      <c r="F126">
        <v>25</v>
      </c>
      <c r="G126" s="9">
        <f>Table13[[#This Row],[Base range]]/((Table13[[#This Row],[Speed]]/3600*16*256)/(74*2)*24/10*2)+$AE$10</f>
        <v>64.709016197810584</v>
      </c>
      <c r="H126" s="21">
        <f>ROUNDDOWN(Table13[[#This Row],[Travel_time]]*formula_vsig_time,0)</f>
        <v>25</v>
      </c>
      <c r="I12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229</v>
      </c>
      <c r="J126" s="2">
        <f>Table13[[#This Row],[Capacity]]*Table13[[#This Row],[Range]]*payment_rate*Table13[[#This Row],[Time factor]]/2^21*GBP_to_Currency</f>
        <v>169390.30802249908</v>
      </c>
      <c r="K126" s="9">
        <f>365/Table13[[#This Row],[Travel_time]]</f>
        <v>5.6406359027963351</v>
      </c>
      <c r="L126" s="2">
        <f>Table13[[#This Row],[Income per travel]]*Table13[[#This Row],[Annual travels, max]]</f>
        <v>955469.05301743839</v>
      </c>
      <c r="M126" s="2">
        <f>Table13[[#This Row],[In_game_life]]*Table13[[#This Row],[Annual profit]]*ROI____lifetime*cost_factor</f>
        <v>5971681.5813589897</v>
      </c>
      <c r="N126" s="18">
        <f>Table13[[#This Row],[Annual profit]]*Running_cost_weight*runningcost_factor</f>
        <v>238867.2632543596</v>
      </c>
      <c r="O126" s="18">
        <f>Table13[[#This Row],[Buying cost]]+Table13[[#This Row],[Running cost]]*Table13[[#This Row],[In_game_life]]</f>
        <v>11943363.162717979</v>
      </c>
      <c r="P126" s="18">
        <f>Table13[[#This Row],[Annual profit]]*Table13[[#This Row],[In_game_life]]-Table13[[#This Row],[Total cost]]</f>
        <v>11943363.162717979</v>
      </c>
      <c r="Q126" s="22">
        <f>Table13[[#This Row],[Buying cost]]/buying_cost_convert*10000</f>
        <v>341238.94750622794</v>
      </c>
      <c r="R126" s="22">
        <f>Table13[[#This Row],[Running cost]]/running_cost_convert*1000</f>
        <v>796224.21084786532</v>
      </c>
      <c r="S126" s="22">
        <f>ROUND(Table13[IG buying cost factor]/Table13[Range],0)</f>
        <v>179</v>
      </c>
      <c r="T126" s="22">
        <f>ROUND(Table13[IG running cost factor]/Table13[Range],0)</f>
        <v>417</v>
      </c>
      <c r="U126" s="18"/>
      <c r="V126" s="18"/>
      <c r="W126" s="18">
        <f>IFERROR(Table13[[#This Row],[in-game cost]]/Table13[[#This Row],[Newgrf cost factor]],0)</f>
        <v>0</v>
      </c>
      <c r="X126" s="18"/>
      <c r="Y126" s="18"/>
      <c r="Z126" s="18">
        <f>IFERROR(Table13[[#This Row],[in-game running]]/Table13[[#This Row],[Newgrf running factor]],0)</f>
        <v>0</v>
      </c>
      <c r="AA126" s="23">
        <f>(Table13[[#This Row],[Buying/distance]]*Table13[Range]/10000*buying_cost_convert-Table13[Buying cost])/Table13[Buying cost]</f>
        <v>1.9079079294139912E-3</v>
      </c>
      <c r="AB126" s="23">
        <f>(Table13[Running/distance]*Table13[Range]/1000*running_cost_convert-Table13[Running cost])/Table13[Running cost]</f>
        <v>3.0869339161760116E-4</v>
      </c>
    </row>
    <row r="127" spans="1:28" hidden="1" x14ac:dyDescent="0.3">
      <c r="A127" s="11" t="s">
        <v>133</v>
      </c>
      <c r="B127">
        <v>982</v>
      </c>
      <c r="C127">
        <v>255</v>
      </c>
      <c r="D127">
        <v>1665</v>
      </c>
      <c r="E127">
        <f>IF(D:D&lt;minaddmultirange,MAX(Table13[[#This Row],[Base range]],Minbaserange)*rangemultipl*rangemultiplsmalladd/10000,MAX(Table13[[#This Row],[Base range]],Minbaserange)*minaddmultirange/100)</f>
        <v>1665</v>
      </c>
      <c r="F127">
        <v>25</v>
      </c>
      <c r="G127" s="9">
        <f>Table13[[#This Row],[Base range]]/((Table13[[#This Row],[Speed]]/3600*16*256)/(74*2)*24/10*2)+$AE$10</f>
        <v>57.947912025840118</v>
      </c>
      <c r="H127" s="21">
        <f>ROUNDDOWN(Table13[[#This Row],[Travel_time]]*formula_vsig_time,0)</f>
        <v>23</v>
      </c>
      <c r="I12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232</v>
      </c>
      <c r="J127" s="2">
        <f>Table13[[#This Row],[Capacity]]*Table13[[#This Row],[Range]]*payment_rate*Table13[[#This Row],[Time factor]]/2^21*GBP_to_Currency</f>
        <v>149596.67158126831</v>
      </c>
      <c r="K127" s="9">
        <f>365/Table13[[#This Row],[Travel_time]]</f>
        <v>6.2987601664964092</v>
      </c>
      <c r="L127" s="2">
        <f>Table13[[#This Row],[Income per travel]]*Table13[[#This Row],[Annual travels, max]]</f>
        <v>942273.55599653826</v>
      </c>
      <c r="M127" s="2">
        <f>Table13[[#This Row],[In_game_life]]*Table13[[#This Row],[Annual profit]]*ROI____lifetime*cost_factor</f>
        <v>5889209.7249783641</v>
      </c>
      <c r="N127" s="18">
        <f>Table13[[#This Row],[Annual profit]]*Running_cost_weight*runningcost_factor</f>
        <v>235568.38899913456</v>
      </c>
      <c r="O127" s="18">
        <f>Table13[[#This Row],[Buying cost]]+Table13[[#This Row],[Running cost]]*Table13[[#This Row],[In_game_life]]</f>
        <v>11778419.449956728</v>
      </c>
      <c r="P127" s="18">
        <f>Table13[[#This Row],[Annual profit]]*Table13[[#This Row],[In_game_life]]-Table13[[#This Row],[Total cost]]</f>
        <v>11778419.449956728</v>
      </c>
      <c r="Q127" s="22">
        <f>Table13[[#This Row],[Buying cost]]/buying_cost_convert*10000</f>
        <v>336526.26999876369</v>
      </c>
      <c r="R127" s="22">
        <f>Table13[[#This Row],[Running cost]]/running_cost_convert*1000</f>
        <v>785227.96333044861</v>
      </c>
      <c r="S127" s="22">
        <f>ROUND(Table13[IG buying cost factor]/Table13[Range],0)</f>
        <v>202</v>
      </c>
      <c r="T127" s="22">
        <f>ROUND(Table13[IG running cost factor]/Table13[Range],0)</f>
        <v>472</v>
      </c>
      <c r="U127" s="18"/>
      <c r="V127" s="18"/>
      <c r="W127" s="18">
        <f>IFERROR(Table13[[#This Row],[in-game cost]]/Table13[[#This Row],[Newgrf cost factor]],0)</f>
        <v>0</v>
      </c>
      <c r="X127" s="18"/>
      <c r="Y127" s="18"/>
      <c r="Z127" s="18">
        <f>IFERROR(Table13[[#This Row],[in-game running]]/Table13[[#This Row],[Newgrf running factor]],0)</f>
        <v>0</v>
      </c>
      <c r="AA127" s="23">
        <f>(Table13[[#This Row],[Buying/distance]]*Table13[Range]/10000*buying_cost_convert-Table13[Buying cost])/Table13[Buying cost]</f>
        <v>-5.8322341006046617E-4</v>
      </c>
      <c r="AB127" s="23">
        <f>(Table13[Running/distance]*Table13[Range]/1000*running_cost_convert-Table13[Running cost])/Table13[Running cost]</f>
        <v>8.3037881991099652E-4</v>
      </c>
    </row>
    <row r="128" spans="1:28" hidden="1" x14ac:dyDescent="0.3">
      <c r="A128" s="10" t="s">
        <v>134</v>
      </c>
      <c r="B128">
        <v>869</v>
      </c>
      <c r="C128">
        <v>262</v>
      </c>
      <c r="D128">
        <v>1980</v>
      </c>
      <c r="E128">
        <f>IF(D:D&lt;minaddmultirange,MAX(Table13[[#This Row],[Base range]],Minbaserange)*rangemultipl*rangemultiplsmalladd/10000,MAX(Table13[[#This Row],[Base range]],Minbaserange)*minaddmultirange/100)</f>
        <v>1980</v>
      </c>
      <c r="F128">
        <v>20</v>
      </c>
      <c r="G128" s="9">
        <f>Table13[[#This Row],[Base range]]/((Table13[[#This Row],[Speed]]/3600*16*256)/(74*2)*24/10*2)+$AE$10</f>
        <v>73.745945411392398</v>
      </c>
      <c r="H128" s="21">
        <f>ROUNDDOWN(Table13[[#This Row],[Travel_time]]*formula_vsig_time,0)</f>
        <v>29</v>
      </c>
      <c r="I12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221</v>
      </c>
      <c r="J128" s="2">
        <f>Table13[[#This Row],[Capacity]]*Table13[[#This Row],[Range]]*payment_rate*Table13[[#This Row],[Time factor]]/2^21*GBP_to_Currency</f>
        <v>174115.84024429321</v>
      </c>
      <c r="K128" s="9">
        <f>365/Table13[[#This Row],[Travel_time]]</f>
        <v>4.9494246492311449</v>
      </c>
      <c r="L128" s="2">
        <f>Table13[[#This Row],[Income per travel]]*Table13[[#This Row],[Annual travels, max]]</f>
        <v>861773.23152669705</v>
      </c>
      <c r="M128" s="2">
        <f>Table13[[#This Row],[In_game_life]]*Table13[[#This Row],[Annual profit]]*ROI____lifetime*cost_factor</f>
        <v>4308866.1576334853</v>
      </c>
      <c r="N128" s="18">
        <f>Table13[[#This Row],[Annual profit]]*Running_cost_weight*runningcost_factor</f>
        <v>215443.30788167426</v>
      </c>
      <c r="O128" s="18">
        <f>Table13[[#This Row],[Buying cost]]+Table13[[#This Row],[Running cost]]*Table13[[#This Row],[In_game_life]]</f>
        <v>8617732.3152669705</v>
      </c>
      <c r="P128" s="18">
        <f>Table13[[#This Row],[Annual profit]]*Table13[[#This Row],[In_game_life]]-Table13[[#This Row],[Total cost]]</f>
        <v>8617732.3152669705</v>
      </c>
      <c r="Q128" s="22">
        <f>Table13[[#This Row],[Buying cost]]/buying_cost_convert*10000</f>
        <v>246220.923293342</v>
      </c>
      <c r="R128" s="22">
        <f>Table13[[#This Row],[Running cost]]/running_cost_convert*1000</f>
        <v>718144.35960558092</v>
      </c>
      <c r="S128" s="22">
        <f>ROUND(Table13[IG buying cost factor]/Table13[Range],0)</f>
        <v>124</v>
      </c>
      <c r="T128" s="22">
        <f>ROUND(Table13[IG running cost factor]/Table13[Range],0)</f>
        <v>363</v>
      </c>
      <c r="U128" s="18"/>
      <c r="V128" s="18"/>
      <c r="W128" s="18">
        <f>IFERROR(Table13[[#This Row],[in-game cost]]/Table13[[#This Row],[Newgrf cost factor]],0)</f>
        <v>0</v>
      </c>
      <c r="X128" s="18"/>
      <c r="Y128" s="18"/>
      <c r="Z128" s="18">
        <f>IFERROR(Table13[[#This Row],[in-game running]]/Table13[[#This Row],[Newgrf running factor]],0)</f>
        <v>0</v>
      </c>
      <c r="AA128" s="23">
        <f>(Table13[[#This Row],[Buying/distance]]*Table13[Range]/10000*buying_cost_convert-Table13[Buying cost])/Table13[Buying cost]</f>
        <v>-2.8467251440973257E-3</v>
      </c>
      <c r="AB128" s="23">
        <f>(Table13[Running/distance]*Table13[Range]/1000*running_cost_convert-Table13[Running cost])/Table13[Running cost]</f>
        <v>8.2941596136222357E-4</v>
      </c>
    </row>
    <row r="129" spans="1:28" hidden="1" x14ac:dyDescent="0.3">
      <c r="A129" s="11" t="s">
        <v>135</v>
      </c>
      <c r="B129">
        <v>988</v>
      </c>
      <c r="C129">
        <v>266</v>
      </c>
      <c r="D129">
        <v>2400</v>
      </c>
      <c r="E129">
        <f>IF(D:D&lt;minaddmultirange,MAX(Table13[[#This Row],[Base range]],Minbaserange)*rangemultipl*rangemultiplsmalladd/10000,MAX(Table13[[#This Row],[Base range]],Minbaserange)*minaddmultirange/100)</f>
        <v>2400</v>
      </c>
      <c r="F129">
        <v>30</v>
      </c>
      <c r="G129" s="9">
        <f>Table13[[#This Row],[Base range]]/((Table13[[#This Row],[Speed]]/3600*16*256)/(74*2)*24/10*2)+$AE$10</f>
        <v>77.829010627530351</v>
      </c>
      <c r="H129" s="21">
        <f>ROUNDDOWN(Table13[[#This Row],[Travel_time]]*formula_vsig_time,0)</f>
        <v>31</v>
      </c>
      <c r="I12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217</v>
      </c>
      <c r="J129" s="2">
        <f>Table13[[#This Row],[Capacity]]*Table13[[#This Row],[Range]]*payment_rate*Table13[[#This Row],[Time factor]]/2^21*GBP_to_Currency</f>
        <v>210393.41354370117</v>
      </c>
      <c r="K129" s="9">
        <f>365/Table13[[#This Row],[Travel_time]]</f>
        <v>4.6897679548670643</v>
      </c>
      <c r="L129" s="2">
        <f>Table13[[#This Row],[Income per travel]]*Table13[[#This Row],[Annual travels, max]]</f>
        <v>986696.28875234397</v>
      </c>
      <c r="M129" s="2">
        <f>Table13[[#This Row],[In_game_life]]*Table13[[#This Row],[Annual profit]]*ROI____lifetime*cost_factor</f>
        <v>7400222.16564258</v>
      </c>
      <c r="N129" s="18">
        <f>Table13[[#This Row],[Annual profit]]*Running_cost_weight*runningcost_factor</f>
        <v>246674.07218808599</v>
      </c>
      <c r="O129" s="18">
        <f>Table13[[#This Row],[Buying cost]]+Table13[[#This Row],[Running cost]]*Table13[[#This Row],[In_game_life]]</f>
        <v>14800444.33128516</v>
      </c>
      <c r="P129" s="18">
        <f>Table13[[#This Row],[Annual profit]]*Table13[[#This Row],[In_game_life]]-Table13[[#This Row],[Total cost]]</f>
        <v>14800444.33128516</v>
      </c>
      <c r="Q129" s="22">
        <f>Table13[[#This Row],[Buying cost]]/buying_cost_convert*10000</f>
        <v>422869.83803671889</v>
      </c>
      <c r="R129" s="22">
        <f>Table13[[#This Row],[Running cost]]/running_cost_convert*1000</f>
        <v>822246.90729361994</v>
      </c>
      <c r="S129" s="22">
        <f>ROUND(Table13[IG buying cost factor]/Table13[Range],0)</f>
        <v>176</v>
      </c>
      <c r="T129" s="22">
        <f>ROUND(Table13[IG running cost factor]/Table13[Range],0)</f>
        <v>343</v>
      </c>
      <c r="U129" s="18"/>
      <c r="V129" s="18"/>
      <c r="W129" s="18">
        <f>IFERROR(Table13[[#This Row],[in-game cost]]/Table13[[#This Row],[Newgrf cost factor]],0)</f>
        <v>0</v>
      </c>
      <c r="X129" s="18"/>
      <c r="Y129" s="18"/>
      <c r="Z129" s="18">
        <f>IFERROR(Table13[[#This Row],[in-game running]]/Table13[[#This Row],[Newgrf running factor]],0)</f>
        <v>0</v>
      </c>
      <c r="AA129" s="23">
        <f>(Table13[[#This Row],[Buying/distance]]*Table13[Range]/10000*buying_cost_convert-Table13[Buying cost])/Table13[Buying cost]</f>
        <v>-1.1110701082399283E-3</v>
      </c>
      <c r="AB129" s="23">
        <f>(Table13[Running/distance]*Table13[Range]/1000*running_cost_convert-Table13[Running cost])/Table13[Running cost]</f>
        <v>1.1591320051504671E-3</v>
      </c>
    </row>
    <row r="130" spans="1:28" hidden="1" x14ac:dyDescent="0.3">
      <c r="A130" s="11" t="s">
        <v>136</v>
      </c>
      <c r="B130">
        <v>914</v>
      </c>
      <c r="C130">
        <v>269</v>
      </c>
      <c r="D130">
        <v>1420</v>
      </c>
      <c r="E130">
        <f>IF(D:D&lt;minaddmultirange,MAX(Table13[[#This Row],[Base range]],Minbaserange)*rangemultipl*rangemultiplsmalladd/10000,MAX(Table13[[#This Row],[Base range]],Minbaserange)*minaddmultirange/100)</f>
        <v>1420</v>
      </c>
      <c r="F130">
        <v>30</v>
      </c>
      <c r="G130" s="9">
        <f>Table13[[#This Row],[Base range]]/((Table13[[#This Row],[Speed]]/3600*16*256)/(74*2)*24/10*2)+$AE$10</f>
        <v>54.102237759846837</v>
      </c>
      <c r="H130" s="21">
        <f>ROUNDDOWN(Table13[[#This Row],[Travel_time]]*formula_vsig_time,0)</f>
        <v>21</v>
      </c>
      <c r="I13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234</v>
      </c>
      <c r="J130" s="2">
        <f>Table13[[#This Row],[Capacity]]*Table13[[#This Row],[Range]]*payment_rate*Table13[[#This Row],[Time factor]]/2^21*GBP_to_Currency</f>
        <v>135748.80323410034</v>
      </c>
      <c r="K130" s="9">
        <f>365/Table13[[#This Row],[Travel_time]]</f>
        <v>6.7464861919425587</v>
      </c>
      <c r="L130" s="2">
        <f>Table13[[#This Row],[Income per travel]]*Table13[[#This Row],[Annual travels, max]]</f>
        <v>915827.42659158527</v>
      </c>
      <c r="M130" s="2">
        <f>Table13[[#This Row],[In_game_life]]*Table13[[#This Row],[Annual profit]]*ROI____lifetime*cost_factor</f>
        <v>6868705.69943689</v>
      </c>
      <c r="N130" s="18">
        <f>Table13[[#This Row],[Annual profit]]*Running_cost_weight*runningcost_factor</f>
        <v>228956.85664789632</v>
      </c>
      <c r="O130" s="18">
        <f>Table13[[#This Row],[Buying cost]]+Table13[[#This Row],[Running cost]]*Table13[[#This Row],[In_game_life]]</f>
        <v>13737411.39887378</v>
      </c>
      <c r="P130" s="18">
        <f>Table13[[#This Row],[Annual profit]]*Table13[[#This Row],[In_game_life]]-Table13[[#This Row],[Total cost]]</f>
        <v>13737411.39887378</v>
      </c>
      <c r="Q130" s="22">
        <f>Table13[[#This Row],[Buying cost]]/buying_cost_convert*10000</f>
        <v>392497.4685392509</v>
      </c>
      <c r="R130" s="22">
        <f>Table13[[#This Row],[Running cost]]/running_cost_convert*1000</f>
        <v>763189.52215965441</v>
      </c>
      <c r="S130" s="22">
        <f>ROUND(Table13[IG buying cost factor]/Table13[Range],0)</f>
        <v>276</v>
      </c>
      <c r="T130" s="22">
        <f>ROUND(Table13[IG running cost factor]/Table13[Range],0)</f>
        <v>537</v>
      </c>
      <c r="U130" s="18"/>
      <c r="V130" s="18"/>
      <c r="W130" s="18">
        <f>IFERROR(Table13[[#This Row],[in-game cost]]/Table13[[#This Row],[Newgrf cost factor]],0)</f>
        <v>0</v>
      </c>
      <c r="X130" s="18"/>
      <c r="Y130" s="18"/>
      <c r="Z130" s="18">
        <f>IFERROR(Table13[[#This Row],[in-game running]]/Table13[[#This Row],[Newgrf running factor]],0)</f>
        <v>0</v>
      </c>
      <c r="AA130" s="23">
        <f>(Table13[[#This Row],[Buying/distance]]*Table13[Range]/10000*buying_cost_convert-Table13[Buying cost])/Table13[Buying cost]</f>
        <v>-1.4712669138988508E-3</v>
      </c>
      <c r="AB130" s="23">
        <f>(Table13[Running/distance]*Table13[Range]/1000*running_cost_convert-Table13[Running cost])/Table13[Running cost]</f>
        <v>-8.5106273185773498E-4</v>
      </c>
    </row>
    <row r="131" spans="1:28" hidden="1" x14ac:dyDescent="0.3">
      <c r="A131" s="11" t="s">
        <v>137</v>
      </c>
      <c r="B131">
        <v>945</v>
      </c>
      <c r="C131">
        <v>270</v>
      </c>
      <c r="D131">
        <v>2855</v>
      </c>
      <c r="E131">
        <f>IF(D:D&lt;minaddmultirange,MAX(Table13[[#This Row],[Base range]],Minbaserange)*rangemultipl*rangemultiplsmalladd/10000,MAX(Table13[[#This Row],[Base range]],Minbaserange)*minaddmultirange/100)</f>
        <v>2855</v>
      </c>
      <c r="F131">
        <v>30</v>
      </c>
      <c r="G131" s="9">
        <f>Table13[[#This Row],[Base range]]/((Table13[[#This Row],[Speed]]/3600*16*256)/(74*2)*24/10*2)+$AE$10</f>
        <v>93.872364831349202</v>
      </c>
      <c r="H131" s="21">
        <f>ROUNDDOWN(Table13[[#This Row],[Travel_time]]*formula_vsig_time,0)</f>
        <v>37</v>
      </c>
      <c r="I13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205</v>
      </c>
      <c r="J131" s="2">
        <f>Table13[[#This Row],[Capacity]]*Table13[[#This Row],[Range]]*payment_rate*Table13[[#This Row],[Time factor]]/2^21*GBP_to_Currency</f>
        <v>239995.59223651886</v>
      </c>
      <c r="K131" s="9">
        <f>365/Table13[[#This Row],[Travel_time]]</f>
        <v>3.8882582819316194</v>
      </c>
      <c r="L131" s="2">
        <f>Table13[[#This Row],[Income per travel]]*Table13[[#This Row],[Annual travels, max]]</f>
        <v>933164.84914072836</v>
      </c>
      <c r="M131" s="2">
        <f>Table13[[#This Row],[In_game_life]]*Table13[[#This Row],[Annual profit]]*ROI____lifetime*cost_factor</f>
        <v>6998736.3685554629</v>
      </c>
      <c r="N131" s="18">
        <f>Table13[[#This Row],[Annual profit]]*Running_cost_weight*runningcost_factor</f>
        <v>233291.21228518209</v>
      </c>
      <c r="O131" s="18">
        <f>Table13[[#This Row],[Buying cost]]+Table13[[#This Row],[Running cost]]*Table13[[#This Row],[In_game_life]]</f>
        <v>13997472.737110926</v>
      </c>
      <c r="P131" s="18">
        <f>Table13[[#This Row],[Annual profit]]*Table13[[#This Row],[In_game_life]]-Table13[[#This Row],[Total cost]]</f>
        <v>13997472.737110926</v>
      </c>
      <c r="Q131" s="22">
        <f>Table13[[#This Row],[Buying cost]]/buying_cost_convert*10000</f>
        <v>399927.7924888836</v>
      </c>
      <c r="R131" s="22">
        <f>Table13[[#This Row],[Running cost]]/running_cost_convert*1000</f>
        <v>777637.3742839403</v>
      </c>
      <c r="S131" s="22">
        <f>ROUND(Table13[IG buying cost factor]/Table13[Range],0)</f>
        <v>140</v>
      </c>
      <c r="T131" s="22">
        <f>ROUND(Table13[IG running cost factor]/Table13[Range],0)</f>
        <v>272</v>
      </c>
      <c r="U131" s="18"/>
      <c r="V131" s="18"/>
      <c r="W131" s="18">
        <f>IFERROR(Table13[[#This Row],[in-game cost]]/Table13[[#This Row],[Newgrf cost factor]],0)</f>
        <v>0</v>
      </c>
      <c r="X131" s="18"/>
      <c r="Y131" s="18"/>
      <c r="Z131" s="18">
        <f>IFERROR(Table13[[#This Row],[in-game running]]/Table13[[#This Row],[Newgrf running factor]],0)</f>
        <v>0</v>
      </c>
      <c r="AA131" s="23">
        <f>(Table13[[#This Row],[Buying/distance]]*Table13[Range]/10000*buying_cost_convert-Table13[Buying cost])/Table13[Buying cost]</f>
        <v>-5.6958404282424831E-4</v>
      </c>
      <c r="AB131" s="23">
        <f>(Table13[Running/distance]*Table13[Range]/1000*running_cost_convert-Table13[Running cost])/Table13[Running cost]</f>
        <v>-1.3854456068710141E-3</v>
      </c>
    </row>
    <row r="132" spans="1:28" hidden="1" x14ac:dyDescent="0.3">
      <c r="A132" s="11" t="s">
        <v>138</v>
      </c>
      <c r="B132">
        <v>945</v>
      </c>
      <c r="C132">
        <v>280</v>
      </c>
      <c r="D132">
        <v>2835</v>
      </c>
      <c r="E132">
        <f>IF(D:D&lt;minaddmultirange,MAX(Table13[[#This Row],[Base range]],Minbaserange)*rangemultipl*rangemultiplsmalladd/10000,MAX(Table13[[#This Row],[Base range]],Minbaserange)*minaddmultirange/100)</f>
        <v>2835</v>
      </c>
      <c r="F132">
        <v>35</v>
      </c>
      <c r="G132" s="9">
        <f>Table13[[#This Row],[Base range]]/((Table13[[#This Row],[Speed]]/3600*16*256)/(74*2)*24/10*2)+$AE$10</f>
        <v>93.298828125</v>
      </c>
      <c r="H132" s="21">
        <f>ROUNDDOWN(Table13[[#This Row],[Travel_time]]*formula_vsig_time,0)</f>
        <v>37</v>
      </c>
      <c r="I13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205</v>
      </c>
      <c r="J132" s="2">
        <f>Table13[[#This Row],[Capacity]]*Table13[[#This Row],[Range]]*payment_rate*Table13[[#This Row],[Time factor]]/2^21*GBP_to_Currency</f>
        <v>247140.82002639771</v>
      </c>
      <c r="K132" s="9">
        <f>365/Table13[[#This Row],[Travel_time]]</f>
        <v>3.9121606062509158</v>
      </c>
      <c r="L132" s="2">
        <f>Table13[[#This Row],[Income per travel]]*Table13[[#This Row],[Annual travels, max]]</f>
        <v>966854.58030382055</v>
      </c>
      <c r="M132" s="2">
        <f>Table13[[#This Row],[In_game_life]]*Table13[[#This Row],[Annual profit]]*ROI____lifetime*cost_factor</f>
        <v>8459977.5776584297</v>
      </c>
      <c r="N132" s="18">
        <f>Table13[[#This Row],[Annual profit]]*Running_cost_weight*runningcost_factor</f>
        <v>241713.64507595514</v>
      </c>
      <c r="O132" s="18">
        <f>Table13[[#This Row],[Buying cost]]+Table13[[#This Row],[Running cost]]*Table13[[#This Row],[In_game_life]]</f>
        <v>16919955.155316859</v>
      </c>
      <c r="P132" s="18">
        <f>Table13[[#This Row],[Annual profit]]*Table13[[#This Row],[In_game_life]]-Table13[[#This Row],[Total cost]]</f>
        <v>16919955.155316859</v>
      </c>
      <c r="Q132" s="22">
        <f>Table13[[#This Row],[Buying cost]]/buying_cost_convert*10000</f>
        <v>483427.29015191027</v>
      </c>
      <c r="R132" s="22">
        <f>Table13[[#This Row],[Running cost]]/running_cost_convert*1000</f>
        <v>805712.15025318379</v>
      </c>
      <c r="S132" s="22">
        <f>ROUND(Table13[IG buying cost factor]/Table13[Range],0)</f>
        <v>171</v>
      </c>
      <c r="T132" s="22">
        <f>ROUND(Table13[IG running cost factor]/Table13[Range],0)</f>
        <v>284</v>
      </c>
      <c r="U132" s="18"/>
      <c r="V132" s="18"/>
      <c r="W132" s="18">
        <f>IFERROR(Table13[[#This Row],[in-game cost]]/Table13[[#This Row],[Newgrf cost factor]],0)</f>
        <v>0</v>
      </c>
      <c r="X132" s="18"/>
      <c r="Y132" s="18"/>
      <c r="Z132" s="18">
        <f>IFERROR(Table13[[#This Row],[in-game running]]/Table13[[#This Row],[Newgrf running factor]],0)</f>
        <v>0</v>
      </c>
      <c r="AA132" s="23">
        <f>(Table13[[#This Row],[Buying/distance]]*Table13[Range]/10000*buying_cost_convert-Table13[Buying cost])/Table13[Buying cost]</f>
        <v>2.8085089024723607E-3</v>
      </c>
      <c r="AB132" s="23">
        <f>(Table13[Running/distance]*Table13[Range]/1000*running_cost_convert-Table13[Running cost])/Table13[Running cost]</f>
        <v>-7.1011744455386488E-4</v>
      </c>
    </row>
    <row r="133" spans="1:28" hidden="1" x14ac:dyDescent="0.3">
      <c r="A133" s="11" t="s">
        <v>139</v>
      </c>
      <c r="B133">
        <v>945</v>
      </c>
      <c r="C133">
        <v>293</v>
      </c>
      <c r="D133">
        <v>2280</v>
      </c>
      <c r="E133">
        <f>IF(D:D&lt;minaddmultirange,MAX(Table13[[#This Row],[Base range]],Minbaserange)*rangemultipl*rangemultiplsmalladd/10000,MAX(Table13[[#This Row],[Base range]],Minbaserange)*minaddmultirange/100)</f>
        <v>2280</v>
      </c>
      <c r="F133">
        <v>30</v>
      </c>
      <c r="G133" s="9">
        <f>Table13[[#This Row],[Base range]]/((Table13[[#This Row],[Speed]]/3600*16*256)/(74*2)*24/10*2)+$AE$10</f>
        <v>77.383184523809533</v>
      </c>
      <c r="H133" s="21">
        <f>ROUNDDOWN(Table13[[#This Row],[Travel_time]]*formula_vsig_time,0)</f>
        <v>30</v>
      </c>
      <c r="I13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219</v>
      </c>
      <c r="J133" s="2">
        <f>Table13[[#This Row],[Capacity]]*Table13[[#This Row],[Range]]*payment_rate*Table13[[#This Row],[Time factor]]/2^21*GBP_to_Currency</f>
        <v>222190.81907272339</v>
      </c>
      <c r="K133" s="9">
        <f>365/Table13[[#This Row],[Travel_time]]</f>
        <v>4.7167870157591603</v>
      </c>
      <c r="L133" s="2">
        <f>Table13[[#This Row],[Income per travel]]*Table13[[#This Row],[Annual travels, max]]</f>
        <v>1048026.7704231144</v>
      </c>
      <c r="M133" s="2">
        <f>Table13[[#This Row],[In_game_life]]*Table13[[#This Row],[Annual profit]]*ROI____lifetime*cost_factor</f>
        <v>7860200.7781733582</v>
      </c>
      <c r="N133" s="18">
        <f>Table13[[#This Row],[Annual profit]]*Running_cost_weight*runningcost_factor</f>
        <v>262006.6926057786</v>
      </c>
      <c r="O133" s="18">
        <f>Table13[[#This Row],[Buying cost]]+Table13[[#This Row],[Running cost]]*Table13[[#This Row],[In_game_life]]</f>
        <v>15720401.556346716</v>
      </c>
      <c r="P133" s="18">
        <f>Table13[[#This Row],[Annual profit]]*Table13[[#This Row],[In_game_life]]-Table13[[#This Row],[Total cost]]</f>
        <v>15720401.556346716</v>
      </c>
      <c r="Q133" s="22">
        <f>Table13[[#This Row],[Buying cost]]/buying_cost_convert*10000</f>
        <v>449154.33018133475</v>
      </c>
      <c r="R133" s="22">
        <f>Table13[[#This Row],[Running cost]]/running_cost_convert*1000</f>
        <v>873355.64201926207</v>
      </c>
      <c r="S133" s="22">
        <f>ROUND(Table13[IG buying cost factor]/Table13[Range],0)</f>
        <v>197</v>
      </c>
      <c r="T133" s="22">
        <f>ROUND(Table13[IG running cost factor]/Table13[Range],0)</f>
        <v>383</v>
      </c>
      <c r="U133" s="18"/>
      <c r="V133" s="18"/>
      <c r="W133" s="18">
        <f>IFERROR(Table13[[#This Row],[in-game cost]]/Table13[[#This Row],[Newgrf cost factor]],0)</f>
        <v>0</v>
      </c>
      <c r="X133" s="18"/>
      <c r="Y133" s="18"/>
      <c r="Z133" s="18">
        <f>IFERROR(Table13[[#This Row],[in-game running]]/Table13[[#This Row],[Newgrf running factor]],0)</f>
        <v>0</v>
      </c>
      <c r="AA133" s="23">
        <f>(Table13[[#This Row],[Buying/distance]]*Table13[Range]/10000*buying_cost_convert-Table13[Buying cost])/Table13[Buying cost]</f>
        <v>1.2623319612447271E-5</v>
      </c>
      <c r="AB133" s="23">
        <f>(Table13[Running/distance]*Table13[Range]/1000*running_cost_convert-Table13[Running cost])/Table13[Running cost]</f>
        <v>-1.3241114352297617E-4</v>
      </c>
    </row>
    <row r="134" spans="1:28" hidden="1" x14ac:dyDescent="0.3">
      <c r="A134" s="11" t="s">
        <v>140</v>
      </c>
      <c r="B134">
        <v>925</v>
      </c>
      <c r="C134">
        <v>295</v>
      </c>
      <c r="D134">
        <v>1950</v>
      </c>
      <c r="E134">
        <f>IF(D:D&lt;minaddmultirange,MAX(Table13[[#This Row],[Base range]],Minbaserange)*rangemultipl*rangemultiplsmalladd/10000,MAX(Table13[[#This Row],[Base range]],Minbaserange)*minaddmultirange/100)</f>
        <v>1950</v>
      </c>
      <c r="F134">
        <v>30</v>
      </c>
      <c r="G134" s="9">
        <f>Table13[[#This Row],[Base range]]/((Table13[[#This Row],[Speed]]/3600*16*256)/(74*2)*24/10*2)+$AE$10</f>
        <v>69.12890625</v>
      </c>
      <c r="H134" s="21">
        <f>ROUNDDOWN(Table13[[#This Row],[Travel_time]]*formula_vsig_time,0)</f>
        <v>27</v>
      </c>
      <c r="I13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225</v>
      </c>
      <c r="J134" s="2">
        <f>Table13[[#This Row],[Capacity]]*Table13[[#This Row],[Range]]*payment_rate*Table13[[#This Row],[Time factor]]/2^21*GBP_to_Currency</f>
        <v>196570.64974308014</v>
      </c>
      <c r="K134" s="9">
        <f>365/Table13[[#This Row],[Travel_time]]</f>
        <v>5.2799909589195906</v>
      </c>
      <c r="L134" s="2">
        <f>Table13[[#This Row],[Income per travel]]*Table13[[#This Row],[Annual travels, max]]</f>
        <v>1037891.2534324126</v>
      </c>
      <c r="M134" s="2">
        <f>Table13[[#This Row],[In_game_life]]*Table13[[#This Row],[Annual profit]]*ROI____lifetime*cost_factor</f>
        <v>7784184.4007430952</v>
      </c>
      <c r="N134" s="18">
        <f>Table13[[#This Row],[Annual profit]]*Running_cost_weight*runningcost_factor</f>
        <v>259472.81335810316</v>
      </c>
      <c r="O134" s="18">
        <f>Table13[[#This Row],[Buying cost]]+Table13[[#This Row],[Running cost]]*Table13[[#This Row],[In_game_life]]</f>
        <v>15568368.80148619</v>
      </c>
      <c r="P134" s="18">
        <f>Table13[[#This Row],[Annual profit]]*Table13[[#This Row],[In_game_life]]-Table13[[#This Row],[Total cost]]</f>
        <v>15568368.80148619</v>
      </c>
      <c r="Q134" s="22">
        <f>Table13[[#This Row],[Buying cost]]/buying_cost_convert*10000</f>
        <v>444810.53718531976</v>
      </c>
      <c r="R134" s="22">
        <f>Table13[[#This Row],[Running cost]]/running_cost_convert*1000</f>
        <v>864909.3778603439</v>
      </c>
      <c r="S134" s="22">
        <f>ROUND(Table13[IG buying cost factor]/Table13[Range],0)</f>
        <v>228</v>
      </c>
      <c r="T134" s="22">
        <f>ROUND(Table13[IG running cost factor]/Table13[Range],0)</f>
        <v>444</v>
      </c>
      <c r="U134" s="18"/>
      <c r="V134" s="18"/>
      <c r="W134" s="18">
        <f>IFERROR(Table13[[#This Row],[in-game cost]]/Table13[[#This Row],[Newgrf cost factor]],0)</f>
        <v>0</v>
      </c>
      <c r="X134" s="18"/>
      <c r="Y134" s="18"/>
      <c r="Z134" s="18">
        <f>IFERROR(Table13[[#This Row],[in-game running]]/Table13[[#This Row],[Newgrf running factor]],0)</f>
        <v>0</v>
      </c>
      <c r="AA134" s="23">
        <f>(Table13[[#This Row],[Buying/distance]]*Table13[Range]/10000*buying_cost_convert-Table13[Buying cost])/Table13[Buying cost]</f>
        <v>-4.7331879017967297E-4</v>
      </c>
      <c r="AB134" s="23">
        <f>(Table13[Running/distance]*Table13[Range]/1000*running_cost_convert-Table13[Running cost])/Table13[Running cost]</f>
        <v>1.0297288507374099E-3</v>
      </c>
    </row>
    <row r="135" spans="1:28" hidden="1" x14ac:dyDescent="0.3">
      <c r="A135" s="11" t="s">
        <v>141</v>
      </c>
      <c r="B135">
        <v>906</v>
      </c>
      <c r="C135">
        <v>295</v>
      </c>
      <c r="D135">
        <v>2465</v>
      </c>
      <c r="E135">
        <f>IF(D:D&lt;minaddmultirange,MAX(Table13[[#This Row],[Base range]],Minbaserange)*rangemultipl*rangemultiplsmalladd/10000,MAX(Table13[[#This Row],[Base range]],Minbaserange)*minaddmultirange/100)</f>
        <v>2465</v>
      </c>
      <c r="F135">
        <v>25</v>
      </c>
      <c r="G135" s="9">
        <f>Table13[[#This Row],[Base range]]/((Table13[[#This Row],[Speed]]/3600*16*256)/(74*2)*24/10*2)+$AE$10</f>
        <v>85.731277162665563</v>
      </c>
      <c r="H135" s="21">
        <f>ROUNDDOWN(Table13[[#This Row],[Travel_time]]*formula_vsig_time,0)</f>
        <v>34</v>
      </c>
      <c r="I13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211</v>
      </c>
      <c r="J135" s="2">
        <f>Table13[[#This Row],[Capacity]]*Table13[[#This Row],[Range]]*payment_rate*Table13[[#This Row],[Time factor]]/2^21*GBP_to_Currency</f>
        <v>233024.14470911026</v>
      </c>
      <c r="K135" s="9">
        <f>365/Table13[[#This Row],[Travel_time]]</f>
        <v>4.2574893560427558</v>
      </c>
      <c r="L135" s="2">
        <f>Table13[[#This Row],[Income per travel]]*Table13[[#This Row],[Annual travels, max]]</f>
        <v>992097.81580000382</v>
      </c>
      <c r="M135" s="2">
        <f>Table13[[#This Row],[In_game_life]]*Table13[[#This Row],[Annual profit]]*ROI____lifetime*cost_factor</f>
        <v>6200611.3487500241</v>
      </c>
      <c r="N135" s="18">
        <f>Table13[[#This Row],[Annual profit]]*Running_cost_weight*runningcost_factor</f>
        <v>248024.45395000096</v>
      </c>
      <c r="O135" s="18">
        <f>Table13[[#This Row],[Buying cost]]+Table13[[#This Row],[Running cost]]*Table13[[#This Row],[In_game_life]]</f>
        <v>12401222.697500048</v>
      </c>
      <c r="P135" s="18">
        <f>Table13[[#This Row],[Annual profit]]*Table13[[#This Row],[In_game_life]]-Table13[[#This Row],[Total cost]]</f>
        <v>12401222.697500048</v>
      </c>
      <c r="Q135" s="22">
        <f>Table13[[#This Row],[Buying cost]]/buying_cost_convert*10000</f>
        <v>354320.64850000141</v>
      </c>
      <c r="R135" s="22">
        <f>Table13[[#This Row],[Running cost]]/running_cost_convert*1000</f>
        <v>826748.1798333365</v>
      </c>
      <c r="S135" s="22">
        <f>ROUND(Table13[IG buying cost factor]/Table13[Range],0)</f>
        <v>144</v>
      </c>
      <c r="T135" s="22">
        <f>ROUND(Table13[IG running cost factor]/Table13[Range],0)</f>
        <v>335</v>
      </c>
      <c r="U135" s="18"/>
      <c r="V135" s="18"/>
      <c r="W135" s="18">
        <f>IFERROR(Table13[[#This Row],[in-game cost]]/Table13[[#This Row],[Newgrf cost factor]],0)</f>
        <v>0</v>
      </c>
      <c r="X135" s="18"/>
      <c r="Y135" s="18"/>
      <c r="Z135" s="18">
        <f>IFERROR(Table13[[#This Row],[in-game running]]/Table13[[#This Row],[Newgrf running factor]],0)</f>
        <v>0</v>
      </c>
      <c r="AA135" s="23">
        <f>(Table13[[#This Row],[Buying/distance]]*Table13[Range]/10000*buying_cost_convert-Table13[Buying cost])/Table13[Buying cost]</f>
        <v>1.8044432428798182E-3</v>
      </c>
      <c r="AB135" s="23">
        <f>(Table13[Running/distance]*Table13[Range]/1000*running_cost_convert-Table13[Running cost])/Table13[Running cost]</f>
        <v>-1.1771176001049103E-3</v>
      </c>
    </row>
    <row r="136" spans="1:28" hidden="1" x14ac:dyDescent="0.3">
      <c r="A136" s="11" t="s">
        <v>142</v>
      </c>
      <c r="B136">
        <v>917</v>
      </c>
      <c r="C136">
        <v>313</v>
      </c>
      <c r="D136">
        <v>3000</v>
      </c>
      <c r="E136">
        <f>IF(D:D&lt;minaddmultirange,MAX(Table13[[#This Row],[Base range]],Minbaserange)*rangemultipl*rangemultiplsmalladd/10000,MAX(Table13[[#This Row],[Base range]],Minbaserange)*minaddmultirange/100)</f>
        <v>3000</v>
      </c>
      <c r="F136">
        <v>30</v>
      </c>
      <c r="G136" s="9">
        <f>Table13[[#This Row],[Base range]]/((Table13[[#This Row],[Speed]]/3600*16*256)/(74*2)*24/10*2)+$AE$10</f>
        <v>100.65739163031624</v>
      </c>
      <c r="H136" s="21">
        <f>ROUNDDOWN(Table13[[#This Row],[Travel_time]]*formula_vsig_time,0)</f>
        <v>40</v>
      </c>
      <c r="I13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199</v>
      </c>
      <c r="J136" s="2">
        <f>Table13[[#This Row],[Capacity]]*Table13[[#This Row],[Range]]*payment_rate*Table13[[#This Row],[Time factor]]/2^21*GBP_to_Currency</f>
        <v>283790.72427749634</v>
      </c>
      <c r="K136" s="9">
        <f>365/Table13[[#This Row],[Travel_time]]</f>
        <v>3.6261619150686237</v>
      </c>
      <c r="L136" s="2">
        <f>Table13[[#This Row],[Income per travel]]*Table13[[#This Row],[Annual travels, max]]</f>
        <v>1029071.1162247979</v>
      </c>
      <c r="M136" s="2">
        <f>Table13[[#This Row],[In_game_life]]*Table13[[#This Row],[Annual profit]]*ROI____lifetime*cost_factor</f>
        <v>7718033.3716859845</v>
      </c>
      <c r="N136" s="18">
        <f>Table13[[#This Row],[Annual profit]]*Running_cost_weight*runningcost_factor</f>
        <v>257267.77905619948</v>
      </c>
      <c r="O136" s="18">
        <f>Table13[[#This Row],[Buying cost]]+Table13[[#This Row],[Running cost]]*Table13[[#This Row],[In_game_life]]</f>
        <v>15436066.743371969</v>
      </c>
      <c r="P136" s="18">
        <f>Table13[[#This Row],[Annual profit]]*Table13[[#This Row],[In_game_life]]-Table13[[#This Row],[Total cost]]</f>
        <v>15436066.743371969</v>
      </c>
      <c r="Q136" s="22">
        <f>Table13[[#This Row],[Buying cost]]/buying_cost_convert*10000</f>
        <v>441030.47838205629</v>
      </c>
      <c r="R136" s="22">
        <f>Table13[[#This Row],[Running cost]]/running_cost_convert*1000</f>
        <v>857559.26352066488</v>
      </c>
      <c r="S136" s="22">
        <f>ROUND(Table13[IG buying cost factor]/Table13[Range],0)</f>
        <v>147</v>
      </c>
      <c r="T136" s="22">
        <f>ROUND(Table13[IG running cost factor]/Table13[Range],0)</f>
        <v>286</v>
      </c>
      <c r="U136" s="18"/>
      <c r="V136" s="18"/>
      <c r="W136" s="18">
        <f>IFERROR(Table13[[#This Row],[in-game cost]]/Table13[[#This Row],[Newgrf cost factor]],0)</f>
        <v>0</v>
      </c>
      <c r="X136" s="18"/>
      <c r="Y136" s="18"/>
      <c r="Z136" s="18">
        <f>IFERROR(Table13[[#This Row],[in-game running]]/Table13[[#This Row],[Newgrf running factor]],0)</f>
        <v>0</v>
      </c>
      <c r="AA136" s="23">
        <f>(Table13[[#This Row],[Buying/distance]]*Table13[Range]/10000*buying_cost_convert-Table13[Buying cost])/Table13[Buying cost]</f>
        <v>-6.9107201316496867E-5</v>
      </c>
      <c r="AB136" s="23">
        <f>(Table13[Running/distance]*Table13[Range]/1000*running_cost_convert-Table13[Running cost])/Table13[Running cost]</f>
        <v>5.1394288194807184E-4</v>
      </c>
    </row>
    <row r="137" spans="1:28" hidden="1" x14ac:dyDescent="0.3">
      <c r="A137" s="11" t="s">
        <v>143</v>
      </c>
      <c r="B137">
        <v>945</v>
      </c>
      <c r="C137">
        <v>314</v>
      </c>
      <c r="D137">
        <v>2700</v>
      </c>
      <c r="E137">
        <f>IF(D:D&lt;minaddmultirange,MAX(Table13[[#This Row],[Base range]],Minbaserange)*rangemultipl*rangemultiplsmalladd/10000,MAX(Table13[[#This Row],[Base range]],Minbaserange)*minaddmultirange/100)</f>
        <v>2700</v>
      </c>
      <c r="F137">
        <v>30</v>
      </c>
      <c r="G137" s="9">
        <f>Table13[[#This Row],[Base range]]/((Table13[[#This Row],[Speed]]/3600*16*256)/(74*2)*24/10*2)+$AE$10</f>
        <v>89.427455357142861</v>
      </c>
      <c r="H137" s="21">
        <f>ROUNDDOWN(Table13[[#This Row],[Travel_time]]*formula_vsig_time,0)</f>
        <v>35</v>
      </c>
      <c r="I13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209</v>
      </c>
      <c r="J137" s="2">
        <f>Table13[[#This Row],[Capacity]]*Table13[[#This Row],[Range]]*payment_rate*Table13[[#This Row],[Time factor]]/2^21*GBP_to_Currency</f>
        <v>269103.4255027771</v>
      </c>
      <c r="K137" s="9">
        <f>365/Table13[[#This Row],[Travel_time]]</f>
        <v>4.0815205860696144</v>
      </c>
      <c r="L137" s="2">
        <f>Table13[[#This Row],[Income per travel]]*Table13[[#This Row],[Annual travels, max]]</f>
        <v>1098351.1709714357</v>
      </c>
      <c r="M137" s="2">
        <f>Table13[[#This Row],[In_game_life]]*Table13[[#This Row],[Annual profit]]*ROI____lifetime*cost_factor</f>
        <v>8237633.7822857676</v>
      </c>
      <c r="N137" s="18">
        <f>Table13[[#This Row],[Annual profit]]*Running_cost_weight*runningcost_factor</f>
        <v>274587.79274285893</v>
      </c>
      <c r="O137" s="18">
        <f>Table13[[#This Row],[Buying cost]]+Table13[[#This Row],[Running cost]]*Table13[[#This Row],[In_game_life]]</f>
        <v>16475267.564571535</v>
      </c>
      <c r="P137" s="18">
        <f>Table13[[#This Row],[Annual profit]]*Table13[[#This Row],[In_game_life]]-Table13[[#This Row],[Total cost]]</f>
        <v>16475267.564571535</v>
      </c>
      <c r="Q137" s="22">
        <f>Table13[[#This Row],[Buying cost]]/buying_cost_convert*10000</f>
        <v>470721.93041632959</v>
      </c>
      <c r="R137" s="22">
        <f>Table13[[#This Row],[Running cost]]/running_cost_convert*1000</f>
        <v>915292.6424761964</v>
      </c>
      <c r="S137" s="22">
        <f>ROUND(Table13[IG buying cost factor]/Table13[Range],0)</f>
        <v>174</v>
      </c>
      <c r="T137" s="22">
        <f>ROUND(Table13[IG running cost factor]/Table13[Range],0)</f>
        <v>339</v>
      </c>
      <c r="U137" s="18"/>
      <c r="V137" s="18"/>
      <c r="W137" s="18">
        <f>IFERROR(Table13[[#This Row],[in-game cost]]/Table13[[#This Row],[Newgrf cost factor]],0)</f>
        <v>0</v>
      </c>
      <c r="X137" s="18"/>
      <c r="Y137" s="18"/>
      <c r="Z137" s="18">
        <f>IFERROR(Table13[[#This Row],[in-game running]]/Table13[[#This Row],[Newgrf running factor]],0)</f>
        <v>0</v>
      </c>
      <c r="AA137" s="23">
        <f>(Table13[[#This Row],[Buying/distance]]*Table13[Range]/10000*buying_cost_convert-Table13[Buying cost])/Table13[Buying cost]</f>
        <v>-1.9585457076840042E-3</v>
      </c>
      <c r="AB137" s="23">
        <f>(Table13[Running/distance]*Table13[Range]/1000*running_cost_convert-Table13[Running cost])/Table13[Running cost]</f>
        <v>8.0384387048666983E-6</v>
      </c>
    </row>
    <row r="138" spans="1:28" hidden="1" x14ac:dyDescent="0.3">
      <c r="A138" s="11" t="s">
        <v>144</v>
      </c>
      <c r="B138">
        <v>945</v>
      </c>
      <c r="C138">
        <v>314</v>
      </c>
      <c r="D138">
        <v>3440</v>
      </c>
      <c r="E138">
        <f>IF(D:D&lt;minaddmultirange,MAX(Table13[[#This Row],[Base range]],Minbaserange)*rangemultipl*rangemultiplsmalladd/10000,MAX(Table13[[#This Row],[Base range]],Minbaserange)*minaddmultirange/100)</f>
        <v>3440</v>
      </c>
      <c r="F138">
        <v>30</v>
      </c>
      <c r="G138" s="9">
        <f>Table13[[#This Row],[Base range]]/((Table13[[#This Row],[Speed]]/3600*16*256)/(74*2)*24/10*2)+$AE$10</f>
        <v>110.64831349206349</v>
      </c>
      <c r="H138" s="21">
        <f>ROUNDDOWN(Table13[[#This Row],[Travel_time]]*formula_vsig_time,0)</f>
        <v>44</v>
      </c>
      <c r="I13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191</v>
      </c>
      <c r="J138" s="2">
        <f>Table13[[#This Row],[Capacity]]*Table13[[#This Row],[Range]]*payment_rate*Table13[[#This Row],[Time factor]]/2^21*GBP_to_Currency</f>
        <v>313329.28352355957</v>
      </c>
      <c r="K138" s="9">
        <f>365/Table13[[#This Row],[Travel_time]]</f>
        <v>3.2987398404963533</v>
      </c>
      <c r="L138" s="2">
        <f>Table13[[#This Row],[Income per travel]]*Table13[[#This Row],[Annual travels, max]]</f>
        <v>1033591.7907533435</v>
      </c>
      <c r="M138" s="2">
        <f>Table13[[#This Row],[In_game_life]]*Table13[[#This Row],[Annual profit]]*ROI____lifetime*cost_factor</f>
        <v>7751938.4306500759</v>
      </c>
      <c r="N138" s="18">
        <f>Table13[[#This Row],[Annual profit]]*Running_cost_weight*runningcost_factor</f>
        <v>258397.94768833587</v>
      </c>
      <c r="O138" s="18">
        <f>Table13[[#This Row],[Buying cost]]+Table13[[#This Row],[Running cost]]*Table13[[#This Row],[In_game_life]]</f>
        <v>15503876.861300152</v>
      </c>
      <c r="P138" s="18">
        <f>Table13[[#This Row],[Annual profit]]*Table13[[#This Row],[In_game_life]]-Table13[[#This Row],[Total cost]]</f>
        <v>15503876.861300152</v>
      </c>
      <c r="Q138" s="22">
        <f>Table13[[#This Row],[Buying cost]]/buying_cost_convert*10000</f>
        <v>442967.91032286151</v>
      </c>
      <c r="R138" s="22">
        <f>Table13[[#This Row],[Running cost]]/running_cost_convert*1000</f>
        <v>861326.49229445297</v>
      </c>
      <c r="S138" s="22">
        <f>ROUND(Table13[IG buying cost factor]/Table13[Range],0)</f>
        <v>129</v>
      </c>
      <c r="T138" s="22">
        <f>ROUND(Table13[IG running cost factor]/Table13[Range],0)</f>
        <v>250</v>
      </c>
      <c r="U138" s="18"/>
      <c r="V138" s="18"/>
      <c r="W138" s="18">
        <f>IFERROR(Table13[[#This Row],[in-game cost]]/Table13[[#This Row],[Newgrf cost factor]],0)</f>
        <v>0</v>
      </c>
      <c r="X138" s="18"/>
      <c r="Y138" s="18"/>
      <c r="Z138" s="18">
        <f>IFERROR(Table13[[#This Row],[in-game running]]/Table13[[#This Row],[Newgrf running factor]],0)</f>
        <v>0</v>
      </c>
      <c r="AA138" s="23">
        <f>(Table13[[#This Row],[Buying/distance]]*Table13[Range]/10000*buying_cost_convert-Table13[Buying cost])/Table13[Buying cost]</f>
        <v>1.7881423432257156E-3</v>
      </c>
      <c r="AB138" s="23">
        <f>(Table13[Running/distance]*Table13[Range]/1000*running_cost_convert-Table13[Running cost])/Table13[Running cost]</f>
        <v>-1.540057465223577E-3</v>
      </c>
    </row>
    <row r="139" spans="1:28" hidden="1" x14ac:dyDescent="0.3">
      <c r="A139" s="11" t="s">
        <v>145</v>
      </c>
      <c r="B139">
        <v>950</v>
      </c>
      <c r="C139">
        <v>314</v>
      </c>
      <c r="D139">
        <v>1745</v>
      </c>
      <c r="E139">
        <f>IF(D:D&lt;minaddmultirange,MAX(Table13[[#This Row],[Base range]],Minbaserange)*rangemultipl*rangemultiplsmalladd/10000,MAX(Table13[[#This Row],[Base range]],Minbaserange)*minaddmultirange/100)</f>
        <v>1745</v>
      </c>
      <c r="F139">
        <v>30</v>
      </c>
      <c r="G139" s="9">
        <f>Table13[[#This Row],[Base range]]/((Table13[[#This Row],[Speed]]/3600*16*256)/(74*2)*24/10*2)+$AE$10</f>
        <v>61.777703536184205</v>
      </c>
      <c r="H139" s="21">
        <f>ROUNDDOWN(Table13[[#This Row],[Travel_time]]*formula_vsig_time,0)</f>
        <v>24</v>
      </c>
      <c r="I13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231</v>
      </c>
      <c r="J139" s="2">
        <f>Table13[[#This Row],[Capacity]]*Table13[[#This Row],[Range]]*payment_rate*Table13[[#This Row],[Time factor]]/2^21*GBP_to_Currency</f>
        <v>192227.9732465744</v>
      </c>
      <c r="K139" s="9">
        <f>365/Table13[[#This Row],[Travel_time]]</f>
        <v>5.9082804815852947</v>
      </c>
      <c r="L139" s="2">
        <f>Table13[[#This Row],[Income per travel]]*Table13[[#This Row],[Annual travels, max]]</f>
        <v>1135736.7823474358</v>
      </c>
      <c r="M139" s="2">
        <f>Table13[[#This Row],[In_game_life]]*Table13[[#This Row],[Annual profit]]*ROI____lifetime*cost_factor</f>
        <v>8518025.8676057681</v>
      </c>
      <c r="N139" s="18">
        <f>Table13[[#This Row],[Annual profit]]*Running_cost_weight*runningcost_factor</f>
        <v>283934.19558685896</v>
      </c>
      <c r="O139" s="18">
        <f>Table13[[#This Row],[Buying cost]]+Table13[[#This Row],[Running cost]]*Table13[[#This Row],[In_game_life]]</f>
        <v>17036051.735211536</v>
      </c>
      <c r="P139" s="18">
        <f>Table13[[#This Row],[Annual profit]]*Table13[[#This Row],[In_game_life]]-Table13[[#This Row],[Total cost]]</f>
        <v>17036051.735211536</v>
      </c>
      <c r="Q139" s="22">
        <f>Table13[[#This Row],[Buying cost]]/buying_cost_convert*10000</f>
        <v>486744.33529175812</v>
      </c>
      <c r="R139" s="22">
        <f>Table13[[#This Row],[Running cost]]/running_cost_convert*1000</f>
        <v>946447.31862286327</v>
      </c>
      <c r="S139" s="22">
        <f>ROUND(Table13[IG buying cost factor]/Table13[Range],0)</f>
        <v>279</v>
      </c>
      <c r="T139" s="22">
        <f>ROUND(Table13[IG running cost factor]/Table13[Range],0)</f>
        <v>542</v>
      </c>
      <c r="U139" s="18"/>
      <c r="V139" s="18"/>
      <c r="W139" s="18">
        <f>IFERROR(Table13[[#This Row],[in-game cost]]/Table13[[#This Row],[Newgrf cost factor]],0)</f>
        <v>0</v>
      </c>
      <c r="X139" s="18"/>
      <c r="Y139" s="18"/>
      <c r="Z139" s="18">
        <f>IFERROR(Table13[[#This Row],[in-game running]]/Table13[[#This Row],[Newgrf running factor]],0)</f>
        <v>0</v>
      </c>
      <c r="AA139" s="23">
        <f>(Table13[[#This Row],[Buying/distance]]*Table13[Range]/10000*buying_cost_convert-Table13[Buying cost])/Table13[Buying cost]</f>
        <v>2.2735695152052891E-4</v>
      </c>
      <c r="AB139" s="23">
        <f>(Table13[Running/distance]*Table13[Range]/1000*running_cost_convert-Table13[Running cost])/Table13[Running cost]</f>
        <v>-6.9451158023209282E-4</v>
      </c>
    </row>
    <row r="140" spans="1:28" hidden="1" x14ac:dyDescent="0.3">
      <c r="A140" s="11" t="s">
        <v>146</v>
      </c>
      <c r="B140">
        <v>950</v>
      </c>
      <c r="C140">
        <v>314</v>
      </c>
      <c r="D140">
        <v>2575</v>
      </c>
      <c r="E140">
        <f>IF(D:D&lt;minaddmultirange,MAX(Table13[[#This Row],[Base range]],Minbaserange)*rangemultipl*rangemultiplsmalladd/10000,MAX(Table13[[#This Row],[Base range]],Minbaserange)*minaddmultirange/100)</f>
        <v>2575</v>
      </c>
      <c r="F140">
        <v>30</v>
      </c>
      <c r="G140" s="9">
        <f>Table13[[#This Row],[Base range]]/((Table13[[#This Row],[Speed]]/3600*16*256)/(74*2)*24/10*2)+$AE$10</f>
        <v>85.454204358552616</v>
      </c>
      <c r="H140" s="21">
        <f>ROUNDDOWN(Table13[[#This Row],[Travel_time]]*formula_vsig_time,0)</f>
        <v>34</v>
      </c>
      <c r="I14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211</v>
      </c>
      <c r="J140" s="2">
        <f>Table13[[#This Row],[Capacity]]*Table13[[#This Row],[Range]]*payment_rate*Table13[[#This Row],[Time factor]]/2^21*GBP_to_Currency</f>
        <v>259100.86596012115</v>
      </c>
      <c r="K140" s="9">
        <f>365/Table13[[#This Row],[Travel_time]]</f>
        <v>4.2712936448219265</v>
      </c>
      <c r="L140" s="2">
        <f>Table13[[#This Row],[Income per travel]]*Table13[[#This Row],[Annual travels, max]]</f>
        <v>1106695.8821433233</v>
      </c>
      <c r="M140" s="2">
        <f>Table13[[#This Row],[In_game_life]]*Table13[[#This Row],[Annual profit]]*ROI____lifetime*cost_factor</f>
        <v>8300219.1160749253</v>
      </c>
      <c r="N140" s="18">
        <f>Table13[[#This Row],[Annual profit]]*Running_cost_weight*runningcost_factor</f>
        <v>276673.97053583083</v>
      </c>
      <c r="O140" s="18">
        <f>Table13[[#This Row],[Buying cost]]+Table13[[#This Row],[Running cost]]*Table13[[#This Row],[In_game_life]]</f>
        <v>16600438.232149851</v>
      </c>
      <c r="P140" s="18">
        <f>Table13[[#This Row],[Annual profit]]*Table13[[#This Row],[In_game_life]]-Table13[[#This Row],[Total cost]]</f>
        <v>16600438.232149851</v>
      </c>
      <c r="Q140" s="22">
        <f>Table13[[#This Row],[Buying cost]]/buying_cost_convert*10000</f>
        <v>474298.23520428146</v>
      </c>
      <c r="R140" s="22">
        <f>Table13[[#This Row],[Running cost]]/running_cost_convert*1000</f>
        <v>922246.56845276942</v>
      </c>
      <c r="S140" s="22">
        <f>ROUND(Table13[IG buying cost factor]/Table13[Range],0)</f>
        <v>184</v>
      </c>
      <c r="T140" s="22">
        <f>ROUND(Table13[IG running cost factor]/Table13[Range],0)</f>
        <v>358</v>
      </c>
      <c r="U140" s="18"/>
      <c r="V140" s="18"/>
      <c r="W140" s="18">
        <f>IFERROR(Table13[[#This Row],[in-game cost]]/Table13[[#This Row],[Newgrf cost factor]],0)</f>
        <v>0</v>
      </c>
      <c r="X140" s="18"/>
      <c r="Y140" s="18"/>
      <c r="Z140" s="18">
        <f>IFERROR(Table13[[#This Row],[in-game running]]/Table13[[#This Row],[Newgrf running factor]],0)</f>
        <v>0</v>
      </c>
      <c r="AA140" s="23">
        <f>(Table13[[#This Row],[Buying/distance]]*Table13[Range]/10000*buying_cost_convert-Table13[Buying cost])/Table13[Buying cost]</f>
        <v>-1.0504681807783954E-3</v>
      </c>
      <c r="AB140" s="23">
        <f>(Table13[Running/distance]*Table13[Range]/1000*running_cost_convert-Table13[Running cost])/Table13[Running cost]</f>
        <v>-4.3000263306453717E-4</v>
      </c>
    </row>
    <row r="141" spans="1:28" hidden="1" x14ac:dyDescent="0.3">
      <c r="A141" s="11" t="s">
        <v>147</v>
      </c>
      <c r="B141">
        <v>945</v>
      </c>
      <c r="C141">
        <v>315</v>
      </c>
      <c r="D141">
        <v>2665</v>
      </c>
      <c r="E141">
        <f>IF(D:D&lt;minaddmultirange,MAX(Table13[[#This Row],[Base range]],Minbaserange)*rangemultipl*rangemultiplsmalladd/10000,MAX(Table13[[#This Row],[Base range]],Minbaserange)*minaddmultirange/100)</f>
        <v>2665</v>
      </c>
      <c r="F141">
        <v>30</v>
      </c>
      <c r="G141" s="9">
        <f>Table13[[#This Row],[Base range]]/((Table13[[#This Row],[Speed]]/3600*16*256)/(74*2)*24/10*2)+$AE$10</f>
        <v>88.423766121031747</v>
      </c>
      <c r="H141" s="21">
        <f>ROUNDDOWN(Table13[[#This Row],[Travel_time]]*formula_vsig_time,0)</f>
        <v>35</v>
      </c>
      <c r="I14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209</v>
      </c>
      <c r="J141" s="2">
        <f>Table13[[#This Row],[Capacity]]*Table13[[#This Row],[Range]]*payment_rate*Table13[[#This Row],[Time factor]]/2^21*GBP_to_Currency</f>
        <v>266460.95556020737</v>
      </c>
      <c r="K141" s="9">
        <f>365/Table13[[#This Row],[Travel_time]]</f>
        <v>4.1278495139010385</v>
      </c>
      <c r="L141" s="2">
        <f>Table13[[#This Row],[Income per travel]]*Table13[[#This Row],[Annual travels, max]]</f>
        <v>1099910.7258828082</v>
      </c>
      <c r="M141" s="2">
        <f>Table13[[#This Row],[In_game_life]]*Table13[[#This Row],[Annual profit]]*ROI____lifetime*cost_factor</f>
        <v>8249330.4441210618</v>
      </c>
      <c r="N141" s="18">
        <f>Table13[[#This Row],[Annual profit]]*Running_cost_weight*runningcost_factor</f>
        <v>274977.68147070205</v>
      </c>
      <c r="O141" s="18">
        <f>Table13[[#This Row],[Buying cost]]+Table13[[#This Row],[Running cost]]*Table13[[#This Row],[In_game_life]]</f>
        <v>16498660.888242124</v>
      </c>
      <c r="P141" s="18">
        <f>Table13[[#This Row],[Annual profit]]*Table13[[#This Row],[In_game_life]]-Table13[[#This Row],[Total cost]]</f>
        <v>16498660.888242124</v>
      </c>
      <c r="Q141" s="22">
        <f>Table13[[#This Row],[Buying cost]]/buying_cost_convert*10000</f>
        <v>471390.31109263207</v>
      </c>
      <c r="R141" s="22">
        <f>Table13[[#This Row],[Running cost]]/running_cost_convert*1000</f>
        <v>916592.27156900684</v>
      </c>
      <c r="S141" s="22">
        <f>ROUND(Table13[IG buying cost factor]/Table13[Range],0)</f>
        <v>177</v>
      </c>
      <c r="T141" s="22">
        <f>ROUND(Table13[IG running cost factor]/Table13[Range],0)</f>
        <v>344</v>
      </c>
      <c r="U141" s="18"/>
      <c r="V141" s="18"/>
      <c r="W141" s="18">
        <f>IFERROR(Table13[[#This Row],[in-game cost]]/Table13[[#This Row],[Newgrf cost factor]],0)</f>
        <v>0</v>
      </c>
      <c r="X141" s="18"/>
      <c r="Y141" s="18"/>
      <c r="Z141" s="18">
        <f>IFERROR(Table13[[#This Row],[in-game running]]/Table13[[#This Row],[Newgrf running factor]],0)</f>
        <v>0</v>
      </c>
      <c r="AA141" s="23">
        <f>(Table13[[#This Row],[Buying/distance]]*Table13[Range]/10000*buying_cost_convert-Table13[Buying cost])/Table13[Buying cost]</f>
        <v>6.6757610405361839E-4</v>
      </c>
      <c r="AB141" s="23">
        <f>(Table13[Running/distance]*Table13[Range]/1000*running_cost_convert-Table13[Running cost])/Table13[Running cost]</f>
        <v>1.8299132143678439E-4</v>
      </c>
    </row>
    <row r="142" spans="1:28" hidden="1" x14ac:dyDescent="0.3">
      <c r="A142" s="11" t="s">
        <v>148</v>
      </c>
      <c r="B142">
        <v>950</v>
      </c>
      <c r="C142">
        <v>315</v>
      </c>
      <c r="D142">
        <v>3125</v>
      </c>
      <c r="E142">
        <f>IF(D:D&lt;minaddmultirange,MAX(Table13[[#This Row],[Base range]],Minbaserange)*rangemultipl*rangemultiplsmalladd/10000,MAX(Table13[[#This Row],[Base range]],Minbaserange)*minaddmultirange/100)</f>
        <v>3125</v>
      </c>
      <c r="F142">
        <v>30</v>
      </c>
      <c r="G142" s="9">
        <f>Table13[[#This Row],[Base range]]/((Table13[[#This Row],[Speed]]/3600*16*256)/(74*2)*24/10*2)+$AE$10</f>
        <v>101.14345189144736</v>
      </c>
      <c r="H142" s="21">
        <f>ROUNDDOWN(Table13[[#This Row],[Travel_time]]*formula_vsig_time,0)</f>
        <v>40</v>
      </c>
      <c r="I14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199</v>
      </c>
      <c r="J142" s="2">
        <f>Table13[[#This Row],[Capacity]]*Table13[[#This Row],[Range]]*payment_rate*Table13[[#This Row],[Time factor]]/2^21*GBP_to_Currency</f>
        <v>297504.2536854744</v>
      </c>
      <c r="K142" s="9">
        <f>365/Table13[[#This Row],[Travel_time]]</f>
        <v>3.6087358417600561</v>
      </c>
      <c r="L142" s="2">
        <f>Table13[[#This Row],[Income per travel]]*Table13[[#This Row],[Annual travels, max]]</f>
        <v>1073614.2633508476</v>
      </c>
      <c r="M142" s="2">
        <f>Table13[[#This Row],[In_game_life]]*Table13[[#This Row],[Annual profit]]*ROI____lifetime*cost_factor</f>
        <v>8052106.9751313571</v>
      </c>
      <c r="N142" s="18">
        <f>Table13[[#This Row],[Annual profit]]*Running_cost_weight*runningcost_factor</f>
        <v>268403.56583771191</v>
      </c>
      <c r="O142" s="18">
        <f>Table13[[#This Row],[Buying cost]]+Table13[[#This Row],[Running cost]]*Table13[[#This Row],[In_game_life]]</f>
        <v>16104213.950262714</v>
      </c>
      <c r="P142" s="18">
        <f>Table13[[#This Row],[Annual profit]]*Table13[[#This Row],[In_game_life]]-Table13[[#This Row],[Total cost]]</f>
        <v>16104213.950262714</v>
      </c>
      <c r="Q142" s="22">
        <f>Table13[[#This Row],[Buying cost]]/buying_cost_convert*10000</f>
        <v>460120.39857893472</v>
      </c>
      <c r="R142" s="22">
        <f>Table13[[#This Row],[Running cost]]/running_cost_convert*1000</f>
        <v>894678.552792373</v>
      </c>
      <c r="S142" s="22">
        <f>ROUND(Table13[IG buying cost factor]/Table13[Range],0)</f>
        <v>147</v>
      </c>
      <c r="T142" s="22">
        <f>ROUND(Table13[IG running cost factor]/Table13[Range],0)</f>
        <v>286</v>
      </c>
      <c r="U142" s="18"/>
      <c r="V142" s="18"/>
      <c r="W142" s="18">
        <f>IFERROR(Table13[[#This Row],[in-game cost]]/Table13[[#This Row],[Newgrf cost factor]],0)</f>
        <v>0</v>
      </c>
      <c r="X142" s="18"/>
      <c r="Y142" s="18"/>
      <c r="Z142" s="18">
        <f>IFERROR(Table13[[#This Row],[in-game running]]/Table13[[#This Row],[Newgrf running factor]],0)</f>
        <v>0</v>
      </c>
      <c r="AA142" s="23">
        <f>(Table13[[#This Row],[Buying/distance]]*Table13[Range]/10000*buying_cost_convert-Table13[Buying cost])/Table13[Buying cost]</f>
        <v>-1.6200076789397459E-3</v>
      </c>
      <c r="AB142" s="23">
        <f>(Table13[Running/distance]*Table13[Range]/1000*running_cost_convert-Table13[Running cost])/Table13[Running cost]</f>
        <v>-1.0378619108225387E-3</v>
      </c>
    </row>
    <row r="143" spans="1:28" hidden="1" x14ac:dyDescent="0.3">
      <c r="A143" s="10" t="s">
        <v>149</v>
      </c>
      <c r="B143">
        <v>797</v>
      </c>
      <c r="C143">
        <v>320</v>
      </c>
      <c r="D143">
        <v>900</v>
      </c>
      <c r="E143">
        <f>IF(D:D&lt;minaddmultirange,MAX(Table13[[#This Row],[Base range]],Minbaserange)*rangemultipl*rangemultiplsmalladd/10000,MAX(Table13[[#This Row],[Base range]],Minbaserange)*minaddmultirange/100)</f>
        <v>900</v>
      </c>
      <c r="F143">
        <v>15</v>
      </c>
      <c r="G143" s="9">
        <f>Table13[[#This Row],[Base range]]/((Table13[[#This Row],[Speed]]/3600*16*256)/(74*2)*24/10*2)+$AE$10</f>
        <v>42.601817361982434</v>
      </c>
      <c r="H143" s="21">
        <f>ROUNDDOWN(Table13[[#This Row],[Travel_time]]*formula_vsig_time,0)</f>
        <v>17</v>
      </c>
      <c r="I14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238</v>
      </c>
      <c r="J143" s="2">
        <f>Table13[[#This Row],[Capacity]]*Table13[[#This Row],[Range]]*payment_rate*Table13[[#This Row],[Time factor]]/2^21*GBP_to_Currency</f>
        <v>104099.57885742188</v>
      </c>
      <c r="K143" s="9">
        <f>365/Table13[[#This Row],[Travel_time]]</f>
        <v>8.5677096096309615</v>
      </c>
      <c r="L143" s="2">
        <f>Table13[[#This Row],[Income per travel]]*Table13[[#This Row],[Annual travels, max]]</f>
        <v>891894.96213526942</v>
      </c>
      <c r="M143" s="2">
        <f>Table13[[#This Row],[In_game_life]]*Table13[[#This Row],[Annual profit]]*ROI____lifetime*cost_factor</f>
        <v>3344606.1080072601</v>
      </c>
      <c r="N143" s="18">
        <f>Table13[[#This Row],[Annual profit]]*Running_cost_weight*runningcost_factor</f>
        <v>222973.74053381736</v>
      </c>
      <c r="O143" s="18">
        <f>Table13[[#This Row],[Buying cost]]+Table13[[#This Row],[Running cost]]*Table13[[#This Row],[In_game_life]]</f>
        <v>6689212.2160145203</v>
      </c>
      <c r="P143" s="18">
        <f>Table13[[#This Row],[Annual profit]]*Table13[[#This Row],[In_game_life]]-Table13[[#This Row],[Total cost]]</f>
        <v>6689212.2160145203</v>
      </c>
      <c r="Q143" s="22">
        <f>Table13[[#This Row],[Buying cost]]/buying_cost_convert*10000</f>
        <v>191120.3490289863</v>
      </c>
      <c r="R143" s="22">
        <f>Table13[[#This Row],[Running cost]]/running_cost_convert*1000</f>
        <v>743245.80177939113</v>
      </c>
      <c r="S143" s="22">
        <f>ROUND(Table13[IG buying cost factor]/Table13[Range],0)</f>
        <v>212</v>
      </c>
      <c r="T143" s="22">
        <f>ROUND(Table13[IG running cost factor]/Table13[Range],0)</f>
        <v>826</v>
      </c>
      <c r="U143" s="18"/>
      <c r="V143" s="18"/>
      <c r="W143" s="18">
        <f>IFERROR(Table13[[#This Row],[in-game cost]]/Table13[[#This Row],[Newgrf cost factor]],0)</f>
        <v>0</v>
      </c>
      <c r="X143" s="18"/>
      <c r="Y143" s="18"/>
      <c r="Z143" s="18">
        <f>IFERROR(Table13[[#This Row],[in-game running]]/Table13[[#This Row],[Newgrf running factor]],0)</f>
        <v>0</v>
      </c>
      <c r="AA143" s="23">
        <f>(Table13[[#This Row],[Buying/distance]]*Table13[Range]/10000*buying_cost_convert-Table13[Buying cost])/Table13[Buying cost]</f>
        <v>-1.6761638968006182E-3</v>
      </c>
      <c r="AB143" s="23">
        <f>(Table13[Running/distance]*Table13[Range]/1000*running_cost_convert-Table13[Running cost])/Table13[Running cost]</f>
        <v>2.0746598263945927E-4</v>
      </c>
    </row>
    <row r="144" spans="1:28" hidden="1" x14ac:dyDescent="0.3">
      <c r="A144" s="11" t="s">
        <v>150</v>
      </c>
      <c r="B144">
        <v>967</v>
      </c>
      <c r="C144">
        <v>366</v>
      </c>
      <c r="D144">
        <v>1665</v>
      </c>
      <c r="E144">
        <f>IF(D:D&lt;minaddmultirange,MAX(Table13[[#This Row],[Base range]],Minbaserange)*rangemultipl*rangemultiplsmalladd/10000,MAX(Table13[[#This Row],[Base range]],Minbaserange)*minaddmultirange/100)</f>
        <v>1665</v>
      </c>
      <c r="F144">
        <v>30</v>
      </c>
      <c r="G144" s="9">
        <f>Table13[[#This Row],[Base range]]/((Table13[[#This Row],[Speed]]/3600*16*256)/(74*2)*24/10*2)+$AE$10</f>
        <v>58.660651095527399</v>
      </c>
      <c r="H144" s="21">
        <f>ROUNDDOWN(Table13[[#This Row],[Travel_time]]*formula_vsig_time,0)</f>
        <v>23</v>
      </c>
      <c r="I14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232</v>
      </c>
      <c r="J144" s="2">
        <f>Table13[[#This Row],[Capacity]]*Table13[[#This Row],[Range]]*payment_rate*Table13[[#This Row],[Time factor]]/2^21*GBP_to_Currency</f>
        <v>214715.22274017334</v>
      </c>
      <c r="K144" s="9">
        <f>365/Table13[[#This Row],[Travel_time]]</f>
        <v>6.2222289248990208</v>
      </c>
      <c r="L144" s="2">
        <f>Table13[[#This Row],[Income per travel]]*Table13[[#This Row],[Annual travels, max]]</f>
        <v>1336007.2695500425</v>
      </c>
      <c r="M144" s="2">
        <f>Table13[[#This Row],[In_game_life]]*Table13[[#This Row],[Annual profit]]*ROI____lifetime*cost_factor</f>
        <v>10020054.521625318</v>
      </c>
      <c r="N144" s="18">
        <f>Table13[[#This Row],[Annual profit]]*Running_cost_weight*runningcost_factor</f>
        <v>334001.81738751061</v>
      </c>
      <c r="O144" s="18">
        <f>Table13[[#This Row],[Buying cost]]+Table13[[#This Row],[Running cost]]*Table13[[#This Row],[In_game_life]]</f>
        <v>20040109.043250635</v>
      </c>
      <c r="P144" s="18">
        <f>Table13[[#This Row],[Annual profit]]*Table13[[#This Row],[In_game_life]]-Table13[[#This Row],[Total cost]]</f>
        <v>20040109.043250635</v>
      </c>
      <c r="Q144" s="22">
        <f>Table13[[#This Row],[Buying cost]]/buying_cost_convert*10000</f>
        <v>572574.54409287532</v>
      </c>
      <c r="R144" s="22">
        <f>Table13[[#This Row],[Running cost]]/running_cost_convert*1000</f>
        <v>1113339.3912917019</v>
      </c>
      <c r="S144" s="22">
        <f>ROUND(Table13[IG buying cost factor]/Table13[Range],0)</f>
        <v>344</v>
      </c>
      <c r="T144" s="22">
        <f>ROUND(Table13[IG running cost factor]/Table13[Range],0)</f>
        <v>669</v>
      </c>
      <c r="U144" s="18"/>
      <c r="V144" s="18"/>
      <c r="W144" s="18">
        <f>IFERROR(Table13[[#This Row],[in-game cost]]/Table13[[#This Row],[Newgrf cost factor]],0)</f>
        <v>0</v>
      </c>
      <c r="X144" s="18"/>
      <c r="Y144" s="18"/>
      <c r="Z144" s="18">
        <f>IFERROR(Table13[[#This Row],[in-game running]]/Table13[[#This Row],[Newgrf running factor]],0)</f>
        <v>0</v>
      </c>
      <c r="AA144" s="23">
        <f>(Table13[[#This Row],[Buying/distance]]*Table13[Range]/10000*buying_cost_convert-Table13[Buying cost])/Table13[Buying cost]</f>
        <v>3.2389827497225328E-4</v>
      </c>
      <c r="AB144" s="23">
        <f>(Table13[Running/distance]*Table13[Range]/1000*running_cost_convert-Table13[Running cost])/Table13[Running cost]</f>
        <v>4.9006503548296469E-4</v>
      </c>
    </row>
    <row r="145" spans="1:28" hidden="1" x14ac:dyDescent="0.3">
      <c r="A145" s="11" t="s">
        <v>151</v>
      </c>
      <c r="B145">
        <v>969</v>
      </c>
      <c r="C145">
        <v>366</v>
      </c>
      <c r="D145">
        <v>2000</v>
      </c>
      <c r="E145">
        <f>IF(D:D&lt;minaddmultirange,MAX(Table13[[#This Row],[Base range]],Minbaserange)*rangemultipl*rangemultiplsmalladd/10000,MAX(Table13[[#This Row],[Base range]],Minbaserange)*minaddmultirange/100)</f>
        <v>2000</v>
      </c>
      <c r="F145">
        <v>30</v>
      </c>
      <c r="G145" s="9">
        <f>Table13[[#This Row],[Base range]]/((Table13[[#This Row],[Speed]]/3600*16*256)/(74*2)*24/10*2)+$AE$10</f>
        <v>67.933146284829718</v>
      </c>
      <c r="H145" s="21">
        <f>ROUNDDOWN(Table13[[#This Row],[Travel_time]]*formula_vsig_time,0)</f>
        <v>27</v>
      </c>
      <c r="I14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225</v>
      </c>
      <c r="J145" s="2">
        <f>Table13[[#This Row],[Capacity]]*Table13[[#This Row],[Range]]*payment_rate*Table13[[#This Row],[Time factor]]/2^21*GBP_to_Currency</f>
        <v>250134.22966003418</v>
      </c>
      <c r="K145" s="9">
        <f>365/Table13[[#This Row],[Travel_time]]</f>
        <v>5.3729294160707655</v>
      </c>
      <c r="L145" s="2">
        <f>Table13[[#This Row],[Income per travel]]*Table13[[#This Row],[Annual travels, max]]</f>
        <v>1343953.5605065981</v>
      </c>
      <c r="M145" s="2">
        <f>Table13[[#This Row],[In_game_life]]*Table13[[#This Row],[Annual profit]]*ROI____lifetime*cost_factor</f>
        <v>10079651.703799486</v>
      </c>
      <c r="N145" s="18">
        <f>Table13[[#This Row],[Annual profit]]*Running_cost_weight*runningcost_factor</f>
        <v>335988.39012664952</v>
      </c>
      <c r="O145" s="18">
        <f>Table13[[#This Row],[Buying cost]]+Table13[[#This Row],[Running cost]]*Table13[[#This Row],[In_game_life]]</f>
        <v>20159303.407598972</v>
      </c>
      <c r="P145" s="18">
        <f>Table13[[#This Row],[Annual profit]]*Table13[[#This Row],[In_game_life]]-Table13[[#This Row],[Total cost]]</f>
        <v>20159303.407598972</v>
      </c>
      <c r="Q145" s="22">
        <f>Table13[[#This Row],[Buying cost]]/buying_cost_convert*10000</f>
        <v>575980.09735997068</v>
      </c>
      <c r="R145" s="22">
        <f>Table13[[#This Row],[Running cost]]/running_cost_convert*1000</f>
        <v>1119961.3004221651</v>
      </c>
      <c r="S145" s="22">
        <f>ROUND(Table13[IG buying cost factor]/Table13[Range],0)</f>
        <v>288</v>
      </c>
      <c r="T145" s="22">
        <f>ROUND(Table13[IG running cost factor]/Table13[Range],0)</f>
        <v>560</v>
      </c>
      <c r="U145" s="18"/>
      <c r="V145" s="18"/>
      <c r="W145" s="18">
        <f>IFERROR(Table13[[#This Row],[in-game cost]]/Table13[[#This Row],[Newgrf cost factor]],0)</f>
        <v>0</v>
      </c>
      <c r="X145" s="18"/>
      <c r="Y145" s="18"/>
      <c r="Z145" s="18">
        <f>IFERROR(Table13[[#This Row],[in-game running]]/Table13[[#This Row],[Newgrf running factor]],0)</f>
        <v>0</v>
      </c>
      <c r="AA145" s="23">
        <f>(Table13[[#This Row],[Buying/distance]]*Table13[Range]/10000*buying_cost_convert-Table13[Buying cost])/Table13[Buying cost]</f>
        <v>3.4554388459925734E-5</v>
      </c>
      <c r="AB145" s="23">
        <f>(Table13[Running/distance]*Table13[Range]/1000*running_cost_convert-Table13[Running cost])/Table13[Running cost]</f>
        <v>3.4554388459971934E-5</v>
      </c>
    </row>
    <row r="146" spans="1:28" hidden="1" x14ac:dyDescent="0.3">
      <c r="A146" s="11" t="s">
        <v>152</v>
      </c>
      <c r="B146">
        <v>917</v>
      </c>
      <c r="C146">
        <v>380</v>
      </c>
      <c r="D146">
        <v>2635</v>
      </c>
      <c r="E146">
        <f>IF(D:D&lt;minaddmultirange,MAX(Table13[[#This Row],[Base range]],Minbaserange)*rangemultipl*rangemultiplsmalladd/10000,MAX(Table13[[#This Row],[Base range]],Minbaserange)*minaddmultirange/100)</f>
        <v>2635</v>
      </c>
      <c r="F146">
        <v>30</v>
      </c>
      <c r="G146" s="9">
        <f>Table13[[#This Row],[Base range]]/((Table13[[#This Row],[Speed]]/3600*16*256)/(74*2)*24/10*2)+$AE$10</f>
        <v>89.870742315294436</v>
      </c>
      <c r="H146" s="21">
        <f>ROUNDDOWN(Table13[[#This Row],[Travel_time]]*formula_vsig_time,0)</f>
        <v>35</v>
      </c>
      <c r="I14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209</v>
      </c>
      <c r="J146" s="2">
        <f>Table13[[#This Row],[Capacity]]*Table13[[#This Row],[Range]]*payment_rate*Table13[[#This Row],[Time factor]]/2^21*GBP_to_Currency</f>
        <v>317826.44486427307</v>
      </c>
      <c r="K146" s="9">
        <f>365/Table13[[#This Row],[Travel_time]]</f>
        <v>4.0613885075018832</v>
      </c>
      <c r="L146" s="2">
        <f>Table13[[#This Row],[Income per travel]]*Table13[[#This Row],[Annual travels, max]]</f>
        <v>1290816.6705519396</v>
      </c>
      <c r="M146" s="2">
        <f>Table13[[#This Row],[In_game_life]]*Table13[[#This Row],[Annual profit]]*ROI____lifetime*cost_factor</f>
        <v>9681125.0291395467</v>
      </c>
      <c r="N146" s="18">
        <f>Table13[[#This Row],[Annual profit]]*Running_cost_weight*runningcost_factor</f>
        <v>322704.16763798491</v>
      </c>
      <c r="O146" s="18">
        <f>Table13[[#This Row],[Buying cost]]+Table13[[#This Row],[Running cost]]*Table13[[#This Row],[In_game_life]]</f>
        <v>19362250.058279093</v>
      </c>
      <c r="P146" s="18">
        <f>Table13[[#This Row],[Annual profit]]*Table13[[#This Row],[In_game_life]]-Table13[[#This Row],[Total cost]]</f>
        <v>19362250.058279093</v>
      </c>
      <c r="Q146" s="22">
        <f>Table13[[#This Row],[Buying cost]]/buying_cost_convert*10000</f>
        <v>553207.14452225983</v>
      </c>
      <c r="R146" s="22">
        <f>Table13[[#This Row],[Running cost]]/running_cost_convert*1000</f>
        <v>1075680.5587932831</v>
      </c>
      <c r="S146" s="22">
        <f>ROUND(Table13[IG buying cost factor]/Table13[Range],0)</f>
        <v>210</v>
      </c>
      <c r="T146" s="22">
        <f>ROUND(Table13[IG running cost factor]/Table13[Range],0)</f>
        <v>408</v>
      </c>
      <c r="U146" s="18"/>
      <c r="V146" s="18"/>
      <c r="W146" s="18">
        <f>IFERROR(Table13[[#This Row],[in-game cost]]/Table13[[#This Row],[Newgrf cost factor]],0)</f>
        <v>0</v>
      </c>
      <c r="X146" s="18"/>
      <c r="Y146" s="18"/>
      <c r="Z146" s="18">
        <f>IFERROR(Table13[[#This Row],[in-game running]]/Table13[[#This Row],[Newgrf running factor]],0)</f>
        <v>0</v>
      </c>
      <c r="AA146" s="23">
        <f>(Table13[[#This Row],[Buying/distance]]*Table13[Range]/10000*buying_cost_convert-Table13[Buying cost])/Table13[Buying cost]</f>
        <v>2.5823144034691994E-4</v>
      </c>
      <c r="AB146" s="23">
        <f>(Table13[Running/distance]*Table13[Range]/1000*running_cost_convert-Table13[Running cost])/Table13[Running cost]</f>
        <v>-5.583058914411784E-4</v>
      </c>
    </row>
    <row r="147" spans="1:28" hidden="1" x14ac:dyDescent="0.3">
      <c r="A147" s="11" t="s">
        <v>153</v>
      </c>
      <c r="B147">
        <v>967</v>
      </c>
      <c r="C147">
        <v>386</v>
      </c>
      <c r="D147">
        <v>1615</v>
      </c>
      <c r="E147">
        <f>IF(D:D&lt;minaddmultirange,MAX(Table13[[#This Row],[Base range]],Minbaserange)*rangemultipl*rangemultiplsmalladd/10000,MAX(Table13[[#This Row],[Base range]],Minbaserange)*minaddmultirange/100)</f>
        <v>1615</v>
      </c>
      <c r="F147">
        <v>30</v>
      </c>
      <c r="G147" s="9">
        <f>Table13[[#This Row],[Base range]]/((Table13[[#This Row],[Speed]]/3600*16*256)/(74*2)*24/10*2)+$AE$10</f>
        <v>57.259430341907958</v>
      </c>
      <c r="H147" s="21">
        <f>ROUNDDOWN(Table13[[#This Row],[Travel_time]]*formula_vsig_time,0)</f>
        <v>22</v>
      </c>
      <c r="I147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233</v>
      </c>
      <c r="J147" s="2">
        <f>Table13[[#This Row],[Capacity]]*Table13[[#This Row],[Range]]*payment_rate*Table13[[#This Row],[Time factor]]/2^21*GBP_to_Currency</f>
        <v>220594.80473995209</v>
      </c>
      <c r="K147" s="9">
        <f>365/Table13[[#This Row],[Travel_time]]</f>
        <v>6.3744958310012718</v>
      </c>
      <c r="L147" s="2">
        <f>Table13[[#This Row],[Income per travel]]*Table13[[#This Row],[Annual travels, max]]</f>
        <v>1406180.6631553641</v>
      </c>
      <c r="M147" s="2">
        <f>Table13[[#This Row],[In_game_life]]*Table13[[#This Row],[Annual profit]]*ROI____lifetime*cost_factor</f>
        <v>10546354.97366523</v>
      </c>
      <c r="N147" s="18">
        <f>Table13[[#This Row],[Annual profit]]*Running_cost_weight*runningcost_factor</f>
        <v>351545.16578884103</v>
      </c>
      <c r="O147" s="18">
        <f>Table13[[#This Row],[Buying cost]]+Table13[[#This Row],[Running cost]]*Table13[[#This Row],[In_game_life]]</f>
        <v>21092709.94733046</v>
      </c>
      <c r="P147" s="18">
        <f>Table13[[#This Row],[Annual profit]]*Table13[[#This Row],[In_game_life]]-Table13[[#This Row],[Total cost]]</f>
        <v>21092709.94733046</v>
      </c>
      <c r="Q147" s="22">
        <f>Table13[[#This Row],[Buying cost]]/buying_cost_convert*10000</f>
        <v>602648.8556380131</v>
      </c>
      <c r="R147" s="22">
        <f>Table13[[#This Row],[Running cost]]/running_cost_convert*1000</f>
        <v>1171817.2192961366</v>
      </c>
      <c r="S147" s="22">
        <f>ROUND(Table13[IG buying cost factor]/Table13[Range],0)</f>
        <v>373</v>
      </c>
      <c r="T147" s="22">
        <f>ROUND(Table13[IG running cost factor]/Table13[Range],0)</f>
        <v>726</v>
      </c>
      <c r="U147" s="18"/>
      <c r="V147" s="18"/>
      <c r="W147" s="18">
        <f>IFERROR(Table13[[#This Row],[in-game cost]]/Table13[[#This Row],[Newgrf cost factor]],0)</f>
        <v>0</v>
      </c>
      <c r="X147" s="18"/>
      <c r="Y147" s="18"/>
      <c r="Z147" s="18">
        <f>IFERROR(Table13[[#This Row],[in-game running]]/Table13[[#This Row],[Newgrf running factor]],0)</f>
        <v>0</v>
      </c>
      <c r="AA147" s="23">
        <f>(Table13[[#This Row],[Buying/distance]]*Table13[Range]/10000*buying_cost_convert-Table13[Buying cost])/Table13[Buying cost]</f>
        <v>-4.2123308729158582E-4</v>
      </c>
      <c r="AB147" s="23">
        <f>(Table13[Running/distance]*Table13[Range]/1000*running_cost_convert-Table13[Running cost])/Table13[Running cost]</f>
        <v>5.7413450902125984E-4</v>
      </c>
    </row>
    <row r="148" spans="1:28" hidden="1" x14ac:dyDescent="0.3">
      <c r="A148" s="11" t="s">
        <v>154</v>
      </c>
      <c r="B148">
        <v>969</v>
      </c>
      <c r="C148">
        <v>386</v>
      </c>
      <c r="D148">
        <v>1950</v>
      </c>
      <c r="E148">
        <f>IF(D:D&lt;minaddmultirange,MAX(Table13[[#This Row],[Base range]],Minbaserange)*rangemultipl*rangemultiplsmalladd/10000,MAX(Table13[[#This Row],[Base range]],Minbaserange)*minaddmultirange/100)</f>
        <v>1950</v>
      </c>
      <c r="F148">
        <v>30</v>
      </c>
      <c r="G148" s="9">
        <f>Table13[[#This Row],[Base range]]/((Table13[[#This Row],[Speed]]/3600*16*256)/(74*2)*24/10*2)+$AE$10</f>
        <v>66.534817627708975</v>
      </c>
      <c r="H148" s="21">
        <f>ROUNDDOWN(Table13[[#This Row],[Travel_time]]*formula_vsig_time,0)</f>
        <v>26</v>
      </c>
      <c r="I148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227</v>
      </c>
      <c r="J148" s="2">
        <f>Table13[[#This Row],[Capacity]]*Table13[[#This Row],[Range]]*payment_rate*Table13[[#This Row],[Time factor]]/2^21*GBP_to_Currency</f>
        <v>259493.98827552795</v>
      </c>
      <c r="K148" s="9">
        <f>365/Table13[[#This Row],[Travel_time]]</f>
        <v>5.4858495598850601</v>
      </c>
      <c r="L148" s="2">
        <f>Table13[[#This Row],[Income per travel]]*Table13[[#This Row],[Annual travels, max]]</f>
        <v>1423544.9813741241</v>
      </c>
      <c r="M148" s="2">
        <f>Table13[[#This Row],[In_game_life]]*Table13[[#This Row],[Annual profit]]*ROI____lifetime*cost_factor</f>
        <v>10676587.360305931</v>
      </c>
      <c r="N148" s="18">
        <f>Table13[[#This Row],[Annual profit]]*Running_cost_weight*runningcost_factor</f>
        <v>355886.24534353102</v>
      </c>
      <c r="O148" s="18">
        <f>Table13[[#This Row],[Buying cost]]+Table13[[#This Row],[Running cost]]*Table13[[#This Row],[In_game_life]]</f>
        <v>21353174.720611863</v>
      </c>
      <c r="P148" s="18">
        <f>Table13[[#This Row],[Annual profit]]*Table13[[#This Row],[In_game_life]]-Table13[[#This Row],[Total cost]]</f>
        <v>21353174.720611863</v>
      </c>
      <c r="Q148" s="22">
        <f>Table13[[#This Row],[Buying cost]]/buying_cost_convert*10000</f>
        <v>610090.70630319603</v>
      </c>
      <c r="R148" s="22">
        <f>Table13[[#This Row],[Running cost]]/running_cost_convert*1000</f>
        <v>1186287.4844784366</v>
      </c>
      <c r="S148" s="22">
        <f>ROUND(Table13[IG buying cost factor]/Table13[Range],0)</f>
        <v>313</v>
      </c>
      <c r="T148" s="22">
        <f>ROUND(Table13[IG running cost factor]/Table13[Range],0)</f>
        <v>608</v>
      </c>
      <c r="U148" s="18"/>
      <c r="V148" s="18"/>
      <c r="W148" s="18">
        <f>IFERROR(Table13[[#This Row],[in-game cost]]/Table13[[#This Row],[Newgrf cost factor]],0)</f>
        <v>0</v>
      </c>
      <c r="X148" s="18"/>
      <c r="Y148" s="18"/>
      <c r="Z148" s="18">
        <f>IFERROR(Table13[[#This Row],[in-game running]]/Table13[[#This Row],[Newgrf running factor]],0)</f>
        <v>0</v>
      </c>
      <c r="AA148" s="23">
        <f>(Table13[[#This Row],[Buying/distance]]*Table13[Range]/10000*buying_cost_convert-Table13[Buying cost])/Table13[Buying cost]</f>
        <v>4.2500843583586408E-4</v>
      </c>
      <c r="AB148" s="23">
        <f>(Table13[Running/distance]*Table13[Range]/1000*running_cost_convert-Table13[Running cost])/Table13[Running cost]</f>
        <v>-5.7952603178560921E-4</v>
      </c>
    </row>
    <row r="149" spans="1:28" x14ac:dyDescent="0.3">
      <c r="A149" s="10" t="s">
        <v>155</v>
      </c>
      <c r="B149">
        <v>950</v>
      </c>
      <c r="C149">
        <v>386</v>
      </c>
      <c r="D149">
        <v>2645</v>
      </c>
      <c r="E149">
        <f>IF(D:D&lt;minaddmultirange,MAX(Table13[[#This Row],[Base range]],Minbaserange)*rangemultipl*rangemultiplsmalladd/10000,MAX(Table13[[#This Row],[Base range]],Minbaserange)*minaddmultirange/100)</f>
        <v>2645</v>
      </c>
      <c r="F149">
        <v>30</v>
      </c>
      <c r="G149" s="9">
        <f>Table13[[#This Row],[Base range]]/((Table13[[#This Row],[Speed]]/3600*16*256)/(74*2)*24/10*2)+$AE$10</f>
        <v>87.451017680921041</v>
      </c>
      <c r="H149" s="21">
        <f>ROUNDDOWN(Table13[[#This Row],[Travel_time]]*formula_vsig_time,0)</f>
        <v>34</v>
      </c>
      <c r="I149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211</v>
      </c>
      <c r="J149" s="2">
        <f>Table13[[#This Row],[Capacity]]*Table13[[#This Row],[Range]]*payment_rate*Table13[[#This Row],[Time factor]]/2^21*GBP_to_Currency</f>
        <v>327171.1225271225</v>
      </c>
      <c r="K149" s="9">
        <f>365/Table13[[#This Row],[Travel_time]]</f>
        <v>4.1737650364660208</v>
      </c>
      <c r="L149" s="2">
        <f>Table13[[#This Row],[Income per travel]]*Table13[[#This Row],[Annual travels, max]]</f>
        <v>1365535.3921450444</v>
      </c>
      <c r="M149" s="2">
        <f>Table13[[#This Row],[In_game_life]]*Table13[[#This Row],[Annual profit]]*ROI____lifetime*cost_factor</f>
        <v>10241515.441087833</v>
      </c>
      <c r="N149" s="18">
        <f>Table13[[#This Row],[Annual profit]]*Running_cost_weight*runningcost_factor</f>
        <v>341383.8480362611</v>
      </c>
      <c r="O149" s="18">
        <f>Table13[[#This Row],[Buying cost]]+Table13[[#This Row],[Running cost]]*Table13[[#This Row],[In_game_life]]</f>
        <v>20483030.882175665</v>
      </c>
      <c r="P149" s="18">
        <f>Table13[[#This Row],[Annual profit]]*Table13[[#This Row],[In_game_life]]-Table13[[#This Row],[Total cost]]</f>
        <v>20483030.882175665</v>
      </c>
      <c r="Q149" s="22">
        <f>Table13[[#This Row],[Buying cost]]/buying_cost_convert*10000</f>
        <v>585229.45377644757</v>
      </c>
      <c r="R149" s="22">
        <f>Table13[[#This Row],[Running cost]]/running_cost_convert*1000</f>
        <v>1137946.1601208705</v>
      </c>
      <c r="S149" s="22">
        <f>ROUND(Table13[IG buying cost factor]/Table13[Range],0)</f>
        <v>221</v>
      </c>
      <c r="T149" s="22">
        <f>ROUND(Table13[IG running cost factor]/Table13[Range],0)</f>
        <v>430</v>
      </c>
      <c r="U149" s="18">
        <v>288</v>
      </c>
      <c r="V149" s="18">
        <v>50400000</v>
      </c>
      <c r="W149" s="18">
        <f>IFERROR(Table13[[#This Row],[in-game cost]]/Table13[[#This Row],[Newgrf cost factor]],0)</f>
        <v>175000</v>
      </c>
      <c r="X149" s="18">
        <v>225</v>
      </c>
      <c r="Y149" s="18">
        <v>67496</v>
      </c>
      <c r="Z149" s="18">
        <f>IFERROR(Table13[[#This Row],[in-game running]]/Table13[[#This Row],[Newgrf running factor]],0)</f>
        <v>299.98222222222222</v>
      </c>
      <c r="AA149" s="23">
        <f>(Table13[[#This Row],[Buying/distance]]*Table13[Range]/10000*buying_cost_convert-Table13[Buying cost])/Table13[Buying cost]</f>
        <v>-1.1695477253081603E-3</v>
      </c>
      <c r="AB149" s="23">
        <f>(Table13[Running/distance]*Table13[Range]/1000*running_cost_convert-Table13[Running cost])/Table13[Running cost]</f>
        <v>-5.2389132435493523E-4</v>
      </c>
    </row>
    <row r="150" spans="1:28" hidden="1" x14ac:dyDescent="0.3">
      <c r="A150" s="11" t="s">
        <v>156</v>
      </c>
      <c r="B150">
        <v>996</v>
      </c>
      <c r="C150">
        <v>412</v>
      </c>
      <c r="D150">
        <v>2235</v>
      </c>
      <c r="E150">
        <f>IF(D:D&lt;minaddmultirange,MAX(Table13[[#This Row],[Base range]],Minbaserange)*rangemultipl*rangemultiplsmalladd/10000,MAX(Table13[[#This Row],[Base range]],Minbaserange)*minaddmultirange/100)</f>
        <v>2235</v>
      </c>
      <c r="F150">
        <v>30</v>
      </c>
      <c r="G150" s="9">
        <f>Table13[[#This Row],[Base range]]/((Table13[[#This Row],[Speed]]/3600*16*256)/(74*2)*24/10*2)+$AE$10</f>
        <v>72.810870434864455</v>
      </c>
      <c r="H150" s="21">
        <f>ROUNDDOWN(Table13[[#This Row],[Travel_time]]*formula_vsig_time,0)</f>
        <v>29</v>
      </c>
      <c r="I150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221</v>
      </c>
      <c r="J150" s="2">
        <f>Table13[[#This Row],[Capacity]]*Table13[[#This Row],[Range]]*payment_rate*Table13[[#This Row],[Time factor]]/2^21*GBP_to_Currency</f>
        <v>309062.66484260559</v>
      </c>
      <c r="K150" s="9">
        <f>365/Table13[[#This Row],[Travel_time]]</f>
        <v>5.0129877286184028</v>
      </c>
      <c r="L150" s="2">
        <f>Table13[[#This Row],[Income per travel]]*Table13[[#This Row],[Annual travels, max]]</f>
        <v>1549327.3462300841</v>
      </c>
      <c r="M150" s="2">
        <f>Table13[[#This Row],[In_game_life]]*Table13[[#This Row],[Annual profit]]*ROI____lifetime*cost_factor</f>
        <v>11619955.096725632</v>
      </c>
      <c r="N150" s="18">
        <f>Table13[[#This Row],[Annual profit]]*Running_cost_weight*runningcost_factor</f>
        <v>387331.83655752102</v>
      </c>
      <c r="O150" s="18">
        <f>Table13[[#This Row],[Buying cost]]+Table13[[#This Row],[Running cost]]*Table13[[#This Row],[In_game_life]]</f>
        <v>23239910.193451263</v>
      </c>
      <c r="P150" s="18">
        <f>Table13[[#This Row],[Annual profit]]*Table13[[#This Row],[In_game_life]]-Table13[[#This Row],[Total cost]]</f>
        <v>23239910.193451263</v>
      </c>
      <c r="Q150" s="22">
        <f>Table13[[#This Row],[Buying cost]]/buying_cost_convert*10000</f>
        <v>663997.43409860751</v>
      </c>
      <c r="R150" s="22">
        <f>Table13[[#This Row],[Running cost]]/running_cost_convert*1000</f>
        <v>1291106.1218584033</v>
      </c>
      <c r="S150" s="22">
        <f>ROUND(Table13[IG buying cost factor]/Table13[Range],0)</f>
        <v>297</v>
      </c>
      <c r="T150" s="22">
        <f>ROUND(Table13[IG running cost factor]/Table13[Range],0)</f>
        <v>578</v>
      </c>
      <c r="U150" s="18"/>
      <c r="V150" s="18"/>
      <c r="W150" s="18">
        <f>IFERROR(Table13[[#This Row],[in-game cost]]/Table13[[#This Row],[Newgrf cost factor]],0)</f>
        <v>0</v>
      </c>
      <c r="X150" s="18"/>
      <c r="Y150" s="18"/>
      <c r="Z150" s="18">
        <f>IFERROR(Table13[[#This Row],[in-game running]]/Table13[[#This Row],[Newgrf running factor]],0)</f>
        <v>0</v>
      </c>
      <c r="AA150" s="23">
        <f>(Table13[[#This Row],[Buying/distance]]*Table13[Range]/10000*buying_cost_convert-Table13[Buying cost])/Table13[Buying cost]</f>
        <v>-3.0487180855213721E-4</v>
      </c>
      <c r="AB150" s="23">
        <f>(Table13[Running/distance]*Table13[Range]/1000*running_cost_convert-Table13[Running cost])/Table13[Running cost]</f>
        <v>5.6066509897316648E-4</v>
      </c>
    </row>
    <row r="151" spans="1:28" hidden="1" x14ac:dyDescent="0.3">
      <c r="A151" s="11" t="s">
        <v>157</v>
      </c>
      <c r="B151">
        <v>988</v>
      </c>
      <c r="C151">
        <v>416</v>
      </c>
      <c r="D151">
        <v>2420</v>
      </c>
      <c r="E151">
        <f>IF(D:D&lt;minaddmultirange,MAX(Table13[[#This Row],[Base range]],Minbaserange)*rangemultipl*rangemultiplsmalladd/10000,MAX(Table13[[#This Row],[Base range]],Minbaserange)*minaddmultirange/100)</f>
        <v>2420</v>
      </c>
      <c r="F151">
        <v>30</v>
      </c>
      <c r="G151" s="9">
        <f>Table13[[#This Row],[Base range]]/((Table13[[#This Row],[Speed]]/3600*16*256)/(74*2)*24/10*2)+$AE$10</f>
        <v>78.377585716093108</v>
      </c>
      <c r="H151" s="21">
        <f>ROUNDDOWN(Table13[[#This Row],[Travel_time]]*formula_vsig_time,0)</f>
        <v>31</v>
      </c>
      <c r="I151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217</v>
      </c>
      <c r="J151" s="2">
        <f>Table13[[#This Row],[Capacity]]*Table13[[#This Row],[Range]]*payment_rate*Table13[[#This Row],[Time factor]]/2^21*GBP_to_Currency</f>
        <v>331778.28521728516</v>
      </c>
      <c r="K151" s="9">
        <f>365/Table13[[#This Row],[Travel_time]]</f>
        <v>4.6569436486872462</v>
      </c>
      <c r="L151" s="2">
        <f>Table13[[#This Row],[Income per travel]]*Table13[[#This Row],[Annual travels, max]]</f>
        <v>1545072.7781149817</v>
      </c>
      <c r="M151" s="2">
        <f>Table13[[#This Row],[In_game_life]]*Table13[[#This Row],[Annual profit]]*ROI____lifetime*cost_factor</f>
        <v>11588045.835862363</v>
      </c>
      <c r="N151" s="18">
        <f>Table13[[#This Row],[Annual profit]]*Running_cost_weight*runningcost_factor</f>
        <v>386268.19452874543</v>
      </c>
      <c r="O151" s="18">
        <f>Table13[[#This Row],[Buying cost]]+Table13[[#This Row],[Running cost]]*Table13[[#This Row],[In_game_life]]</f>
        <v>23176091.671724726</v>
      </c>
      <c r="P151" s="18">
        <f>Table13[[#This Row],[Annual profit]]*Table13[[#This Row],[In_game_life]]-Table13[[#This Row],[Total cost]]</f>
        <v>23176091.671724726</v>
      </c>
      <c r="Q151" s="22">
        <f>Table13[[#This Row],[Buying cost]]/buying_cost_convert*10000</f>
        <v>662174.04776356358</v>
      </c>
      <c r="R151" s="22">
        <f>Table13[[#This Row],[Running cost]]/running_cost_convert*1000</f>
        <v>1287560.6484291514</v>
      </c>
      <c r="S151" s="22">
        <f>ROUND(Table13[IG buying cost factor]/Table13[Range],0)</f>
        <v>274</v>
      </c>
      <c r="T151" s="22">
        <f>ROUND(Table13[IG running cost factor]/Table13[Range],0)</f>
        <v>532</v>
      </c>
      <c r="U151" s="18"/>
      <c r="V151" s="18"/>
      <c r="W151" s="18">
        <f>IFERROR(Table13[[#This Row],[in-game cost]]/Table13[[#This Row],[Newgrf cost factor]],0)</f>
        <v>0</v>
      </c>
      <c r="X151" s="18"/>
      <c r="Y151" s="18"/>
      <c r="Z151" s="18">
        <f>IFERROR(Table13[[#This Row],[in-game running]]/Table13[[#This Row],[Newgrf running factor]],0)</f>
        <v>0</v>
      </c>
      <c r="AA151" s="23">
        <f>(Table13[[#This Row],[Buying/distance]]*Table13[Range]/10000*buying_cost_convert-Table13[Buying cost])/Table13[Buying cost]</f>
        <v>1.3681482074030186E-3</v>
      </c>
      <c r="AB151" s="23">
        <f>(Table13[Running/distance]*Table13[Range]/1000*running_cost_convert-Table13[Running cost])/Table13[Running cost]</f>
        <v>-9.3703103848835232E-5</v>
      </c>
    </row>
    <row r="152" spans="1:28" hidden="1" x14ac:dyDescent="0.3">
      <c r="A152" s="11" t="s">
        <v>158</v>
      </c>
      <c r="B152">
        <v>950</v>
      </c>
      <c r="C152">
        <v>451</v>
      </c>
      <c r="D152">
        <v>2000</v>
      </c>
      <c r="E152">
        <f>IF(D:D&lt;minaddmultirange,MAX(Table13[[#This Row],[Base range]],Minbaserange)*rangemultipl*rangemultiplsmalladd/10000,MAX(Table13[[#This Row],[Base range]],Minbaserange)*minaddmultirange/100)</f>
        <v>2000</v>
      </c>
      <c r="F152">
        <v>30</v>
      </c>
      <c r="G152" s="9">
        <f>Table13[[#This Row],[Base range]]/((Table13[[#This Row],[Speed]]/3600*16*256)/(74*2)*24/10*2)+$AE$10</f>
        <v>69.051809210526301</v>
      </c>
      <c r="H152" s="21">
        <f>ROUNDDOWN(Table13[[#This Row],[Travel_time]]*formula_vsig_time,0)</f>
        <v>27</v>
      </c>
      <c r="I152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225</v>
      </c>
      <c r="J152" s="2">
        <f>Table13[[#This Row],[Capacity]]*Table13[[#This Row],[Range]]*payment_rate*Table13[[#This Row],[Time factor]]/2^21*GBP_to_Currency</f>
        <v>308225.51250457764</v>
      </c>
      <c r="K152" s="9">
        <f>365/Table13[[#This Row],[Travel_time]]</f>
        <v>5.2858861219288542</v>
      </c>
      <c r="L152" s="2">
        <f>Table13[[#This Row],[Income per travel]]*Table13[[#This Row],[Annual travels, max]]</f>
        <v>1629244.9589723554</v>
      </c>
      <c r="M152" s="2">
        <f>Table13[[#This Row],[In_game_life]]*Table13[[#This Row],[Annual profit]]*ROI____lifetime*cost_factor</f>
        <v>12219337.192292664</v>
      </c>
      <c r="N152" s="18">
        <f>Table13[[#This Row],[Annual profit]]*Running_cost_weight*runningcost_factor</f>
        <v>407311.23974308884</v>
      </c>
      <c r="O152" s="18">
        <f>Table13[[#This Row],[Buying cost]]+Table13[[#This Row],[Running cost]]*Table13[[#This Row],[In_game_life]]</f>
        <v>24438674.384585328</v>
      </c>
      <c r="P152" s="18">
        <f>Table13[[#This Row],[Annual profit]]*Table13[[#This Row],[In_game_life]]-Table13[[#This Row],[Total cost]]</f>
        <v>24438674.384585328</v>
      </c>
      <c r="Q152" s="22">
        <f>Table13[[#This Row],[Buying cost]]/buying_cost_convert*10000</f>
        <v>698247.83955958078</v>
      </c>
      <c r="R152" s="22">
        <f>Table13[[#This Row],[Running cost]]/running_cost_convert*1000</f>
        <v>1357704.1324769626</v>
      </c>
      <c r="S152" s="22">
        <f>ROUND(Table13[IG buying cost factor]/Table13[Range],0)</f>
        <v>349</v>
      </c>
      <c r="T152" s="22">
        <f>ROUND(Table13[IG running cost factor]/Table13[Range],0)</f>
        <v>679</v>
      </c>
      <c r="U152" s="18"/>
      <c r="V152" s="18"/>
      <c r="W152" s="18">
        <f>IFERROR(Table13[[#This Row],[in-game cost]]/Table13[[#This Row],[Newgrf cost factor]],0)</f>
        <v>0</v>
      </c>
      <c r="X152" s="18"/>
      <c r="Y152" s="18"/>
      <c r="Z152" s="18">
        <f>IFERROR(Table13[[#This Row],[in-game running]]/Table13[[#This Row],[Newgrf running factor]],0)</f>
        <v>0</v>
      </c>
      <c r="AA152" s="23">
        <f>(Table13[[#This Row],[Buying/distance]]*Table13[Range]/10000*buying_cost_convert-Table13[Buying cost])/Table13[Buying cost]</f>
        <v>-3.5494497159795871E-4</v>
      </c>
      <c r="AB152" s="23">
        <f>(Table13[Running/distance]*Table13[Range]/1000*running_cost_convert-Table13[Running cost])/Table13[Running cost]</f>
        <v>2.1791752412024705E-4</v>
      </c>
    </row>
    <row r="153" spans="1:28" hidden="1" x14ac:dyDescent="0.3">
      <c r="A153" s="11" t="s">
        <v>159</v>
      </c>
      <c r="B153">
        <v>1006</v>
      </c>
      <c r="C153">
        <v>467</v>
      </c>
      <c r="D153">
        <v>2665</v>
      </c>
      <c r="E153">
        <f>IF(D:D&lt;minaddmultirange,MAX(Table13[[#This Row],[Base range]],Minbaserange)*rangemultipl*rangemultiplsmalladd/10000,MAX(Table13[[#This Row],[Base range]],Minbaserange)*minaddmultirange/100)</f>
        <v>2665</v>
      </c>
      <c r="F153">
        <v>40</v>
      </c>
      <c r="G153" s="9">
        <f>Table13[[#This Row],[Base range]]/((Table13[[#This Row],[Speed]]/3600*16*256)/(74*2)*24/10*2)+$AE$10</f>
        <v>83.789720660412542</v>
      </c>
      <c r="H153" s="21">
        <f>ROUNDDOWN(Table13[[#This Row],[Travel_time]]*formula_vsig_time,0)</f>
        <v>33</v>
      </c>
      <c r="I153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213</v>
      </c>
      <c r="J153" s="2">
        <f>Table13[[#This Row],[Capacity]]*Table13[[#This Row],[Range]]*payment_rate*Table13[[#This Row],[Time factor]]/2^21*GBP_to_Currency</f>
        <v>402599.49434995651</v>
      </c>
      <c r="K153" s="9">
        <f>365/Table13[[#This Row],[Travel_time]]</f>
        <v>4.3561429388133597</v>
      </c>
      <c r="L153" s="2">
        <f>Table13[[#This Row],[Income per travel]]*Table13[[#This Row],[Annual travels, max]]</f>
        <v>1753780.9444823922</v>
      </c>
      <c r="M153" s="2">
        <f>Table13[[#This Row],[In_game_life]]*Table13[[#This Row],[Annual profit]]*ROI____lifetime*cost_factor</f>
        <v>17537809.444823921</v>
      </c>
      <c r="N153" s="18">
        <f>Table13[[#This Row],[Annual profit]]*Running_cost_weight*runningcost_factor</f>
        <v>438445.23612059804</v>
      </c>
      <c r="O153" s="18">
        <f>Table13[[#This Row],[Buying cost]]+Table13[[#This Row],[Running cost]]*Table13[[#This Row],[In_game_life]]</f>
        <v>35075618.889647841</v>
      </c>
      <c r="P153" s="18">
        <f>Table13[[#This Row],[Annual profit]]*Table13[[#This Row],[In_game_life]]-Table13[[#This Row],[Total cost]]</f>
        <v>35075618.889647841</v>
      </c>
      <c r="Q153" s="22">
        <f>Table13[[#This Row],[Buying cost]]/buying_cost_convert*10000</f>
        <v>1002160.5397042241</v>
      </c>
      <c r="R153" s="22">
        <f>Table13[[#This Row],[Running cost]]/running_cost_convert*1000</f>
        <v>1461484.1204019936</v>
      </c>
      <c r="S153" s="22">
        <f>ROUND(Table13[IG buying cost factor]/Table13[Range],0)</f>
        <v>376</v>
      </c>
      <c r="T153" s="22">
        <f>ROUND(Table13[IG running cost factor]/Table13[Range],0)</f>
        <v>548</v>
      </c>
      <c r="U153" s="18"/>
      <c r="V153" s="18"/>
      <c r="W153" s="18">
        <f>IFERROR(Table13[[#This Row],[in-game cost]]/Table13[[#This Row],[Newgrf cost factor]],0)</f>
        <v>0</v>
      </c>
      <c r="X153" s="18"/>
      <c r="Y153" s="18"/>
      <c r="Z153" s="18">
        <f>IFERROR(Table13[[#This Row],[in-game running]]/Table13[[#This Row],[Newgrf running factor]],0)</f>
        <v>0</v>
      </c>
      <c r="AA153" s="23">
        <f>(Table13[[#This Row],[Buying/distance]]*Table13[Range]/10000*buying_cost_convert-Table13[Buying cost])/Table13[Buying cost]</f>
        <v>-1.2027983486519776E-4</v>
      </c>
      <c r="AB153" s="23">
        <f>(Table13[Running/distance]*Table13[Range]/1000*running_cost_convert-Table13[Running cost])/Table13[Running cost]</f>
        <v>-7.2810945198691329E-4</v>
      </c>
    </row>
    <row r="154" spans="1:28" hidden="1" x14ac:dyDescent="0.3">
      <c r="A154" s="11" t="s">
        <v>160</v>
      </c>
      <c r="B154">
        <v>988</v>
      </c>
      <c r="C154">
        <v>560</v>
      </c>
      <c r="D154">
        <v>600</v>
      </c>
      <c r="E154">
        <f>IF(D:D&lt;minaddmultirange,MAX(Table13[[#This Row],[Base range]],Minbaserange)*rangemultipl*rangemultiplsmalladd/10000,MAX(Table13[[#This Row],[Base range]],Minbaserange)*minaddmultirange/100)</f>
        <v>600</v>
      </c>
      <c r="F154">
        <v>30</v>
      </c>
      <c r="G154" s="9">
        <f>Table13[[#This Row],[Base range]]/((Table13[[#This Row],[Speed]]/3600*16*256)/(74*2)*24/10*2)+$AE$10</f>
        <v>28.457252656882588</v>
      </c>
      <c r="H154" s="21">
        <f>ROUNDDOWN(Table13[[#This Row],[Travel_time]]*formula_vsig_time,0)</f>
        <v>11</v>
      </c>
      <c r="I154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244</v>
      </c>
      <c r="J154" s="2">
        <f>Table13[[#This Row],[Capacity]]*Table13[[#This Row],[Range]]*payment_rate*Table13[[#This Row],[Time factor]]/2^21*GBP_to_Currency</f>
        <v>124511.26098632813</v>
      </c>
      <c r="K154" s="9">
        <f>365/Table13[[#This Row],[Travel_time]]</f>
        <v>12.826255731743036</v>
      </c>
      <c r="L154" s="2">
        <f>Table13[[#This Row],[Income per travel]]*Table13[[#This Row],[Annual travels, max]]</f>
        <v>1597013.274892444</v>
      </c>
      <c r="M154" s="2">
        <f>Table13[[#This Row],[In_game_life]]*Table13[[#This Row],[Annual profit]]*ROI____lifetime*cost_factor</f>
        <v>11977599.561693329</v>
      </c>
      <c r="N154" s="18">
        <f>Table13[[#This Row],[Annual profit]]*Running_cost_weight*runningcost_factor</f>
        <v>399253.31872311101</v>
      </c>
      <c r="O154" s="18">
        <f>Table13[[#This Row],[Buying cost]]+Table13[[#This Row],[Running cost]]*Table13[[#This Row],[In_game_life]]</f>
        <v>23955199.123386659</v>
      </c>
      <c r="P154" s="18">
        <f>Table13[[#This Row],[Annual profit]]*Table13[[#This Row],[In_game_life]]-Table13[[#This Row],[Total cost]]</f>
        <v>23955199.123386659</v>
      </c>
      <c r="Q154" s="22">
        <f>Table13[[#This Row],[Buying cost]]/buying_cost_convert*10000</f>
        <v>684434.26066819031</v>
      </c>
      <c r="R154" s="22">
        <f>Table13[[#This Row],[Running cost]]/running_cost_convert*1000</f>
        <v>1330844.3957437035</v>
      </c>
      <c r="S154" s="22">
        <f>ROUND(Table13[IG buying cost factor]/Table13[Range],0)</f>
        <v>1141</v>
      </c>
      <c r="T154" s="22">
        <f>ROUND(Table13[IG running cost factor]/Table13[Range],0)</f>
        <v>2218</v>
      </c>
      <c r="U154" s="18"/>
      <c r="V154" s="18"/>
      <c r="W154" s="18">
        <f>IFERROR(Table13[[#This Row],[in-game cost]]/Table13[[#This Row],[Newgrf cost factor]],0)</f>
        <v>0</v>
      </c>
      <c r="X154" s="18"/>
      <c r="Y154" s="18"/>
      <c r="Z154" s="18">
        <f>IFERROR(Table13[[#This Row],[in-game running]]/Table13[[#This Row],[Newgrf running factor]],0)</f>
        <v>0</v>
      </c>
      <c r="AA154" s="23">
        <f>(Table13[[#This Row],[Buying/distance]]*Table13[Range]/10000*buying_cost_convert-Table13[Buying cost])/Table13[Buying cost]</f>
        <v>2.4215522415233632E-4</v>
      </c>
      <c r="AB154" s="23">
        <f>(Table13[Running/distance]*Table13[Range]/1000*running_cost_convert-Table13[Running cost])/Table13[Running cost]</f>
        <v>-3.3359079277291434E-5</v>
      </c>
    </row>
    <row r="155" spans="1:28" x14ac:dyDescent="0.3">
      <c r="A155" s="11" t="s">
        <v>161</v>
      </c>
      <c r="B155">
        <v>1020</v>
      </c>
      <c r="C155">
        <v>652</v>
      </c>
      <c r="D155">
        <v>2735</v>
      </c>
      <c r="E155">
        <f>IF(D:D&lt;minaddmultirange,MAX(Table13[[#This Row],[Base range]],Minbaserange)*rangemultipl*rangemultiplsmalladd/10000,MAX(Table13[[#This Row],[Base range]],Minbaserange)*minaddmultirange/100)</f>
        <v>2735</v>
      </c>
      <c r="F155">
        <v>30</v>
      </c>
      <c r="G155" s="9">
        <f>Table13[[#This Row],[Base range]]/((Table13[[#This Row],[Speed]]/3600*16*256)/(74*2)*24/10*2)+$AE$10</f>
        <v>84.66414866727942</v>
      </c>
      <c r="H155" s="21">
        <f>ROUNDDOWN(Table13[[#This Row],[Travel_time]]*formula_vsig_time,0)</f>
        <v>33</v>
      </c>
      <c r="I155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213</v>
      </c>
      <c r="J155" s="2">
        <f>Table13[[#This Row],[Capacity]]*Table13[[#This Row],[Range]]*payment_rate*Table13[[#This Row],[Time factor]]/2^21*GBP_to_Currency</f>
        <v>576851.54156684875</v>
      </c>
      <c r="K155" s="9">
        <f>365/Table13[[#This Row],[Travel_time]]</f>
        <v>4.3111518363505779</v>
      </c>
      <c r="L155" s="2">
        <f>Table13[[#This Row],[Income per travel]]*Table13[[#This Row],[Annual travels, max]]</f>
        <v>2486894.5827275817</v>
      </c>
      <c r="M155" s="2">
        <f>Table13[[#This Row],[In_game_life]]*Table13[[#This Row],[Annual profit]]*ROI____lifetime*cost_factor</f>
        <v>18651709.370456863</v>
      </c>
      <c r="N155" s="18">
        <f>Table13[[#This Row],[Annual profit]]*Running_cost_weight*runningcost_factor</f>
        <v>621723.64568189543</v>
      </c>
      <c r="O155" s="18">
        <f>Table13[[#This Row],[Buying cost]]+Table13[[#This Row],[Running cost]]*Table13[[#This Row],[In_game_life]]</f>
        <v>37303418.740913726</v>
      </c>
      <c r="P155" s="18">
        <f>Table13[[#This Row],[Annual profit]]*Table13[[#This Row],[In_game_life]]-Table13[[#This Row],[Total cost]]</f>
        <v>37303418.740913726</v>
      </c>
      <c r="Q155" s="22">
        <f>Table13[[#This Row],[Buying cost]]/buying_cost_convert*10000</f>
        <v>1065811.9640261065</v>
      </c>
      <c r="R155" s="22">
        <f>Table13[[#This Row],[Running cost]]/running_cost_convert*1000</f>
        <v>2072412.1522729846</v>
      </c>
      <c r="S155" s="22">
        <f>ROUND(Table13[IG buying cost factor]/Table13[Range],0)</f>
        <v>390</v>
      </c>
      <c r="T155" s="22">
        <f>ROUND(Table13[IG running cost factor]/Table13[Range],0)</f>
        <v>758</v>
      </c>
      <c r="U155" s="18">
        <v>347</v>
      </c>
      <c r="V155" s="18">
        <v>60725000</v>
      </c>
      <c r="W155" s="18">
        <f>IFERROR(Table13[[#This Row],[in-game cost]]/Table13[[#This Row],[Newgrf cost factor]],0)</f>
        <v>175000</v>
      </c>
      <c r="X155" s="18">
        <v>115</v>
      </c>
      <c r="Y155" s="18">
        <v>34496</v>
      </c>
      <c r="Z155" s="18">
        <f>IFERROR(Table13[[#This Row],[in-game running]]/Table13[[#This Row],[Newgrf running factor]],0)</f>
        <v>299.96521739130435</v>
      </c>
      <c r="AA155" s="23">
        <f>(Table13[[#This Row],[Buying/distance]]*Table13[Range]/10000*buying_cost_convert-Table13[Buying cost])/Table13[Buying cost]</f>
        <v>7.8628876591687843E-4</v>
      </c>
      <c r="AB155" s="23">
        <f>(Table13[Running/distance]*Table13[Range]/1000*running_cost_convert-Table13[Running cost])/Table13[Running cost]</f>
        <v>3.4638270492088355E-4</v>
      </c>
    </row>
    <row r="156" spans="1:28" hidden="1" x14ac:dyDescent="0.3">
      <c r="A156" s="11" t="s">
        <v>162</v>
      </c>
      <c r="B156">
        <v>1020</v>
      </c>
      <c r="C156">
        <v>700</v>
      </c>
      <c r="D156">
        <v>2835</v>
      </c>
      <c r="E156">
        <f>IF(D:D&lt;minaddmultirange,MAX(Table13[[#This Row],[Base range]],Minbaserange)*rangemultipl*rangemultiplsmalladd/10000,MAX(Table13[[#This Row],[Base range]],Minbaserange)*minaddmultirange/100)</f>
        <v>2835</v>
      </c>
      <c r="F156">
        <v>30</v>
      </c>
      <c r="G156" s="9">
        <f>Table13[[#This Row],[Base range]]/((Table13[[#This Row],[Speed]]/3600*16*256)/(74*2)*24/10*2)+$AE$10</f>
        <v>87.320973115808826</v>
      </c>
      <c r="H156" s="21">
        <f>ROUNDDOWN(Table13[[#This Row],[Travel_time]]*formula_vsig_time,0)</f>
        <v>34</v>
      </c>
      <c r="I156" s="19">
        <f>MAX(31,_xlfn.IFS(Table13[[#This Row],[ge_travel_time]]&lt;=early_delivery__days,255,AND(early_delivery__days&lt;Table13[[#This Row],[ge_travel_time]],Table13[[#This Row],[ge_travel_time]]&lt;=late_delivery__days),255-(Table13[[#This Row],[ge_travel_time]]-early_delivery__days),Table13[[#This Row],[ge_travel_time]]&gt;SUM(late_delivery__days,early_delivery__days),255-2*(Table13[[#This Row],[ge_travel_time]]-early_delivery__days)+late_delivery__days))</f>
        <v>211</v>
      </c>
      <c r="J156" s="2">
        <f>Table13[[#This Row],[Capacity]]*Table13[[#This Row],[Range]]*payment_rate*Table13[[#This Row],[Time factor]]/2^21*GBP_to_Currency</f>
        <v>635935.52470207214</v>
      </c>
      <c r="K156" s="9">
        <f>365/Table13[[#This Row],[Travel_time]]</f>
        <v>4.1799809023649033</v>
      </c>
      <c r="L156" s="2">
        <f>Table13[[#This Row],[Income per travel]]*Table13[[#This Row],[Annual travels, max]]</f>
        <v>2658198.3483900656</v>
      </c>
      <c r="M156" s="2">
        <f>Table13[[#This Row],[In_game_life]]*Table13[[#This Row],[Annual profit]]*ROI____lifetime*cost_factor</f>
        <v>19936487.612925492</v>
      </c>
      <c r="N156" s="18">
        <f>Table13[[#This Row],[Annual profit]]*Running_cost_weight*runningcost_factor</f>
        <v>664549.5870975164</v>
      </c>
      <c r="O156" s="18">
        <f>Table13[[#This Row],[Buying cost]]+Table13[[#This Row],[Running cost]]*Table13[[#This Row],[In_game_life]]</f>
        <v>39872975.225850984</v>
      </c>
      <c r="P156" s="18">
        <f>Table13[[#This Row],[Annual profit]]*Table13[[#This Row],[In_game_life]]-Table13[[#This Row],[Total cost]]</f>
        <v>39872975.225850984</v>
      </c>
      <c r="Q156" s="22">
        <f>Table13[[#This Row],[Buying cost]]/buying_cost_convert*10000</f>
        <v>1139227.8635957425</v>
      </c>
      <c r="R156" s="22">
        <f>Table13[[#This Row],[Running cost]]/running_cost_convert*1000</f>
        <v>2215165.2903250549</v>
      </c>
      <c r="S156" s="22">
        <f>ROUND(Table13[IG buying cost factor]/Table13[Range],0)</f>
        <v>402</v>
      </c>
      <c r="T156" s="22">
        <f>ROUND(Table13[IG running cost factor]/Table13[Range],0)</f>
        <v>781</v>
      </c>
      <c r="U156" s="18"/>
      <c r="V156" s="18"/>
      <c r="W156" s="18">
        <f>IFERROR(Table13[[#This Row],[in-game cost]]/Table13[[#This Row],[Newgrf cost factor]],0)</f>
        <v>0</v>
      </c>
      <c r="X156" s="18"/>
      <c r="Y156" s="18"/>
      <c r="Z156" s="18">
        <f>IFERROR(Table13[[#This Row],[in-game running]]/Table13[[#This Row],[Newgrf running factor]],0)</f>
        <v>0</v>
      </c>
      <c r="AA156" s="23">
        <f>(Table13[[#This Row],[Buying/distance]]*Table13[Range]/10000*buying_cost_convert-Table13[Buying cost])/Table13[Buying cost]</f>
        <v>3.8810181736783793E-4</v>
      </c>
      <c r="AB156" s="23">
        <f>(Table13[Running/distance]*Table13[Range]/1000*running_cost_convert-Table13[Running cost])/Table13[Running cost]</f>
        <v>-4.6510765113292859E-4</v>
      </c>
    </row>
    <row r="157" spans="1:28" x14ac:dyDescent="0.3">
      <c r="A157" s="11"/>
      <c r="G157" s="9"/>
      <c r="H157" s="9"/>
    </row>
    <row r="159" spans="1:28" x14ac:dyDescent="0.3">
      <c r="S159">
        <v>114625000</v>
      </c>
      <c r="T159">
        <f>S159/Z159</f>
        <v>655</v>
      </c>
      <c r="Z159">
        <f>buying_cost_convert</f>
        <v>175000</v>
      </c>
    </row>
    <row r="160" spans="1:28" x14ac:dyDescent="0.3">
      <c r="T160">
        <f>T159*100/155</f>
        <v>422.58064516129031</v>
      </c>
      <c r="Z160">
        <f>T160*T161</f>
        <v>664.99999999999989</v>
      </c>
    </row>
    <row r="161" spans="18:20" x14ac:dyDescent="0.3">
      <c r="T161">
        <v>1.5736641221374044</v>
      </c>
    </row>
    <row r="162" spans="18:20" x14ac:dyDescent="0.3">
      <c r="R162">
        <f>(M58-S162)/M58</f>
        <v>2.8270107218678359E-2</v>
      </c>
      <c r="S162">
        <v>1750000</v>
      </c>
      <c r="T162">
        <f>S162/Z159</f>
        <v>10</v>
      </c>
    </row>
    <row r="163" spans="18:20" x14ac:dyDescent="0.3">
      <c r="R163">
        <f>(-S163+M155)/M155</f>
        <v>5.4530857433348415E-3</v>
      </c>
      <c r="S163">
        <v>18550000</v>
      </c>
      <c r="T163">
        <f>S163/Z159</f>
        <v>106</v>
      </c>
    </row>
  </sheetData>
  <phoneticPr fontId="4" type="noConversion"/>
  <conditionalFormatting sqref="A82:A83">
    <cfRule type="expression" dxfId="3" priority="2">
      <formula>AND(#REF!="√",#REF!="√",#REF!="√",#REF!="√")</formula>
    </cfRule>
  </conditionalFormatting>
  <conditionalFormatting sqref="A128">
    <cfRule type="expression" dxfId="2" priority="3">
      <formula>AND(#REF!="√",#REF!="√",#REF!="√",#REF!="√")</formula>
    </cfRule>
  </conditionalFormatting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Pass</vt:lpstr>
      <vt:lpstr>buying_cost_convert</vt:lpstr>
      <vt:lpstr>cost_factor</vt:lpstr>
      <vt:lpstr>early_delivery__days</vt:lpstr>
      <vt:lpstr>Economy_factor</vt:lpstr>
      <vt:lpstr>formula_vsig_time</vt:lpstr>
      <vt:lpstr>GBP_to_Currency</vt:lpstr>
      <vt:lpstr>Ground_time_days_per_travel</vt:lpstr>
      <vt:lpstr>late_delivery__days</vt:lpstr>
      <vt:lpstr>minaddmultirange</vt:lpstr>
      <vt:lpstr>Minbaserange</vt:lpstr>
      <vt:lpstr>payment_rate</vt:lpstr>
      <vt:lpstr>rangemultipl</vt:lpstr>
      <vt:lpstr>rangemultiplsmalladd</vt:lpstr>
      <vt:lpstr>ROI____lifetime</vt:lpstr>
      <vt:lpstr>running_cost_convert</vt:lpstr>
      <vt:lpstr>Running_cost_weight</vt:lpstr>
      <vt:lpstr>runningcost_factor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SGU</dc:creator>
  <dc:description/>
  <cp:lastModifiedBy>SGU</cp:lastModifiedBy>
  <cp:revision>3</cp:revision>
  <dcterms:created xsi:type="dcterms:W3CDTF">2024-11-25T16:51:39Z</dcterms:created>
  <dcterms:modified xsi:type="dcterms:W3CDTF">2024-12-28T20:51:31Z</dcterms:modified>
  <dc:language>en-US</dc:language>
</cp:coreProperties>
</file>