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492" activeTab="2"/>
  </bookViews>
  <sheets>
    <sheet name="EstimatedData" sheetId="1" r:id="rId1"/>
    <sheet name="ETFS" sheetId="2" r:id="rId2"/>
    <sheet name="Allocation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M18" i="3" l="1"/>
  <c r="M20" i="3"/>
  <c r="M22" i="3"/>
  <c r="M25" i="3"/>
  <c r="M26" i="3"/>
  <c r="M29" i="3"/>
  <c r="M30" i="3"/>
  <c r="M31" i="3"/>
  <c r="M32" i="3"/>
  <c r="M34" i="3"/>
  <c r="M35" i="3"/>
  <c r="M36" i="3"/>
  <c r="M37" i="3"/>
  <c r="M39" i="3"/>
  <c r="M40" i="3"/>
  <c r="M41" i="3"/>
  <c r="M42" i="3"/>
  <c r="M44" i="3"/>
  <c r="M45" i="3"/>
  <c r="M46" i="3"/>
  <c r="M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17" i="3"/>
  <c r="F20" i="3"/>
  <c r="F22" i="3"/>
  <c r="F23" i="3"/>
  <c r="F25" i="3"/>
  <c r="F27" i="3"/>
  <c r="F29" i="3"/>
  <c r="F34" i="3"/>
  <c r="F35" i="3"/>
  <c r="F39" i="3"/>
  <c r="F44" i="3"/>
  <c r="F49" i="3"/>
  <c r="E29" i="3"/>
  <c r="G29" i="3" s="1"/>
  <c r="E33" i="3"/>
  <c r="E34" i="3"/>
  <c r="E35" i="3"/>
  <c r="G35" i="3" s="1"/>
  <c r="E38" i="3"/>
  <c r="E39" i="3"/>
  <c r="G39" i="3" s="1"/>
  <c r="E43" i="3"/>
  <c r="E44" i="3"/>
  <c r="G44" i="3" s="1"/>
  <c r="E47" i="3"/>
  <c r="E48" i="3"/>
  <c r="E49" i="3"/>
  <c r="E25" i="3"/>
  <c r="E27" i="3"/>
  <c r="E28" i="3"/>
  <c r="E20" i="3"/>
  <c r="E22" i="3"/>
  <c r="G22" i="3" s="1"/>
  <c r="E23" i="3"/>
  <c r="E24" i="3"/>
  <c r="E19" i="3"/>
  <c r="D44" i="3"/>
  <c r="D47" i="3"/>
  <c r="D48" i="3"/>
  <c r="D49" i="3"/>
  <c r="D35" i="3"/>
  <c r="D38" i="3"/>
  <c r="D39" i="3"/>
  <c r="D43" i="3"/>
  <c r="D29" i="3"/>
  <c r="D33" i="3"/>
  <c r="D34" i="3"/>
  <c r="D25" i="3"/>
  <c r="D27" i="3"/>
  <c r="D28" i="3"/>
  <c r="D19" i="3"/>
  <c r="D20" i="3"/>
  <c r="D21" i="3"/>
  <c r="D22" i="3"/>
  <c r="D23" i="3"/>
  <c r="D24" i="3"/>
  <c r="C44" i="3"/>
  <c r="C45" i="3"/>
  <c r="C46" i="3"/>
  <c r="C47" i="3"/>
  <c r="C48" i="3"/>
  <c r="C49" i="3"/>
  <c r="C40" i="3"/>
  <c r="C41" i="3"/>
  <c r="C42" i="3"/>
  <c r="C43" i="3"/>
  <c r="C36" i="3"/>
  <c r="C37" i="3"/>
  <c r="C38" i="3"/>
  <c r="C39" i="3"/>
  <c r="C33" i="3"/>
  <c r="C34" i="3"/>
  <c r="C35" i="3"/>
  <c r="C29" i="3"/>
  <c r="C30" i="3"/>
  <c r="C31" i="3"/>
  <c r="C32" i="3"/>
  <c r="C27" i="3"/>
  <c r="C28" i="3"/>
  <c r="C26" i="3"/>
  <c r="C25" i="3"/>
  <c r="C24" i="3"/>
  <c r="C22" i="3"/>
  <c r="C23" i="3"/>
  <c r="C21" i="3"/>
  <c r="C18" i="3"/>
  <c r="C19" i="3"/>
  <c r="C20" i="3"/>
  <c r="C17" i="3"/>
  <c r="D15" i="3"/>
  <c r="F24" i="3" s="1"/>
  <c r="G34" i="3" l="1"/>
  <c r="G20" i="3"/>
  <c r="G27" i="3"/>
  <c r="D37" i="3"/>
  <c r="D30" i="3"/>
  <c r="G24" i="3"/>
  <c r="D36" i="3"/>
  <c r="G23" i="3"/>
  <c r="F38" i="3"/>
  <c r="G38" i="3" s="1"/>
  <c r="D17" i="3"/>
  <c r="G25" i="3"/>
  <c r="D18" i="3"/>
  <c r="D31" i="3"/>
  <c r="D45" i="3"/>
  <c r="F47" i="3"/>
  <c r="G47" i="3" s="1"/>
  <c r="D26" i="3"/>
  <c r="F28" i="3"/>
  <c r="G28" i="3" s="1"/>
  <c r="D42" i="3"/>
  <c r="F19" i="3"/>
  <c r="G19" i="3" s="1"/>
  <c r="F43" i="3"/>
  <c r="G43" i="3" s="1"/>
  <c r="D41" i="3"/>
  <c r="D40" i="3"/>
  <c r="F33" i="3"/>
  <c r="G33" i="3" s="1"/>
  <c r="D32" i="3"/>
  <c r="D46" i="3"/>
  <c r="F48" i="3"/>
  <c r="G48" i="3" s="1"/>
  <c r="E15" i="3"/>
  <c r="M43" i="3" l="1"/>
  <c r="E32" i="3"/>
  <c r="E40" i="3"/>
  <c r="E17" i="3"/>
  <c r="M24" i="3"/>
  <c r="M28" i="3"/>
  <c r="E41" i="3"/>
  <c r="M19" i="3"/>
  <c r="E42" i="3"/>
  <c r="E45" i="3"/>
  <c r="E30" i="3"/>
  <c r="M38" i="3"/>
  <c r="E26" i="3"/>
  <c r="E18" i="3"/>
  <c r="M33" i="3"/>
  <c r="E46" i="3"/>
  <c r="M21" i="3"/>
  <c r="M47" i="3"/>
  <c r="E36" i="3"/>
  <c r="M48" i="3"/>
  <c r="E31" i="3"/>
  <c r="E37" i="3"/>
  <c r="F15" i="3"/>
  <c r="H24" i="3"/>
  <c r="H9" i="1"/>
  <c r="F32" i="3" l="1"/>
  <c r="G32" i="3" s="1"/>
  <c r="F40" i="3"/>
  <c r="G40" i="3" s="1"/>
  <c r="F41" i="3"/>
  <c r="F26" i="3"/>
  <c r="G26" i="3" s="1"/>
  <c r="F42" i="3"/>
  <c r="G42" i="3" s="1"/>
  <c r="F18" i="3"/>
  <c r="G18" i="3" s="1"/>
  <c r="H18" i="3" s="1"/>
  <c r="F30" i="3"/>
  <c r="G30" i="3" s="1"/>
  <c r="F36" i="3"/>
  <c r="G36" i="3" s="1"/>
  <c r="F17" i="3"/>
  <c r="G17" i="3" s="1"/>
  <c r="H17" i="3" s="1"/>
  <c r="F37" i="3"/>
  <c r="G37" i="3" s="1"/>
  <c r="F45" i="3"/>
  <c r="G45" i="3" s="1"/>
  <c r="F31" i="3"/>
  <c r="G31" i="3" s="1"/>
  <c r="F46" i="3"/>
  <c r="G46" i="3" s="1"/>
  <c r="G41" i="3"/>
  <c r="H41" i="3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A5" i="2" l="1"/>
  <c r="A2" i="2"/>
  <c r="E2" i="3"/>
  <c r="G49" i="3"/>
  <c r="H46" i="3" s="1"/>
  <c r="I12" i="1"/>
  <c r="J7" i="1"/>
  <c r="J13" i="1" s="1"/>
  <c r="H13" i="1" s="1"/>
  <c r="I7" i="1"/>
  <c r="H7" i="1" s="1"/>
  <c r="J11" i="1"/>
  <c r="J12" i="1" s="1"/>
  <c r="J10" i="1"/>
  <c r="H10" i="1" s="1"/>
  <c r="J8" i="1"/>
  <c r="H8" i="1" s="1"/>
  <c r="H26" i="3" s="1"/>
  <c r="J4" i="1"/>
  <c r="H4" i="1" s="1"/>
  <c r="H30" i="3" s="1"/>
  <c r="J3" i="1"/>
  <c r="H3" i="1" s="1"/>
  <c r="H36" i="3" s="1"/>
  <c r="J2" i="1"/>
  <c r="H2" i="1" s="1"/>
  <c r="I5" i="1"/>
  <c r="H45" i="3" l="1"/>
  <c r="H12" i="1"/>
  <c r="H42" i="3" s="1"/>
  <c r="J14" i="1"/>
  <c r="J5" i="1"/>
  <c r="H5" i="1" s="1"/>
  <c r="H31" i="3" s="1"/>
  <c r="H11" i="1"/>
  <c r="H40" i="3" s="1"/>
  <c r="J6" i="1"/>
  <c r="H6" i="1" s="1"/>
  <c r="H37" i="3" s="1"/>
  <c r="E12" i="2"/>
  <c r="D12" i="2"/>
  <c r="H21" i="3"/>
  <c r="F3" i="2"/>
  <c r="F4" i="2"/>
  <c r="F5" i="2"/>
  <c r="F6" i="2"/>
  <c r="F7" i="2"/>
  <c r="F8" i="2"/>
  <c r="F9" i="2"/>
  <c r="F10" i="2"/>
  <c r="F2" i="2"/>
  <c r="B2" i="3"/>
  <c r="I40" i="3" l="1"/>
  <c r="F12" i="2"/>
  <c r="J49" i="3"/>
  <c r="J23" i="3"/>
  <c r="J27" i="3"/>
  <c r="J44" i="3"/>
  <c r="J25" i="3"/>
  <c r="J29" i="3"/>
  <c r="J35" i="3"/>
  <c r="J39" i="3"/>
  <c r="J22" i="3"/>
  <c r="J34" i="3"/>
  <c r="J20" i="3"/>
  <c r="H43" i="3"/>
  <c r="I43" i="3" s="1"/>
  <c r="H19" i="3"/>
  <c r="I19" i="3" s="1"/>
  <c r="H49" i="3"/>
  <c r="H48" i="3" s="1"/>
  <c r="B12" i="3"/>
  <c r="I31" i="3" s="1"/>
  <c r="B9" i="3"/>
  <c r="B6" i="3"/>
  <c r="I21" i="3" s="1"/>
  <c r="B8" i="3"/>
  <c r="B11" i="3"/>
  <c r="B7" i="3"/>
  <c r="B10" i="3"/>
  <c r="I46" i="3" s="1"/>
  <c r="B5" i="3"/>
  <c r="H38" i="3"/>
  <c r="H14" i="1"/>
  <c r="H32" i="3" s="1"/>
  <c r="I45" i="3" l="1"/>
  <c r="J45" i="3" s="1"/>
  <c r="N45" i="3" s="1"/>
  <c r="I32" i="3"/>
  <c r="J32" i="3" s="1"/>
  <c r="N32" i="3" s="1"/>
  <c r="I24" i="3"/>
  <c r="J24" i="3" s="1"/>
  <c r="I41" i="3"/>
  <c r="J41" i="3" s="1"/>
  <c r="N41" i="3" s="1"/>
  <c r="I38" i="3"/>
  <c r="J38" i="3" s="1"/>
  <c r="N38" i="3" s="1"/>
  <c r="I36" i="3"/>
  <c r="J36" i="3" s="1"/>
  <c r="I30" i="3"/>
  <c r="J30" i="3" s="1"/>
  <c r="N30" i="3" s="1"/>
  <c r="I42" i="3"/>
  <c r="J42" i="3" s="1"/>
  <c r="N42" i="3" s="1"/>
  <c r="I18" i="3"/>
  <c r="J18" i="3" s="1"/>
  <c r="N18" i="3" s="1"/>
  <c r="I17" i="3"/>
  <c r="J17" i="3" s="1"/>
  <c r="I26" i="3"/>
  <c r="J26" i="3" s="1"/>
  <c r="I48" i="3"/>
  <c r="J48" i="3" s="1"/>
  <c r="N48" i="3" s="1"/>
  <c r="I37" i="3"/>
  <c r="J37" i="3" s="1"/>
  <c r="N37" i="3" s="1"/>
  <c r="J31" i="3"/>
  <c r="N31" i="3" s="1"/>
  <c r="J40" i="3"/>
  <c r="J19" i="3"/>
  <c r="N19" i="3" s="1"/>
  <c r="J21" i="3"/>
  <c r="N21" i="3" s="1"/>
  <c r="J46" i="3"/>
  <c r="N46" i="3" s="1"/>
  <c r="J43" i="3"/>
  <c r="N43" i="3" s="1"/>
  <c r="H33" i="3"/>
  <c r="H47" i="3"/>
  <c r="I47" i="3" s="1"/>
  <c r="H28" i="3"/>
  <c r="I28" i="3" s="1"/>
  <c r="B13" i="3"/>
  <c r="E1" i="3" s="1"/>
  <c r="I33" i="3" l="1"/>
  <c r="J33" i="3" s="1"/>
  <c r="N33" i="3" s="1"/>
  <c r="J28" i="3"/>
  <c r="N28" i="3" s="1"/>
  <c r="J47" i="3"/>
  <c r="N47" i="3" s="1"/>
  <c r="N24" i="3"/>
  <c r="N40" i="3"/>
  <c r="N36" i="3"/>
  <c r="N26" i="3"/>
  <c r="L51" i="3" l="1"/>
  <c r="I51" i="3"/>
  <c r="N17" i="3"/>
  <c r="N51" i="3" s="1"/>
  <c r="K51" i="3"/>
  <c r="J51" i="3"/>
</calcChain>
</file>

<file path=xl/comments1.xml><?xml version="1.0" encoding="utf-8"?>
<comments xmlns="http://schemas.openxmlformats.org/spreadsheetml/2006/main">
  <authors>
    <author>Richard Luo</author>
  </authors>
  <commentList>
    <comment ref="B49" authorId="0">
      <text>
        <r>
          <rPr>
            <b/>
            <sz val="9"/>
            <color indexed="81"/>
            <rFont val="Tahoma"/>
            <charset val="1"/>
          </rPr>
          <t>Richard Luo:</t>
        </r>
        <r>
          <rPr>
            <sz val="9"/>
            <color indexed="81"/>
            <rFont val="Tahoma"/>
            <charset val="1"/>
          </rPr>
          <t xml:space="preserve">
?</t>
        </r>
      </text>
    </comment>
    <comment ref="H49" authorId="0">
      <text>
        <r>
          <rPr>
            <b/>
            <sz val="9"/>
            <color indexed="81"/>
            <rFont val="Tahoma"/>
            <charset val="1"/>
          </rPr>
          <t>Richard Luo:</t>
        </r>
        <r>
          <rPr>
            <sz val="9"/>
            <color indexed="81"/>
            <rFont val="Tahoma"/>
            <charset val="1"/>
          </rPr>
          <t xml:space="preserve">
Not sure how this calculation works</t>
        </r>
      </text>
    </comment>
  </commentList>
</comments>
</file>

<file path=xl/sharedStrings.xml><?xml version="1.0" encoding="utf-8"?>
<sst xmlns="http://schemas.openxmlformats.org/spreadsheetml/2006/main" count="145" uniqueCount="69">
  <si>
    <t>Ticker</t>
  </si>
  <si>
    <t>Current.Price</t>
  </si>
  <si>
    <t>Target.Price</t>
  </si>
  <si>
    <t>Expected.Return</t>
  </si>
  <si>
    <t>Estimated.Volatility</t>
  </si>
  <si>
    <t>EOG</t>
  </si>
  <si>
    <t>SNY</t>
  </si>
  <si>
    <t>WFC</t>
  </si>
  <si>
    <t>TD</t>
  </si>
  <si>
    <t>CELG</t>
  </si>
  <si>
    <t>ATD-B.TO</t>
  </si>
  <si>
    <t>MHH</t>
  </si>
  <si>
    <t>AAPL</t>
  </si>
  <si>
    <t>BA</t>
  </si>
  <si>
    <t>MGA</t>
  </si>
  <si>
    <t>WFM</t>
  </si>
  <si>
    <t>AMP</t>
  </si>
  <si>
    <t xml:space="preserve">Read Richards work </t>
  </si>
  <si>
    <t>Weight</t>
  </si>
  <si>
    <t>XLE</t>
  </si>
  <si>
    <t xml:space="preserve">Sector </t>
  </si>
  <si>
    <t>Capital</t>
  </si>
  <si>
    <t xml:space="preserve">Energy </t>
  </si>
  <si>
    <t>Utilities</t>
  </si>
  <si>
    <t>XLU</t>
  </si>
  <si>
    <t>XLK</t>
  </si>
  <si>
    <t>Tech</t>
  </si>
  <si>
    <t xml:space="preserve">Materials </t>
  </si>
  <si>
    <t>XLB</t>
  </si>
  <si>
    <t>Consumer Stapes</t>
  </si>
  <si>
    <t>XLP</t>
  </si>
  <si>
    <t>Consumer Discretionary</t>
  </si>
  <si>
    <t xml:space="preserve">Industrials </t>
  </si>
  <si>
    <t>XLI</t>
  </si>
  <si>
    <t>XLY</t>
  </si>
  <si>
    <t>Health Care</t>
  </si>
  <si>
    <t>XLV</t>
  </si>
  <si>
    <t>XLF</t>
  </si>
  <si>
    <t xml:space="preserve">Financials </t>
  </si>
  <si>
    <t>HHIC Sector</t>
  </si>
  <si>
    <t>Consumers</t>
  </si>
  <si>
    <t>FIG</t>
  </si>
  <si>
    <t>Neutral Allocation</t>
  </si>
  <si>
    <t>Equity Allocation</t>
  </si>
  <si>
    <t>\</t>
  </si>
  <si>
    <t>E/R</t>
  </si>
  <si>
    <t>Sector Cap</t>
  </si>
  <si>
    <t>S&amp;P 500</t>
  </si>
  <si>
    <t>Market Cap(mm)</t>
  </si>
  <si>
    <t>SPR</t>
  </si>
  <si>
    <t>Industrials</t>
  </si>
  <si>
    <t>f</t>
  </si>
  <si>
    <t>w.cons</t>
  </si>
  <si>
    <t>Sector Allocation%</t>
  </si>
  <si>
    <t>Total Allocation%</t>
  </si>
  <si>
    <t>Total Allocation $</t>
  </si>
  <si>
    <t>VNQ</t>
  </si>
  <si>
    <t xml:space="preserve">Cash </t>
  </si>
  <si>
    <t>Total</t>
  </si>
  <si>
    <t>Active Holding</t>
  </si>
  <si>
    <t>ETF Holdings</t>
  </si>
  <si>
    <t>Beta</t>
  </si>
  <si>
    <t>Material</t>
  </si>
  <si>
    <t>Energy</t>
  </si>
  <si>
    <t>Beta Weights</t>
  </si>
  <si>
    <t>KMI</t>
  </si>
  <si>
    <t>CAS.TO</t>
  </si>
  <si>
    <t>Stock?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</si>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</sst>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0.0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10" fontId="0" fillId="0" borderId="0" xfId="2" applyNumberFormat="1" applyFont="1"/>
    <xf numFmtId="10" fontId="0" fillId="0" borderId="0" xfId="0" applyNumberFormat="1"/>
    <xf numFmtId="164" fontId="0" fillId="0" borderId="0" xfId="0" applyNumberFormat="1"/>
    <xf numFmtId="4" fontId="18" fillId="0" borderId="0" xfId="44" applyNumberFormat="1"/>
    <xf numFmtId="3" fontId="19" fillId="0" borderId="0" xfId="0" applyNumberFormat="1" applyFont="1"/>
    <xf numFmtId="44" fontId="0" fillId="0" borderId="0" xfId="0" applyNumberFormat="1"/>
    <xf numFmtId="44" fontId="0" fillId="0" borderId="0" xfId="1" applyFont="1" applyAlignment="1">
      <alignment horizontal="left"/>
    </xf>
    <xf numFmtId="2" fontId="0" fillId="0" borderId="0" xfId="2" applyNumberFormat="1" applyFont="1"/>
    <xf numFmtId="4" fontId="0" fillId="0" borderId="0" xfId="0" applyNumberFormat="1"/>
    <xf numFmtId="0" fontId="0" fillId="0" borderId="0" xfId="0" applyFont="1"/>
    <xf numFmtId="0" fontId="0" fillId="0" borderId="10" xfId="0" applyFont="1" applyBorder="1"/>
    <xf numFmtId="165" fontId="0" fillId="0" borderId="0" xfId="2" applyNumberFormat="1" applyFont="1"/>
    <xf numFmtId="0" fontId="0" fillId="0" borderId="11" xfId="0" applyBorder="1"/>
    <xf numFmtId="44" fontId="0" fillId="0" borderId="11" xfId="1" applyFont="1" applyBorder="1"/>
    <xf numFmtId="10" fontId="0" fillId="0" borderId="11" xfId="2" applyNumberFormat="1" applyFont="1" applyBorder="1"/>
    <xf numFmtId="10" fontId="0" fillId="0" borderId="0" xfId="2" applyNumberFormat="1" applyFont="1" applyFill="1"/>
    <xf numFmtId="0" fontId="0" fillId="0" borderId="0" xfId="0" quotePrefix="1"/>
    <xf numFmtId="164" fontId="0" fillId="0" borderId="0" xfId="0" quotePrefix="1" applyNumberFormat="1"/>
    <xf numFmtId="44" fontId="0" fillId="0" borderId="0" xfId="0" quotePrefix="1" applyNumberForma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">
    <dxf>
      <numFmt numFmtId="4" formatCode="#,##0.00"/>
    </dxf>
    <dxf>
      <numFmt numFmtId="4" formatCode="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imatedStockDat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stimatedETF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dStockData"/>
    </sheetNames>
    <sheetDataSet>
      <sheetData sheetId="0" refreshError="1">
        <row r="2">
          <cell r="B2" t="str">
            <v>AMP</v>
          </cell>
          <cell r="C2">
            <v>131.37</v>
          </cell>
          <cell r="D2">
            <v>138</v>
          </cell>
          <cell r="E2">
            <v>1.45085255451405E-2</v>
          </cell>
          <cell r="F2">
            <v>0.263542748451357</v>
          </cell>
          <cell r="G2">
            <v>1.55493217894962</v>
          </cell>
        </row>
        <row r="3">
          <cell r="B3" t="str">
            <v>ATD-B.TO</v>
          </cell>
          <cell r="C3">
            <v>38.93</v>
          </cell>
          <cell r="D3">
            <v>40</v>
          </cell>
          <cell r="E3">
            <v>-1.0307665574768501E-2</v>
          </cell>
          <cell r="F3">
            <v>0.27357616148466102</v>
          </cell>
          <cell r="G3">
            <v>0.461499985052225</v>
          </cell>
        </row>
        <row r="4">
          <cell r="B4" t="str">
            <v>BA</v>
          </cell>
          <cell r="C4">
            <v>132.78</v>
          </cell>
          <cell r="D4">
            <v>160.09</v>
          </cell>
          <cell r="E4">
            <v>0.157163063969881</v>
          </cell>
          <cell r="F4">
            <v>0.24445641668448101</v>
          </cell>
          <cell r="G4">
            <v>1.0890683997942601</v>
          </cell>
        </row>
        <row r="5">
          <cell r="B5" t="str">
            <v>CAS.TO</v>
          </cell>
          <cell r="C5">
            <v>6.69</v>
          </cell>
          <cell r="D5">
            <v>7.81</v>
          </cell>
          <cell r="E5">
            <v>0.114426223091283</v>
          </cell>
          <cell r="F5">
            <v>0.28412978238887598</v>
          </cell>
          <cell r="G5">
            <v>0.76359759130976201</v>
          </cell>
        </row>
        <row r="6">
          <cell r="B6" t="str">
            <v>CELG</v>
          </cell>
          <cell r="C6">
            <v>108.2</v>
          </cell>
          <cell r="D6">
            <v>115</v>
          </cell>
          <cell r="E6">
            <v>0.23186072537657601</v>
          </cell>
          <cell r="F6">
            <v>0.36605685143190497</v>
          </cell>
          <cell r="G6">
            <v>1.6939751936554699</v>
          </cell>
        </row>
        <row r="7">
          <cell r="B7" t="str">
            <v>EOG</v>
          </cell>
          <cell r="C7">
            <v>101.74</v>
          </cell>
          <cell r="D7">
            <v>130</v>
          </cell>
          <cell r="E7">
            <v>0.20757446253403899</v>
          </cell>
          <cell r="F7">
            <v>0.35527296558608401</v>
          </cell>
          <cell r="G7">
            <v>1.37829729561263</v>
          </cell>
        </row>
        <row r="8">
          <cell r="B8" t="str">
            <v>KMI</v>
          </cell>
          <cell r="C8">
            <v>39.75</v>
          </cell>
          <cell r="D8">
            <v>45.5</v>
          </cell>
          <cell r="E8">
            <v>0.111129375729143</v>
          </cell>
          <cell r="F8">
            <v>0.238231419479497</v>
          </cell>
          <cell r="G8">
            <v>0.85488764150861796</v>
          </cell>
        </row>
        <row r="9">
          <cell r="B9" t="str">
            <v>MGA</v>
          </cell>
          <cell r="C9">
            <v>105.14</v>
          </cell>
          <cell r="D9">
            <v>107.5</v>
          </cell>
          <cell r="E9">
            <v>-1.3230402666332E-2</v>
          </cell>
          <cell r="F9">
            <v>0.26618961227947102</v>
          </cell>
          <cell r="G9">
            <v>1.23953750616895</v>
          </cell>
        </row>
        <row r="10">
          <cell r="B10" t="str">
            <v>MHH</v>
          </cell>
          <cell r="C10">
            <v>11.44</v>
          </cell>
          <cell r="D10">
            <v>12.46</v>
          </cell>
          <cell r="E10">
            <v>0.26418906580704998</v>
          </cell>
          <cell r="F10">
            <v>0.54205200099448902</v>
          </cell>
          <cell r="G10">
            <v>0.44395540549724</v>
          </cell>
        </row>
        <row r="11">
          <cell r="B11" t="str">
            <v>SNY</v>
          </cell>
          <cell r="C11">
            <v>47.15</v>
          </cell>
          <cell r="D11">
            <v>60</v>
          </cell>
          <cell r="E11">
            <v>0.20967874101647199</v>
          </cell>
          <cell r="F11">
            <v>0.250327034601387</v>
          </cell>
          <cell r="G11">
            <v>0.83417120250611998</v>
          </cell>
        </row>
        <row r="12">
          <cell r="B12" t="str">
            <v>TD</v>
          </cell>
          <cell r="C12">
            <v>50.63</v>
          </cell>
          <cell r="D12">
            <v>56</v>
          </cell>
          <cell r="E12">
            <v>8.6053332761174994E-2</v>
          </cell>
          <cell r="F12">
            <v>0.17177934679207801</v>
          </cell>
          <cell r="G12">
            <v>0.56198907355776895</v>
          </cell>
        </row>
        <row r="13">
          <cell r="B13" t="str">
            <v>WFC</v>
          </cell>
          <cell r="C13">
            <v>53.81</v>
          </cell>
          <cell r="D13">
            <v>74.790000000000006</v>
          </cell>
          <cell r="E13">
            <v>0.312472306954162</v>
          </cell>
          <cell r="F13">
            <v>0.183044015188075</v>
          </cell>
          <cell r="G13">
            <v>0.96830925636862497</v>
          </cell>
        </row>
        <row r="14">
          <cell r="B14" t="str">
            <v>WFM</v>
          </cell>
          <cell r="C14">
            <v>48.23</v>
          </cell>
          <cell r="D14">
            <v>48</v>
          </cell>
          <cell r="E14">
            <v>-6.3464052870701101E-2</v>
          </cell>
          <cell r="F14">
            <v>0.34258963702281398</v>
          </cell>
          <cell r="G14">
            <v>0.78494979270527099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dETFData"/>
    </sheetNames>
    <sheetDataSet>
      <sheetData sheetId="0" refreshError="1">
        <row r="2">
          <cell r="C2" t="str">
            <v>XLE</v>
          </cell>
          <cell r="D2">
            <v>0.12134568652078</v>
          </cell>
          <cell r="E2">
            <v>0.23689325561910701</v>
          </cell>
          <cell r="F2">
            <v>1.0573421369401399</v>
          </cell>
        </row>
        <row r="3">
          <cell r="C3" t="str">
            <v>XLV</v>
          </cell>
          <cell r="D3">
            <v>8.9856049453826997E-2</v>
          </cell>
          <cell r="E3">
            <v>0.13911359211956401</v>
          </cell>
          <cell r="F3">
            <v>1.1070206191430301</v>
          </cell>
        </row>
        <row r="4">
          <cell r="C4" t="str">
            <v>XLF</v>
          </cell>
          <cell r="D4">
            <v>4.5323078314439703E-3</v>
          </cell>
          <cell r="E4">
            <v>0.16591798267232399</v>
          </cell>
          <cell r="F4">
            <v>1.0405900168745099</v>
          </cell>
        </row>
        <row r="5">
          <cell r="C5" t="str">
            <v>XLY</v>
          </cell>
          <cell r="D5">
            <v>8.7442958934390996E-2</v>
          </cell>
          <cell r="E5">
            <v>0.15674086071243001</v>
          </cell>
          <cell r="F5">
            <v>1.0929361207803501</v>
          </cell>
        </row>
        <row r="6">
          <cell r="C6" t="str">
            <v>XLP</v>
          </cell>
          <cell r="D6">
            <v>9.7988053226108304E-2</v>
          </cell>
          <cell r="E6">
            <v>0.11451535551683099</v>
          </cell>
          <cell r="F6">
            <v>0.63370798606517897</v>
          </cell>
        </row>
        <row r="7">
          <cell r="C7" t="str">
            <v>XLK</v>
          </cell>
          <cell r="D7">
            <v>7.5907761853656205E-2</v>
          </cell>
          <cell r="E7">
            <v>0.16170866982615301</v>
          </cell>
          <cell r="F7">
            <v>1.0108518059607901</v>
          </cell>
        </row>
        <row r="8">
          <cell r="C8" t="str">
            <v>XLI</v>
          </cell>
          <cell r="D8">
            <v>8.8673650092958703E-2</v>
          </cell>
          <cell r="E8">
            <v>0.15947672410521399</v>
          </cell>
          <cell r="F8">
            <v>1.12761826921678</v>
          </cell>
        </row>
        <row r="9">
          <cell r="C9" t="str">
            <v>XLB</v>
          </cell>
          <cell r="D9">
            <v>8.6504308832733995E-2</v>
          </cell>
          <cell r="E9">
            <v>0.200924638578375</v>
          </cell>
          <cell r="F9">
            <v>1.03016512024528</v>
          </cell>
        </row>
        <row r="10">
          <cell r="C10" t="str">
            <v>XLU</v>
          </cell>
          <cell r="D10">
            <v>9.6589795229920006E-2</v>
          </cell>
          <cell r="E10">
            <v>0.14849101546559201</v>
          </cell>
          <cell r="F10">
            <v>0.42436714590459101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K14" totalsRowShown="0">
  <autoFilter ref="A1:K14"/>
  <tableColumns count="11">
    <tableColumn id="1" name="HHIC Sector"/>
    <tableColumn id="2" name="Ticker"/>
    <tableColumn id="3" name="Current.Price"/>
    <tableColumn id="4" name="Target.Price"/>
    <tableColumn id="5" name="Expected.Return"/>
    <tableColumn id="6" name="Estimated.Volatility"/>
    <tableColumn id="7" name="E/R" dataDxfId="2">
      <calculatedColumnFormula>Table1[[#This Row],[Expected.Return]]/Table1[[#This Row],[Estimated.Volatility]]</calculatedColumnFormula>
    </tableColumn>
    <tableColumn id="9" name="Weight"/>
    <tableColumn id="10" name="Market Cap(mm)" dataDxfId="1" totalsRowDxfId="0" dataCellStyle="Hyperlink"/>
    <tableColumn id="11" name="Sector Cap"/>
    <tableColumn id="12" name="S&amp;P 50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click();" TargetMode="External"/><Relationship Id="rId7" Type="http://schemas.openxmlformats.org/officeDocument/2006/relationships/table" Target="../tables/table1.xml"/><Relationship Id="rId2" Type="http://schemas.openxmlformats.org/officeDocument/2006/relationships/hyperlink" Target="javascript:click();" TargetMode="External"/><Relationship Id="rId1" Type="http://schemas.openxmlformats.org/officeDocument/2006/relationships/hyperlink" Target="javascript:click();" TargetMode="External"/><Relationship Id="rId6" Type="http://schemas.openxmlformats.org/officeDocument/2006/relationships/hyperlink" Target="javascript:click();" TargetMode="External"/><Relationship Id="rId5" Type="http://schemas.openxmlformats.org/officeDocument/2006/relationships/hyperlink" Target="javascript:click();" TargetMode="External"/><Relationship Id="rId4" Type="http://schemas.openxmlformats.org/officeDocument/2006/relationships/hyperlink" Target="javascript:click();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B6" sqref="B6"/>
    </sheetView>
  </sheetViews>
  <sheetFormatPr defaultRowHeight="14.4" x14ac:dyDescent="0.3"/>
  <cols>
    <col min="1" max="1" width="18.88671875" bestFit="1" customWidth="1"/>
    <col min="3" max="3" width="14.88671875" customWidth="1"/>
    <col min="4" max="4" width="13.6640625" customWidth="1"/>
    <col min="5" max="5" width="17.88671875" customWidth="1"/>
    <col min="6" max="6" width="20.6640625" customWidth="1"/>
    <col min="8" max="8" width="11.6640625" customWidth="1"/>
    <col min="9" max="9" width="18" customWidth="1"/>
    <col min="10" max="10" width="12.44140625" customWidth="1"/>
    <col min="11" max="11" width="10.109375" bestFit="1" customWidth="1"/>
  </cols>
  <sheetData>
    <row r="1" spans="1:11" x14ac:dyDescent="0.25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45</v>
      </c>
      <c r="H1" t="s">
        <v>18</v>
      </c>
      <c r="I1" t="s">
        <v>48</v>
      </c>
      <c r="J1" t="s">
        <v>46</v>
      </c>
      <c r="K1" t="s">
        <v>47</v>
      </c>
    </row>
    <row r="2" spans="1:11" x14ac:dyDescent="0.25">
      <c r="A2" t="s">
        <v>22</v>
      </c>
      <c r="B2" t="s">
        <v>5</v>
      </c>
      <c r="C2">
        <v>88.43</v>
      </c>
      <c r="D2">
        <v>130</v>
      </c>
      <c r="E2">
        <v>0.19717090044926799</v>
      </c>
      <c r="F2">
        <v>0.419442175932488</v>
      </c>
      <c r="G2">
        <f>Table1[[#This Row],[Expected.Return]]/Table1[[#This Row],[Estimated.Volatility]]</f>
        <v>0.47007886131366045</v>
      </c>
      <c r="H2" s="9">
        <f>I2/J2</f>
        <v>2.8384569400611251E-2</v>
      </c>
      <c r="I2" s="5">
        <v>48411.5</v>
      </c>
      <c r="J2">
        <f>K2*ETFS!G2</f>
        <v>1705556.9636000001</v>
      </c>
      <c r="K2" s="6">
        <v>18783667</v>
      </c>
    </row>
    <row r="3" spans="1:11" x14ac:dyDescent="0.25">
      <c r="A3" t="s">
        <v>35</v>
      </c>
      <c r="B3" t="s">
        <v>6</v>
      </c>
      <c r="C3">
        <v>52.82</v>
      </c>
      <c r="D3">
        <v>60</v>
      </c>
      <c r="E3">
        <v>8.6461558652230597E-2</v>
      </c>
      <c r="F3">
        <v>0.28633231288446698</v>
      </c>
      <c r="G3">
        <f>Table1[[#This Row],[Expected.Return]]/Table1[[#This Row],[Estimated.Volatility]]</f>
        <v>0.30196228215121923</v>
      </c>
      <c r="H3">
        <f>I3/J3</f>
        <v>3.7067953225617276E-2</v>
      </c>
      <c r="I3" s="5">
        <v>99288.4</v>
      </c>
      <c r="J3">
        <f>K2*ETFS!G9</f>
        <v>2678550.9142</v>
      </c>
    </row>
    <row r="4" spans="1:11" x14ac:dyDescent="0.25">
      <c r="A4" t="s">
        <v>41</v>
      </c>
      <c r="B4" t="s">
        <v>7</v>
      </c>
      <c r="C4">
        <v>51.31</v>
      </c>
      <c r="D4">
        <v>74.790000000000006</v>
      </c>
      <c r="E4">
        <v>8.27262540673184E-2</v>
      </c>
      <c r="F4">
        <v>0.34239140549561198</v>
      </c>
      <c r="G4">
        <f>Table1[[#This Row],[Expected.Return]]/Table1[[#This Row],[Estimated.Volatility]]</f>
        <v>0.24161311510600578</v>
      </c>
      <c r="H4">
        <f>Table1[[#This Row],[Market Cap(mm)]]/Table1[[#This Row],[Sector Cap]]</f>
        <v>8.6968530270895031E-2</v>
      </c>
      <c r="I4" s="5">
        <v>267581.7</v>
      </c>
      <c r="J4">
        <f>K2*ETFS!G10</f>
        <v>3076764.6546</v>
      </c>
    </row>
    <row r="5" spans="1:11" x14ac:dyDescent="0.25">
      <c r="A5" t="s">
        <v>41</v>
      </c>
      <c r="B5" t="s">
        <v>8</v>
      </c>
      <c r="C5">
        <v>48.25</v>
      </c>
      <c r="D5">
        <v>56</v>
      </c>
      <c r="E5">
        <v>0.119847510184324</v>
      </c>
      <c r="F5">
        <v>0.241281382480413</v>
      </c>
      <c r="G5">
        <f>Table1[[#This Row],[Expected.Return]]/Table1[[#This Row],[Estimated.Volatility]]</f>
        <v>0.49671263050746617</v>
      </c>
      <c r="H5">
        <f>I5/J5</f>
        <v>2.9378262606098257E-2</v>
      </c>
      <c r="I5">
        <f>90.39*1000</f>
        <v>90390</v>
      </c>
      <c r="J5">
        <f>J4</f>
        <v>3076764.6546</v>
      </c>
    </row>
    <row r="6" spans="1:11" x14ac:dyDescent="0.25">
      <c r="A6" t="s">
        <v>35</v>
      </c>
      <c r="B6" t="s">
        <v>9</v>
      </c>
      <c r="C6">
        <v>103.1</v>
      </c>
      <c r="D6">
        <v>115</v>
      </c>
      <c r="E6">
        <v>0.26203103182892601</v>
      </c>
      <c r="F6">
        <v>0.397853782428852</v>
      </c>
      <c r="G6">
        <f>Table1[[#This Row],[Expected.Return]]/Table1[[#This Row],[Estimated.Volatility]]</f>
        <v>0.65861138790551754</v>
      </c>
      <c r="H6">
        <f>Table1[[#This Row],[Market Cap(mm)]]/Table1[[#This Row],[Sector Cap]]</f>
        <v>3.0773915688147049E-2</v>
      </c>
      <c r="I6" s="10">
        <v>82429.5</v>
      </c>
      <c r="J6">
        <f>J3</f>
        <v>2678550.9142</v>
      </c>
    </row>
    <row r="7" spans="1:11" x14ac:dyDescent="0.25">
      <c r="A7" t="s">
        <v>40</v>
      </c>
      <c r="B7" t="s">
        <v>10</v>
      </c>
      <c r="C7">
        <v>37.39</v>
      </c>
      <c r="D7">
        <v>40</v>
      </c>
      <c r="E7">
        <v>2.0559421043130799E-2</v>
      </c>
      <c r="F7">
        <v>0.30632252310851499</v>
      </c>
      <c r="G7">
        <f>Table1[[#This Row],[Expected.Return]]/Table1[[#This Row],[Estimated.Volatility]]</f>
        <v>6.7116909440732203E-2</v>
      </c>
      <c r="H7">
        <f>Table1[[#This Row],[Market Cap(mm)]]/Table1[[#This Row],[Sector Cap]]</f>
        <v>4.704947523516044E-3</v>
      </c>
      <c r="I7">
        <f>21244.1/1.1191</f>
        <v>18983.200786346169</v>
      </c>
      <c r="J7">
        <f>K2*(ETFS!G6+ETFS!G7)</f>
        <v>4034731.6716</v>
      </c>
    </row>
    <row r="8" spans="1:11" x14ac:dyDescent="0.25">
      <c r="A8" t="s">
        <v>26</v>
      </c>
      <c r="B8" t="s">
        <v>11</v>
      </c>
      <c r="C8">
        <v>11.39</v>
      </c>
      <c r="D8">
        <v>12.46</v>
      </c>
      <c r="E8">
        <v>0.26471321794063901</v>
      </c>
      <c r="F8">
        <v>0.56641842856296898</v>
      </c>
      <c r="G8">
        <f>Table1[[#This Row],[Expected.Return]]/Table1[[#This Row],[Estimated.Volatility]]</f>
        <v>0.46734570167893247</v>
      </c>
      <c r="H8">
        <f>I8/J8</f>
        <v>1.1922528849142333E-5</v>
      </c>
      <c r="I8">
        <v>49</v>
      </c>
      <c r="J8">
        <f>K2*ETFS!G4</f>
        <v>4109866.3396000001</v>
      </c>
    </row>
    <row r="9" spans="1:11" ht="15" x14ac:dyDescent="0.25">
      <c r="A9" t="s">
        <v>62</v>
      </c>
      <c r="B9" t="s">
        <v>65</v>
      </c>
      <c r="C9">
        <v>38.75</v>
      </c>
      <c r="D9">
        <v>45.5</v>
      </c>
      <c r="E9">
        <v>0.105538715041656</v>
      </c>
      <c r="F9">
        <v>0.25573245224594998</v>
      </c>
      <c r="G9">
        <f>Table1[[#This Row],[Expected.Return]]/Table1[[#This Row],[Estimated.Volatility]]</f>
        <v>0.41269191342268302</v>
      </c>
      <c r="H9">
        <f>Table1[[#This Row],[Market Cap(mm)]]/Table1[[#This Row],[Sector Cap]]</f>
        <v>6.4272472849562718E-3</v>
      </c>
      <c r="I9" s="10">
        <v>3984</v>
      </c>
      <c r="J9">
        <v>619861.01100000006</v>
      </c>
    </row>
    <row r="10" spans="1:11" x14ac:dyDescent="0.25">
      <c r="A10" t="s">
        <v>26</v>
      </c>
      <c r="B10" t="s">
        <v>12</v>
      </c>
      <c r="C10">
        <v>105.11</v>
      </c>
      <c r="D10">
        <v>112</v>
      </c>
      <c r="E10">
        <v>0.31788043554615802</v>
      </c>
      <c r="F10">
        <v>0.39241843593067999</v>
      </c>
      <c r="G10">
        <f>Table1[[#This Row],[Expected.Return]]/Table1[[#This Row],[Estimated.Volatility]]</f>
        <v>0.8100547946791955</v>
      </c>
      <c r="H10">
        <f>I10/J10</f>
        <v>0.14999351537548966</v>
      </c>
      <c r="I10" s="5">
        <v>616453.30000000005</v>
      </c>
      <c r="J10">
        <f>K2*ETFS!G4</f>
        <v>4109866.3396000001</v>
      </c>
    </row>
    <row r="11" spans="1:11" x14ac:dyDescent="0.25">
      <c r="A11" t="s">
        <v>50</v>
      </c>
      <c r="B11" t="s">
        <v>13</v>
      </c>
      <c r="C11">
        <v>122.12</v>
      </c>
      <c r="D11">
        <v>160.09</v>
      </c>
      <c r="E11">
        <v>0.22728741800692101</v>
      </c>
      <c r="F11">
        <v>0.29476964299739</v>
      </c>
      <c r="G11">
        <f>Table1[[#This Row],[Expected.Return]]/Table1[[#This Row],[Estimated.Volatility]]</f>
        <v>0.77106792848724082</v>
      </c>
      <c r="H11">
        <f>Table1[[#This Row],[Market Cap(mm)]]/Table1[[#This Row],[Sector Cap]]</f>
        <v>3.3758505274065896E-2</v>
      </c>
      <c r="I11" s="5">
        <v>87063.1</v>
      </c>
      <c r="J11">
        <f>K2*(ETFS!G5+ETFS!G8)</f>
        <v>2578997.4791000001</v>
      </c>
    </row>
    <row r="12" spans="1:11" x14ac:dyDescent="0.25">
      <c r="A12" t="s">
        <v>50</v>
      </c>
      <c r="B12" t="s">
        <v>14</v>
      </c>
      <c r="C12">
        <v>96.25</v>
      </c>
      <c r="D12">
        <v>107.5</v>
      </c>
      <c r="E12">
        <v>9.6678333448218606E-2</v>
      </c>
      <c r="F12">
        <v>0.34063571252559299</v>
      </c>
      <c r="G12">
        <f>Table1[[#This Row],[Expected.Return]]/Table1[[#This Row],[Estimated.Volatility]]</f>
        <v>0.28381737408391927</v>
      </c>
      <c r="H12">
        <f>Table1[[#This Row],[Market Cap(mm)]]/Table1[[#This Row],[Sector Cap]]</f>
        <v>7.8143729527275097E-3</v>
      </c>
      <c r="I12" s="5">
        <f>22553.5/1.1191</f>
        <v>20153.248145831472</v>
      </c>
      <c r="J12">
        <f>J11</f>
        <v>2578997.4791000001</v>
      </c>
    </row>
    <row r="13" spans="1:11" x14ac:dyDescent="0.25">
      <c r="A13" t="s">
        <v>40</v>
      </c>
      <c r="B13" t="s">
        <v>15</v>
      </c>
      <c r="C13">
        <v>38.450000000000003</v>
      </c>
      <c r="D13">
        <v>48</v>
      </c>
      <c r="E13">
        <v>9.0538459569803206E-2</v>
      </c>
      <c r="F13">
        <v>0.40840767804587202</v>
      </c>
      <c r="G13">
        <f>Table1[[#This Row],[Expected.Return]]/Table1[[#This Row],[Estimated.Volatility]]</f>
        <v>0.22168647759759796</v>
      </c>
      <c r="H13">
        <f>Table1[[#This Row],[Market Cap(mm)]]/Table1[[#This Row],[Sector Cap]]</f>
        <v>3.4425833315680858E-3</v>
      </c>
      <c r="I13" s="10">
        <v>13889.9</v>
      </c>
      <c r="J13">
        <f>J7</f>
        <v>4034731.6716</v>
      </c>
    </row>
    <row r="14" spans="1:11" x14ac:dyDescent="0.25">
      <c r="A14" t="s">
        <v>41</v>
      </c>
      <c r="B14" t="s">
        <v>16</v>
      </c>
      <c r="C14">
        <v>118.5</v>
      </c>
      <c r="D14">
        <v>138</v>
      </c>
      <c r="E14">
        <v>0.14654173532701101</v>
      </c>
      <c r="F14">
        <v>0.38944914462253999</v>
      </c>
      <c r="G14">
        <f>Table1[[#This Row],[Expected.Return]]/Table1[[#This Row],[Estimated.Volatility]]</f>
        <v>0.37627951518301955</v>
      </c>
      <c r="H14">
        <f>I14/J14</f>
        <v>7.2099437202108579E-3</v>
      </c>
      <c r="I14" s="5">
        <v>22183.3</v>
      </c>
      <c r="J14">
        <f>J4</f>
        <v>3076764.6546</v>
      </c>
    </row>
    <row r="15" spans="1:11" x14ac:dyDescent="0.25">
      <c r="A15" t="s">
        <v>17</v>
      </c>
    </row>
    <row r="24" spans="1:1" x14ac:dyDescent="0.25">
      <c r="A24" t="s">
        <v>51</v>
      </c>
    </row>
  </sheetData>
  <hyperlinks>
    <hyperlink ref="I2" r:id="rId1" display="javascript:click();"/>
    <hyperlink ref="I14" r:id="rId2" display="javascript:click();"/>
    <hyperlink ref="I3" r:id="rId3" display="javascript:click();"/>
    <hyperlink ref="I4" r:id="rId4" display="javascript:click();"/>
    <hyperlink ref="I10" r:id="rId5" display="javascript:click();"/>
    <hyperlink ref="I12" r:id="rId6" display="javascript:click();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32" sqref="B32"/>
    </sheetView>
  </sheetViews>
  <sheetFormatPr defaultRowHeight="14.4" x14ac:dyDescent="0.3"/>
  <cols>
    <col min="1" max="1" width="11.33203125" bestFit="1" customWidth="1"/>
    <col min="2" max="2" width="29.33203125" customWidth="1"/>
    <col min="4" max="4" width="15.88671875" bestFit="1" customWidth="1"/>
    <col min="5" max="5" width="17" bestFit="1" customWidth="1"/>
  </cols>
  <sheetData>
    <row r="1" spans="1:7" x14ac:dyDescent="0.25">
      <c r="A1" t="s">
        <v>39</v>
      </c>
      <c r="B1" t="s">
        <v>20</v>
      </c>
      <c r="C1" t="s">
        <v>0</v>
      </c>
      <c r="D1" t="s">
        <v>3</v>
      </c>
      <c r="E1" s="12" t="s">
        <v>4</v>
      </c>
      <c r="F1" t="s">
        <v>45</v>
      </c>
      <c r="G1" t="s">
        <v>18</v>
      </c>
    </row>
    <row r="2" spans="1:7" x14ac:dyDescent="0.25">
      <c r="A2" t="str">
        <f>B2</f>
        <v xml:space="preserve">Energy </v>
      </c>
      <c r="B2" t="s">
        <v>22</v>
      </c>
      <c r="C2" t="s">
        <v>19</v>
      </c>
      <c r="D2">
        <v>6.3029874087251497E-2</v>
      </c>
      <c r="E2">
        <v>0.29400396963266301</v>
      </c>
      <c r="F2">
        <f>D2/E2</f>
        <v>0.21438443217621458</v>
      </c>
      <c r="G2" s="2">
        <v>9.0800000000000006E-2</v>
      </c>
    </row>
    <row r="3" spans="1:7" x14ac:dyDescent="0.25">
      <c r="B3" t="s">
        <v>23</v>
      </c>
      <c r="C3" t="s">
        <v>24</v>
      </c>
      <c r="D3">
        <v>7.5767739089880104E-2</v>
      </c>
      <c r="E3">
        <v>0.178226854523821</v>
      </c>
      <c r="F3">
        <f t="shared" ref="F3:F10" si="0">D3/E3</f>
        <v>0.42511965602665858</v>
      </c>
      <c r="G3" s="3">
        <v>3.1800000000000002E-2</v>
      </c>
    </row>
    <row r="4" spans="1:7" x14ac:dyDescent="0.25">
      <c r="A4" t="s">
        <v>26</v>
      </c>
      <c r="B4" t="s">
        <v>26</v>
      </c>
      <c r="C4" t="s">
        <v>25</v>
      </c>
      <c r="D4">
        <v>9.3738478272951203E-2</v>
      </c>
      <c r="E4">
        <v>0.20458920255153601</v>
      </c>
      <c r="F4">
        <f t="shared" si="0"/>
        <v>0.45817900995698191</v>
      </c>
      <c r="G4" s="3">
        <v>0.21879999999999999</v>
      </c>
    </row>
    <row r="5" spans="1:7" x14ac:dyDescent="0.25">
      <c r="A5" t="str">
        <f>B5</f>
        <v xml:space="preserve">Materials </v>
      </c>
      <c r="B5" t="s">
        <v>27</v>
      </c>
      <c r="C5" t="s">
        <v>28</v>
      </c>
      <c r="D5">
        <v>7.03112099703532E-2</v>
      </c>
      <c r="E5">
        <v>0.255727980441183</v>
      </c>
      <c r="F5">
        <f t="shared" si="0"/>
        <v>0.27494531434945835</v>
      </c>
      <c r="G5" s="3">
        <v>3.3000000000000002E-2</v>
      </c>
    </row>
    <row r="6" spans="1:7" x14ac:dyDescent="0.25">
      <c r="A6" t="s">
        <v>40</v>
      </c>
      <c r="B6" t="s">
        <v>29</v>
      </c>
      <c r="C6" t="s">
        <v>30</v>
      </c>
      <c r="D6">
        <v>0.10316253436714</v>
      </c>
      <c r="E6">
        <v>0.138654321689656</v>
      </c>
      <c r="F6">
        <f t="shared" si="0"/>
        <v>0.74402682231603467</v>
      </c>
      <c r="G6" s="3">
        <v>9.7699999999999995E-2</v>
      </c>
    </row>
    <row r="7" spans="1:7" x14ac:dyDescent="0.25">
      <c r="A7" t="s">
        <v>40</v>
      </c>
      <c r="B7" t="s">
        <v>31</v>
      </c>
      <c r="C7" t="s">
        <v>34</v>
      </c>
      <c r="D7">
        <v>9.7298088803410301E-2</v>
      </c>
      <c r="E7">
        <v>0.211602180681531</v>
      </c>
      <c r="F7">
        <f t="shared" si="0"/>
        <v>0.45981609683809199</v>
      </c>
      <c r="G7" s="3">
        <v>0.1171</v>
      </c>
    </row>
    <row r="8" spans="1:7" x14ac:dyDescent="0.25">
      <c r="A8" t="s">
        <v>50</v>
      </c>
      <c r="B8" t="s">
        <v>32</v>
      </c>
      <c r="C8" t="s">
        <v>33</v>
      </c>
      <c r="D8">
        <v>7.65050511243099E-2</v>
      </c>
      <c r="E8">
        <v>0.21207293224249199</v>
      </c>
      <c r="F8">
        <f t="shared" si="0"/>
        <v>0.36074877786303822</v>
      </c>
      <c r="G8" s="3">
        <v>0.1043</v>
      </c>
    </row>
    <row r="9" spans="1:7" x14ac:dyDescent="0.25">
      <c r="A9" t="s">
        <v>35</v>
      </c>
      <c r="B9" t="s">
        <v>35</v>
      </c>
      <c r="C9" t="s">
        <v>36</v>
      </c>
      <c r="D9">
        <v>0.110563043929608</v>
      </c>
      <c r="E9">
        <v>0.165731965198745</v>
      </c>
      <c r="F9">
        <f t="shared" si="0"/>
        <v>0.66711960964815276</v>
      </c>
      <c r="G9" s="3">
        <v>0.1426</v>
      </c>
    </row>
    <row r="10" spans="1:7" x14ac:dyDescent="0.25">
      <c r="A10" t="s">
        <v>41</v>
      </c>
      <c r="B10" t="s">
        <v>38</v>
      </c>
      <c r="C10" t="s">
        <v>37</v>
      </c>
      <c r="D10">
        <v>-1.9185381379605002E-2</v>
      </c>
      <c r="E10">
        <v>0.279077953046245</v>
      </c>
      <c r="F10">
        <f t="shared" si="0"/>
        <v>-6.8745600181558814E-2</v>
      </c>
      <c r="G10" s="3">
        <v>0.1638</v>
      </c>
    </row>
    <row r="11" spans="1:7" x14ac:dyDescent="0.25">
      <c r="G11" s="3"/>
    </row>
    <row r="12" spans="1:7" x14ac:dyDescent="0.25">
      <c r="A12" t="s">
        <v>47</v>
      </c>
      <c r="D12">
        <f>G2*D2+G3*D3+G4*D4+G5*D5+G6*D6+G7*D7+G8*D8+G9*D9+G10*D10</f>
        <v>7.3038562878521243E-2</v>
      </c>
      <c r="E12">
        <f>G2*E2+G3*E3+G4*E4+G5*E5+G6*E6+G7*E7+G8*E8+G9*E9+G10*E10</f>
        <v>0.215357011655433</v>
      </c>
      <c r="F12">
        <f>D12/E12</f>
        <v>0.33915107902491476</v>
      </c>
      <c r="G12" s="3"/>
    </row>
    <row r="13" spans="1:7" x14ac:dyDescent="0.25">
      <c r="G13" s="3"/>
    </row>
    <row r="14" spans="1:7" x14ac:dyDescent="0.25">
      <c r="G14" s="3"/>
    </row>
    <row r="15" spans="1:7" x14ac:dyDescent="0.25">
      <c r="G15" s="3"/>
    </row>
    <row r="16" spans="1:7" x14ac:dyDescent="0.25">
      <c r="D16" t="s">
        <v>44</v>
      </c>
      <c r="G16" s="3"/>
    </row>
    <row r="17" spans="7:7" x14ac:dyDescent="0.25">
      <c r="G17" s="3"/>
    </row>
    <row r="18" spans="7:7" x14ac:dyDescent="0.25">
      <c r="G1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2"/>
  <sheetViews>
    <sheetView tabSelected="1" topLeftCell="A10" zoomScale="70" zoomScaleNormal="70" workbookViewId="0">
      <selection activeCell="C40" sqref="C40:F43"/>
    </sheetView>
  </sheetViews>
  <sheetFormatPr defaultRowHeight="14.4" x14ac:dyDescent="0.3"/>
  <cols>
    <col min="1" max="1" width="17.44140625" bestFit="1" customWidth="1"/>
    <col min="2" max="2" width="17.6640625" style="1" bestFit="1" customWidth="1"/>
    <col min="3" max="3" width="14.33203125" bestFit="1" customWidth="1"/>
    <col min="4" max="4" width="11.5546875" bestFit="1" customWidth="1"/>
    <col min="5" max="5" width="15.88671875" bestFit="1" customWidth="1"/>
    <col min="6" max="6" width="18.88671875" bestFit="1" customWidth="1"/>
    <col min="7" max="7" width="15.88671875" bestFit="1" customWidth="1"/>
    <col min="8" max="8" width="16.6640625" bestFit="1" customWidth="1"/>
    <col min="9" max="9" width="18.109375" bestFit="1" customWidth="1"/>
    <col min="10" max="10" width="16.5546875" bestFit="1" customWidth="1"/>
    <col min="11" max="11" width="14" bestFit="1" customWidth="1"/>
    <col min="12" max="12" width="14.33203125" bestFit="1" customWidth="1"/>
    <col min="14" max="14" width="12.6640625" bestFit="1" customWidth="1"/>
    <col min="16" max="16" width="12.5546875" bestFit="1" customWidth="1"/>
  </cols>
  <sheetData>
    <row r="1" spans="1:16" x14ac:dyDescent="0.3">
      <c r="A1" t="s">
        <v>21</v>
      </c>
      <c r="B1" s="1">
        <v>10000000</v>
      </c>
      <c r="D1" t="s">
        <v>57</v>
      </c>
      <c r="E1" s="4">
        <f>B1-B13-E2</f>
        <v>500850</v>
      </c>
    </row>
    <row r="2" spans="1:16" x14ac:dyDescent="0.3">
      <c r="A2" t="s">
        <v>43</v>
      </c>
      <c r="B2" s="1">
        <f>B1*0.85</f>
        <v>8500000</v>
      </c>
      <c r="D2" t="s">
        <v>56</v>
      </c>
      <c r="E2" s="4">
        <f>B1*0.1</f>
        <v>1000000</v>
      </c>
    </row>
    <row r="4" spans="1:16" x14ac:dyDescent="0.3">
      <c r="A4" t="s">
        <v>42</v>
      </c>
    </row>
    <row r="5" spans="1:16" x14ac:dyDescent="0.3">
      <c r="A5" t="s">
        <v>63</v>
      </c>
      <c r="B5" s="1">
        <f>B2*ETFS!G2</f>
        <v>771800</v>
      </c>
    </row>
    <row r="6" spans="1:16" x14ac:dyDescent="0.3">
      <c r="A6" t="s">
        <v>23</v>
      </c>
      <c r="B6" s="1">
        <f>B2*ETFS!G3</f>
        <v>270300</v>
      </c>
    </row>
    <row r="7" spans="1:16" x14ac:dyDescent="0.3">
      <c r="A7" t="s">
        <v>27</v>
      </c>
      <c r="B7" s="1">
        <f>B2*ETFS!G5</f>
        <v>280500</v>
      </c>
    </row>
    <row r="8" spans="1:16" x14ac:dyDescent="0.3">
      <c r="A8" t="s">
        <v>26</v>
      </c>
      <c r="B8" s="1">
        <f>B2*ETFS!G4</f>
        <v>1859800</v>
      </c>
    </row>
    <row r="9" spans="1:16" x14ac:dyDescent="0.3">
      <c r="A9" t="s">
        <v>50</v>
      </c>
      <c r="B9" s="1">
        <f>B2*ETFS!G8</f>
        <v>886550</v>
      </c>
    </row>
    <row r="10" spans="1:16" x14ac:dyDescent="0.3">
      <c r="A10" t="s">
        <v>40</v>
      </c>
      <c r="B10" s="1">
        <f>B2*(ETFS!G6+ETFS!G7)</f>
        <v>1825800</v>
      </c>
    </row>
    <row r="11" spans="1:16" x14ac:dyDescent="0.3">
      <c r="A11" t="s">
        <v>35</v>
      </c>
      <c r="B11" s="1">
        <f>B2*(ETFS!G9)</f>
        <v>1212100</v>
      </c>
      <c r="O11" s="5"/>
    </row>
    <row r="12" spans="1:16" x14ac:dyDescent="0.3">
      <c r="A12" t="s">
        <v>41</v>
      </c>
      <c r="B12" s="1">
        <f>B2*ETFS!G10</f>
        <v>1392300</v>
      </c>
      <c r="C12" s="7"/>
    </row>
    <row r="13" spans="1:16" x14ac:dyDescent="0.3">
      <c r="A13" t="s">
        <v>58</v>
      </c>
      <c r="B13" s="1">
        <f>SUM(B5:B12)</f>
        <v>8499150</v>
      </c>
      <c r="C13" s="7"/>
    </row>
    <row r="14" spans="1:16" x14ac:dyDescent="0.3">
      <c r="C14" s="7"/>
    </row>
    <row r="15" spans="1:16" hidden="1" x14ac:dyDescent="0.3">
      <c r="C15">
        <v>2</v>
      </c>
      <c r="D15">
        <f>C15+1</f>
        <v>3</v>
      </c>
      <c r="E15">
        <f t="shared" ref="E15:F15" si="0">D15+1</f>
        <v>4</v>
      </c>
      <c r="F15">
        <f t="shared" si="0"/>
        <v>5</v>
      </c>
      <c r="M15">
        <v>6</v>
      </c>
    </row>
    <row r="16" spans="1:16" x14ac:dyDescent="0.3">
      <c r="A16" t="s">
        <v>39</v>
      </c>
      <c r="B16" t="s">
        <v>0</v>
      </c>
      <c r="C16" t="s">
        <v>1</v>
      </c>
      <c r="D16" t="s">
        <v>2</v>
      </c>
      <c r="E16" t="s">
        <v>3</v>
      </c>
      <c r="F16" s="12" t="s">
        <v>4</v>
      </c>
      <c r="G16" t="s">
        <v>45</v>
      </c>
      <c r="H16" t="s">
        <v>53</v>
      </c>
      <c r="I16" t="s">
        <v>55</v>
      </c>
      <c r="J16" t="s">
        <v>54</v>
      </c>
      <c r="K16" t="s">
        <v>59</v>
      </c>
      <c r="L16" t="s">
        <v>60</v>
      </c>
      <c r="M16" t="s">
        <v>61</v>
      </c>
      <c r="N16" t="s">
        <v>64</v>
      </c>
      <c r="P16" t="s">
        <v>67</v>
      </c>
    </row>
    <row r="17" spans="1:16" x14ac:dyDescent="0.3">
      <c r="A17" t="s">
        <v>63</v>
      </c>
      <c r="B17" t="s">
        <v>5</v>
      </c>
      <c r="C17">
        <f>IFERROR(IF(LEFT($B17,1)&lt;&gt;"X", VLOOKUP($B17,[1]EstimatedStockData!$B$2:$G$14, C$15,FALSE),""),"")</f>
        <v>101.74</v>
      </c>
      <c r="D17">
        <f>IFERROR(IF(LEFT($B17,1)&lt;&gt;"X", VLOOKUP($B17,[1]EstimatedStockData!$B$2:$G$14, D$15,FALSE),""),"")</f>
        <v>130</v>
      </c>
      <c r="E17">
        <f>IFERROR(IF(LEFT($B17,1)&lt;&gt;"X", VLOOKUP($B17,[1]EstimatedStockData!$B$2:$G$14, E$15,FALSE),VLOOKUP($B17, [2]EstimatedETFData!$C$2:$F$10, C$15,FALSE)),"")</f>
        <v>0.20757446253403899</v>
      </c>
      <c r="F17">
        <f>IFERROR(IF(LEFT($B17,1)&lt;&gt;"X", VLOOKUP($B17,[1]EstimatedStockData!$B$2:$G$14, F$15,FALSE),VLOOKUP($B17, [2]EstimatedETFData!$C$2:$F$10, D$15,FALSE)),"")</f>
        <v>0.35527296558608401</v>
      </c>
      <c r="G17" s="11">
        <f>IFERROR(E17/F17, "")</f>
        <v>0.58426754254044955</v>
      </c>
      <c r="H17" s="2">
        <f>(G17/$G$19)*0.2-VLOOKUP($B17,Table1[[Ticker]:[S&amp;P 500]],7,FALSE)</f>
        <v>0.19973897462215906</v>
      </c>
      <c r="I17" s="4">
        <f>H17*VLOOKUP($A$17,$A$5:$B$12,2,FALSE)</f>
        <v>154158.54061338236</v>
      </c>
      <c r="J17" s="2">
        <f>IFERROR(I17/$B$2, "")</f>
        <v>1.8136298895692043E-2</v>
      </c>
      <c r="M17">
        <f>IFERROR(IF(LEFT($B17,1)&lt;&gt;"X", VLOOKUP($B17,[1]EstimatedStockData!$B$2:$G$14, M$15,FALSE),VLOOKUP($B17, [2]EstimatedETFData!$C$2:$F$10, E$15,FALSE)),"")</f>
        <v>1.37829729561263</v>
      </c>
      <c r="N17">
        <f>M17*J17</f>
        <v>2.4997211720354674E-2</v>
      </c>
      <c r="P17" t="str">
        <f>IF(AND(LEFT($B17,1)&lt;&gt;"X", $B17&lt;&gt;""), "Y", "N")</f>
        <v>Y</v>
      </c>
    </row>
    <row r="18" spans="1:16" x14ac:dyDescent="0.3">
      <c r="B18" t="s">
        <v>65</v>
      </c>
      <c r="C18">
        <f>IFERROR(IF(LEFT($B18,1)&lt;&gt;"X", VLOOKUP($B18,[1]EstimatedStockData!$B$2:$G$14, C$15,FALSE),""),"")</f>
        <v>39.75</v>
      </c>
      <c r="D18">
        <f>IFERROR(IF(LEFT($B18,1)&lt;&gt;"X", VLOOKUP($B18,[1]EstimatedStockData!$B$2:$G$14, D$15,FALSE),""),"")</f>
        <v>45.5</v>
      </c>
      <c r="E18">
        <f>IFERROR(IF(LEFT($B18,1)&lt;&gt;"X", VLOOKUP($B18,[1]EstimatedStockData!$B$2:$G$14, E$15,FALSE),VLOOKUP($B18, [2]EstimatedETFData!$C$2:$F$10, C$15,FALSE)),"")</f>
        <v>0.111129375729143</v>
      </c>
      <c r="F18">
        <f>IFERROR(IF(LEFT($B18,1)&lt;&gt;"X", VLOOKUP($B18,[1]EstimatedStockData!$B$2:$G$14, F$15,FALSE),VLOOKUP($B18, [2]EstimatedETFData!$C$2:$F$10, D$15,FALSE)),"")</f>
        <v>0.238231419479497</v>
      </c>
      <c r="G18" s="11">
        <f t="shared" ref="G18:G48" si="1">IFERROR(E18/F18, "")</f>
        <v>0.46647657127655728</v>
      </c>
      <c r="H18" s="2">
        <f>(G18/$G$19)*0.2-VLOOKUP($B18,Table1[[Ticker]:[S&amp;P 500]],7,FALSE)</f>
        <v>0.17570556156576209</v>
      </c>
      <c r="I18" s="4">
        <f>H18*VLOOKUP($A$17,$A$5:$B$12,2,FALSE)</f>
        <v>135609.55241645518</v>
      </c>
      <c r="J18" s="2">
        <f t="shared" ref="J18:J49" si="2">IFERROR(I18/$B$2, "")</f>
        <v>1.5954064990171195E-2</v>
      </c>
      <c r="M18">
        <f>IFERROR(IF(LEFT($B18,1)&lt;&gt;"X", VLOOKUP($B18,[1]EstimatedStockData!$B$2:$G$14, M$15,FALSE),VLOOKUP($B18, [2]EstimatedETFData!$C$2:$F$10, E$15,FALSE)),"")</f>
        <v>0.85488764150861796</v>
      </c>
      <c r="N18">
        <f>M18*J18</f>
        <v>1.3638932991922665E-2</v>
      </c>
      <c r="P18" t="str">
        <f t="shared" ref="P18:P49" si="3">IF(AND(LEFT($B18,1)&lt;&gt;"X", $B18&lt;&gt;""), "Y", "N")</f>
        <v>Y</v>
      </c>
    </row>
    <row r="19" spans="1:16" x14ac:dyDescent="0.3">
      <c r="B19" t="s">
        <v>19</v>
      </c>
      <c r="C19" t="str">
        <f>IFERROR(IF(LEFT($B19,1)&lt;&gt;"X", VLOOKUP($B19,[1]EstimatedStockData!$B$2:$G$14, C$15,FALSE),""),"")</f>
        <v/>
      </c>
      <c r="D19" t="str">
        <f>IFERROR(IF(LEFT($B19,1)&lt;&gt;"X", VLOOKUP($B19,[1]EstimatedStockData!$B$2:$G$14, D$15,FALSE),""),"")</f>
        <v/>
      </c>
      <c r="E19">
        <f>IFERROR(IF(LEFT($B19,1)&lt;&gt;"X", VLOOKUP($B19,[1]EstimatedStockData!$B$2:$G$14, E$15,FALSE),VLOOKUP($B19, [2]EstimatedETFData!$C$2:$F$10, C$15,FALSE)),"")</f>
        <v>0.12134568652078</v>
      </c>
      <c r="F19">
        <f>IFERROR(IF(LEFT($B19,1)&lt;&gt;"X", VLOOKUP($B19,[1]EstimatedStockData!$B$2:$G$14, F$15,FALSE),VLOOKUP($B19, [2]EstimatedETFData!$C$2:$F$10, D$15,FALSE)),"")</f>
        <v>0.23689325561910701</v>
      </c>
      <c r="G19" s="11">
        <f t="shared" si="1"/>
        <v>0.51223782713294208</v>
      </c>
      <c r="H19" s="2">
        <f>1-SUM(H17:H18)</f>
        <v>0.62455546381207883</v>
      </c>
      <c r="I19" s="4">
        <f>H19*VLOOKUP($A$17,$A$5:$B$12,2,FALSE)</f>
        <v>482031.90697016241</v>
      </c>
      <c r="J19" s="2">
        <f t="shared" si="2"/>
        <v>5.6709636114136756E-2</v>
      </c>
      <c r="M19">
        <f>IFERROR(IF(LEFT($B19,1)&lt;&gt;"X", VLOOKUP($B19,[1]EstimatedStockData!$B$2:$G$14, M$15,FALSE),VLOOKUP($B19, [2]EstimatedETFData!$C$2:$F$10, E$15,FALSE)),"")</f>
        <v>1.0573421369401399</v>
      </c>
      <c r="N19">
        <f>M19*J19</f>
        <v>5.9961487834019091E-2</v>
      </c>
      <c r="P19" t="str">
        <f t="shared" si="3"/>
        <v>N</v>
      </c>
    </row>
    <row r="20" spans="1:16" x14ac:dyDescent="0.3">
      <c r="C20" t="str">
        <f>IFERROR(IF(LEFT($B20,1)&lt;&gt;"X", VLOOKUP($B20,[1]EstimatedStockData!$B$2:$G$14, C$15,FALSE),""),"")</f>
        <v/>
      </c>
      <c r="D20" t="str">
        <f>IFERROR(IF(LEFT($B20,1)&lt;&gt;"X", VLOOKUP($B20,[1]EstimatedStockData!$B$2:$G$14, D$15,FALSE),""),"")</f>
        <v/>
      </c>
      <c r="E20" t="str">
        <f>IFERROR(IF(LEFT($B20,1)&lt;&gt;"X", VLOOKUP($B20,[1]EstimatedStockData!$B$2:$G$14, E$15,FALSE),VLOOKUP($B20, [2]EstimatedETFData!$C$2:$F$10, C$15,FALSE)),"")</f>
        <v/>
      </c>
      <c r="F20" t="str">
        <f>IFERROR(IF(LEFT($B20,1)&lt;&gt;"X", VLOOKUP($B20,[1]EstimatedStockData!$B$2:$G$14, F$15,FALSE),VLOOKUP($B20, [2]EstimatedETFData!$C$2:$F$10, D$15,FALSE)),"")</f>
        <v/>
      </c>
      <c r="G20" s="11" t="str">
        <f t="shared" si="1"/>
        <v/>
      </c>
      <c r="H20" s="2"/>
      <c r="I20" s="18" t="s">
        <v>68</v>
      </c>
      <c r="J20" s="2" t="str">
        <f t="shared" si="2"/>
        <v/>
      </c>
      <c r="M20" t="str">
        <f>IFERROR(IF(LEFT($B20,1)&lt;&gt;"X", VLOOKUP($B20,[1]EstimatedStockData!$B$2:$G$14, M$15,FALSE),VLOOKUP($B20, [2]EstimatedETFData!$C$2:$F$10, E$15,FALSE)),"")</f>
        <v/>
      </c>
      <c r="P20" t="str">
        <f t="shared" si="3"/>
        <v>N</v>
      </c>
    </row>
    <row r="21" spans="1:16" x14ac:dyDescent="0.3">
      <c r="A21" t="s">
        <v>23</v>
      </c>
      <c r="B21" t="s">
        <v>24</v>
      </c>
      <c r="C21" t="str">
        <f>IFERROR(IF(LEFT($B21,1)&lt;&gt;"X", VLOOKUP($B21,[1]EstimatedStockData!$B$2:$G$14, C$15,FALSE),""),"")</f>
        <v/>
      </c>
      <c r="D21" t="str">
        <f>IFERROR(IF(LEFT($B21,1)&lt;&gt;"X", VLOOKUP($B21,[1]EstimatedStockData!$B$2:$G$14, D$15,FALSE),""),"")</f>
        <v/>
      </c>
      <c r="E21">
        <v>7.5767739089880104E-2</v>
      </c>
      <c r="F21">
        <v>0.178226854523821</v>
      </c>
      <c r="G21" s="11">
        <v>0.42511965602665858</v>
      </c>
      <c r="H21" s="2">
        <f>1</f>
        <v>1</v>
      </c>
      <c r="I21" s="4">
        <f>H21*VLOOKUP($A$21,$A$5:$B$12,2,FALSE)</f>
        <v>270300</v>
      </c>
      <c r="J21" s="2">
        <f t="shared" si="2"/>
        <v>3.1800000000000002E-2</v>
      </c>
      <c r="M21">
        <f>IFERROR(IF(LEFT($B21,1)&lt;&gt;"X", VLOOKUP($B21,[1]EstimatedStockData!$B$2:$G$14, M$15,FALSE),VLOOKUP($B21, [2]EstimatedETFData!$C$2:$F$10, E$15,FALSE)),"")</f>
        <v>0.42436714590459101</v>
      </c>
      <c r="N21">
        <f t="shared" ref="N21:N48" si="4">M21*J21</f>
        <v>1.3494875239765995E-2</v>
      </c>
      <c r="P21" t="str">
        <f t="shared" si="3"/>
        <v>N</v>
      </c>
    </row>
    <row r="22" spans="1:16" x14ac:dyDescent="0.3">
      <c r="B22"/>
      <c r="C22" t="str">
        <f>IFERROR(IF(LEFT($B22,1)&lt;&gt;"X", VLOOKUP($B22,[1]EstimatedStockData!$B$2:$G$14, C$15,FALSE),""),"")</f>
        <v/>
      </c>
      <c r="D22" t="str">
        <f>IFERROR(IF(LEFT($B22,1)&lt;&gt;"X", VLOOKUP($B22,[1]EstimatedStockData!$B$2:$G$14, D$15,FALSE),""),"")</f>
        <v/>
      </c>
      <c r="E22" t="str">
        <f>IFERROR(IF(LEFT($B22,1)&lt;&gt;"X", VLOOKUP($B22,[1]EstimatedStockData!$B$2:$G$14, E$15,FALSE),VLOOKUP($B22, [2]EstimatedETFData!$C$2:$F$10, C$15,FALSE)),"")</f>
        <v/>
      </c>
      <c r="F22" t="str">
        <f>IFERROR(IF(LEFT($B22,1)&lt;&gt;"X", VLOOKUP($B22,[1]EstimatedStockData!$B$2:$G$14, F$15,FALSE),VLOOKUP($B22, [2]EstimatedETFData!$C$2:$F$10, D$15,FALSE)),"")</f>
        <v/>
      </c>
      <c r="G22" s="11" t="str">
        <f t="shared" si="1"/>
        <v/>
      </c>
      <c r="H22" s="2"/>
      <c r="I22" s="19" t="s">
        <v>68</v>
      </c>
      <c r="J22" s="2" t="str">
        <f t="shared" si="2"/>
        <v/>
      </c>
      <c r="M22" t="str">
        <f>IFERROR(IF(LEFT($B22,1)&lt;&gt;"X", VLOOKUP($B22,[1]EstimatedStockData!$B$2:$G$14, M$15,FALSE),VLOOKUP($B22, [2]EstimatedETFData!$C$2:$F$10, E$15,FALSE)),"")</f>
        <v/>
      </c>
      <c r="P22" t="str">
        <f t="shared" si="3"/>
        <v>N</v>
      </c>
    </row>
    <row r="23" spans="1:16" x14ac:dyDescent="0.3">
      <c r="A23" t="s">
        <v>27</v>
      </c>
      <c r="B23"/>
      <c r="C23" t="str">
        <f>IFERROR(IF(LEFT($B23,1)&lt;&gt;"X", VLOOKUP($B23,[1]EstimatedStockData!$B$2:$G$14, C$15,FALSE),""),"")</f>
        <v/>
      </c>
      <c r="D23" t="str">
        <f>IFERROR(IF(LEFT($B23,1)&lt;&gt;"X", VLOOKUP($B23,[1]EstimatedStockData!$B$2:$G$14, D$15,FALSE),""),"")</f>
        <v/>
      </c>
      <c r="E23" t="str">
        <f>IFERROR(IF(LEFT($B23,1)&lt;&gt;"X", VLOOKUP($B23,[1]EstimatedStockData!$B$2:$G$14, E$15,FALSE),VLOOKUP($B23, [2]EstimatedETFData!$C$2:$F$10, C$15,FALSE)),"")</f>
        <v/>
      </c>
      <c r="F23" t="str">
        <f>IFERROR(IF(LEFT($B23,1)&lt;&gt;"X", VLOOKUP($B23,[1]EstimatedStockData!$B$2:$G$14, F$15,FALSE),VLOOKUP($B23, [2]EstimatedETFData!$C$2:$F$10, D$15,FALSE)),"")</f>
        <v/>
      </c>
      <c r="G23" s="11" t="str">
        <f t="shared" si="1"/>
        <v/>
      </c>
      <c r="H23" s="17"/>
      <c r="I23" s="20" t="s">
        <v>68</v>
      </c>
      <c r="J23" s="2" t="str">
        <f t="shared" si="2"/>
        <v/>
      </c>
      <c r="P23" t="str">
        <f t="shared" si="3"/>
        <v>N</v>
      </c>
    </row>
    <row r="24" spans="1:16" x14ac:dyDescent="0.3">
      <c r="B24" t="s">
        <v>28</v>
      </c>
      <c r="C24" t="str">
        <f>IFERROR(IF(LEFT($B24,1)&lt;&gt;"X", VLOOKUP($B24,[1]EstimatedStockData!$B$2:$G$14, C$15,FALSE),""),"")</f>
        <v/>
      </c>
      <c r="D24" t="str">
        <f>IFERROR(IF(LEFT($B24,1)&lt;&gt;"X", VLOOKUP($B24,[1]EstimatedStockData!$B$2:$G$14, D$15,FALSE),""),"")</f>
        <v/>
      </c>
      <c r="E24">
        <f>IFERROR(IF(LEFT($B24,1)&lt;&gt;"X", VLOOKUP($B24,[1]EstimatedStockData!$B$2:$G$14, E$15,FALSE),VLOOKUP($B24, [2]EstimatedETFData!$C$2:$F$10, C$15,FALSE)),"")</f>
        <v>8.6504308832733995E-2</v>
      </c>
      <c r="F24">
        <f>IFERROR(IF(LEFT($B24,1)&lt;&gt;"X", VLOOKUP($B24,[1]EstimatedStockData!$B$2:$G$14, F$15,FALSE),VLOOKUP($B24, [2]EstimatedETFData!$C$2:$F$10, D$15,FALSE)),"")</f>
        <v>0.200924638578375</v>
      </c>
      <c r="G24" s="11">
        <f t="shared" si="1"/>
        <v>0.43053111576951336</v>
      </c>
      <c r="H24" s="2">
        <f>1-SUM(H23)</f>
        <v>1</v>
      </c>
      <c r="I24" s="4">
        <f>H24*VLOOKUP($A$23,$A$5:$B$12,2,FALSE)</f>
        <v>280500</v>
      </c>
      <c r="J24" s="2">
        <f t="shared" si="2"/>
        <v>3.3000000000000002E-2</v>
      </c>
      <c r="M24">
        <f>IFERROR(IF(LEFT($B24,1)&lt;&gt;"X", VLOOKUP($B24,[1]EstimatedStockData!$B$2:$G$14, M$15,FALSE),VLOOKUP($B24, [2]EstimatedETFData!$C$2:$F$10, E$15,FALSE)),"")</f>
        <v>1.03016512024528</v>
      </c>
      <c r="N24">
        <f>M24*J24</f>
        <v>3.3995448968094241E-2</v>
      </c>
      <c r="P24" t="str">
        <f t="shared" si="3"/>
        <v>N</v>
      </c>
    </row>
    <row r="25" spans="1:16" x14ac:dyDescent="0.3">
      <c r="C25" t="str">
        <f>IFERROR(IF(LEFT($B25,1)&lt;&gt;"X", VLOOKUP($B25,[1]EstimatedStockData!$B$2:$G$14, C$15,FALSE),""),"")</f>
        <v/>
      </c>
      <c r="D25" t="str">
        <f>IFERROR(IF(LEFT($B25,1)&lt;&gt;"X", VLOOKUP($B25,[1]EstimatedStockData!$B$2:$G$14, D$15,FALSE),""),"")</f>
        <v/>
      </c>
      <c r="E25" t="str">
        <f>IFERROR(IF(LEFT($B25,1)&lt;&gt;"X", VLOOKUP($B25,[1]EstimatedStockData!$B$2:$G$14, E$15,FALSE),VLOOKUP($B25, [2]EstimatedETFData!$C$2:$F$10, C$15,FALSE)),"")</f>
        <v/>
      </c>
      <c r="F25" t="str">
        <f>IFERROR(IF(LEFT($B25,1)&lt;&gt;"X", VLOOKUP($B25,[1]EstimatedStockData!$B$2:$G$14, F$15,FALSE),VLOOKUP($B25, [2]EstimatedETFData!$C$2:$F$10, D$15,FALSE)),"")</f>
        <v/>
      </c>
      <c r="G25" s="11" t="str">
        <f t="shared" si="1"/>
        <v/>
      </c>
      <c r="H25" s="2"/>
      <c r="I25" s="18" t="s">
        <v>68</v>
      </c>
      <c r="J25" s="2" t="str">
        <f t="shared" si="2"/>
        <v/>
      </c>
      <c r="M25" t="str">
        <f>IFERROR(IF(LEFT($B25,1)&lt;&gt;"X", VLOOKUP($B25,[1]EstimatedStockData!$B$2:$G$14, M$15,FALSE),VLOOKUP($B25, [2]EstimatedETFData!$C$2:$F$10, E$15,FALSE)),"")</f>
        <v/>
      </c>
      <c r="P25" t="str">
        <f t="shared" si="3"/>
        <v>N</v>
      </c>
    </row>
    <row r="26" spans="1:16" x14ac:dyDescent="0.3">
      <c r="A26" t="s">
        <v>26</v>
      </c>
      <c r="B26" t="s">
        <v>11</v>
      </c>
      <c r="C26">
        <f>IFERROR(IF(LEFT($B26,1)&lt;&gt;"X", VLOOKUP($B26,[1]EstimatedStockData!$B$2:$G$14, C$15,FALSE),""),"")</f>
        <v>11.44</v>
      </c>
      <c r="D26">
        <f>IFERROR(IF(LEFT($B26,1)&lt;&gt;"X", VLOOKUP($B26,[1]EstimatedStockData!$B$2:$G$14, D$15,FALSE),""),"")</f>
        <v>12.46</v>
      </c>
      <c r="E26">
        <f>IFERROR(IF(LEFT($B26,1)&lt;&gt;"X", VLOOKUP($B26,[1]EstimatedStockData!$B$2:$G$14, E$15,FALSE),VLOOKUP($B26, [2]EstimatedETFData!$C$2:$F$10, C$15,FALSE)),"")</f>
        <v>0.26418906580704998</v>
      </c>
      <c r="F26">
        <f>IFERROR(IF(LEFT($B26,1)&lt;&gt;"X", VLOOKUP($B26,[1]EstimatedStockData!$B$2:$G$14, F$15,FALSE),VLOOKUP($B26, [2]EstimatedETFData!$C$2:$F$10, D$15,FALSE)),"")</f>
        <v>0.54205200099448902</v>
      </c>
      <c r="G26" s="11">
        <f t="shared" si="1"/>
        <v>0.48738693948615452</v>
      </c>
      <c r="H26" s="2">
        <f>G26/$G$28*0.2 - VLOOKUP($B26,Table1[[Ticker]:[S&amp;P 500]],7,FALSE)</f>
        <v>0.20764719361501477</v>
      </c>
      <c r="I26" s="4">
        <f>H26*VLOOKUP($A$26,$A$5:$B$12,2,FALSE)</f>
        <v>386182.25068520446</v>
      </c>
      <c r="J26" s="2">
        <f t="shared" si="2"/>
        <v>4.5433205962965233E-2</v>
      </c>
      <c r="M26">
        <f>IFERROR(IF(LEFT($B26,1)&lt;&gt;"X", VLOOKUP($B26,[1]EstimatedStockData!$B$2:$G$14, M$15,FALSE),VLOOKUP($B26, [2]EstimatedETFData!$C$2:$F$10, E$15,FALSE)),"")</f>
        <v>0.44395540549724</v>
      </c>
      <c r="N26">
        <f t="shared" si="4"/>
        <v>2.0170317376327851E-2</v>
      </c>
      <c r="P26" t="str">
        <f t="shared" si="3"/>
        <v>Y</v>
      </c>
    </row>
    <row r="27" spans="1:16" x14ac:dyDescent="0.3">
      <c r="B27"/>
      <c r="C27" t="str">
        <f>IFERROR(IF(LEFT($B27,1)&lt;&gt;"X", VLOOKUP($B27,[1]EstimatedStockData!$B$2:$G$14, C$15,FALSE),""),"")</f>
        <v/>
      </c>
      <c r="D27" t="str">
        <f>IFERROR(IF(LEFT($B27,1)&lt;&gt;"X", VLOOKUP($B27,[1]EstimatedStockData!$B$2:$G$14, D$15,FALSE),""),"")</f>
        <v/>
      </c>
      <c r="E27" t="str">
        <f>IFERROR(IF(LEFT($B27,1)&lt;&gt;"X", VLOOKUP($B27,[1]EstimatedStockData!$B$2:$G$14, E$15,FALSE),VLOOKUP($B27, [2]EstimatedETFData!$C$2:$F$10, C$15,FALSE)),"")</f>
        <v/>
      </c>
      <c r="F27" t="str">
        <f>IFERROR(IF(LEFT($B27,1)&lt;&gt;"X", VLOOKUP($B27,[1]EstimatedStockData!$B$2:$G$14, F$15,FALSE),VLOOKUP($B27, [2]EstimatedETFData!$C$2:$F$10, D$15,FALSE)),"")</f>
        <v/>
      </c>
      <c r="G27" s="11" t="str">
        <f t="shared" si="1"/>
        <v/>
      </c>
      <c r="H27" s="2"/>
      <c r="I27" s="19" t="s">
        <v>68</v>
      </c>
      <c r="J27" s="2" t="str">
        <f t="shared" si="2"/>
        <v/>
      </c>
      <c r="P27" t="str">
        <f t="shared" si="3"/>
        <v>N</v>
      </c>
    </row>
    <row r="28" spans="1:16" x14ac:dyDescent="0.3">
      <c r="B28" t="s">
        <v>25</v>
      </c>
      <c r="C28" t="str">
        <f>IFERROR(IF(LEFT($B28,1)&lt;&gt;"X", VLOOKUP($B28,[1]EstimatedStockData!$B$2:$G$14, C$15,FALSE),""),"")</f>
        <v/>
      </c>
      <c r="D28" t="str">
        <f>IFERROR(IF(LEFT($B28,1)&lt;&gt;"X", VLOOKUP($B28,[1]EstimatedStockData!$B$2:$G$14, D$15,FALSE),""),"")</f>
        <v/>
      </c>
      <c r="E28">
        <f>IFERROR(IF(LEFT($B28,1)&lt;&gt;"X", VLOOKUP($B28,[1]EstimatedStockData!$B$2:$G$14, E$15,FALSE),VLOOKUP($B28, [2]EstimatedETFData!$C$2:$F$10, C$15,FALSE)),"")</f>
        <v>7.5907761853656205E-2</v>
      </c>
      <c r="F28">
        <f>IFERROR(IF(LEFT($B28,1)&lt;&gt;"X", VLOOKUP($B28,[1]EstimatedStockData!$B$2:$G$14, F$15,FALSE),VLOOKUP($B28, [2]EstimatedETFData!$C$2:$F$10, D$15,FALSE)),"")</f>
        <v>0.16170866982615301</v>
      </c>
      <c r="G28" s="11">
        <f t="shared" si="1"/>
        <v>0.46941058840729954</v>
      </c>
      <c r="H28" s="2">
        <f>1-SUM(H26:H27)</f>
        <v>0.79235280638498518</v>
      </c>
      <c r="I28" s="4">
        <f>H28*VLOOKUP($A$26,$A$5:$B$12,2,FALSE)</f>
        <v>1473617.7493147955</v>
      </c>
      <c r="J28" s="2">
        <f t="shared" si="2"/>
        <v>0.17336679403703475</v>
      </c>
      <c r="M28">
        <f>IFERROR(IF(LEFT($B28,1)&lt;&gt;"X", VLOOKUP($B28,[1]EstimatedStockData!$B$2:$G$14, M$15,FALSE),VLOOKUP($B28, [2]EstimatedETFData!$C$2:$F$10, E$15,FALSE)),"")</f>
        <v>1.0108518059607901</v>
      </c>
      <c r="N28">
        <f t="shared" si="4"/>
        <v>0.1752481368459689</v>
      </c>
      <c r="P28" t="str">
        <f t="shared" si="3"/>
        <v>N</v>
      </c>
    </row>
    <row r="29" spans="1:16" x14ac:dyDescent="0.3">
      <c r="C29" t="str">
        <f>IFERROR(IF(LEFT($B29,1)&lt;&gt;"X", VLOOKUP($B29,[1]EstimatedStockData!$B$2:$G$14, C$15,FALSE),""),"")</f>
        <v/>
      </c>
      <c r="D29" t="str">
        <f>IFERROR(IF(LEFT($B29,1)&lt;&gt;"X", VLOOKUP($B29,[1]EstimatedStockData!$B$2:$G$14, D$15,FALSE),""),"")</f>
        <v/>
      </c>
      <c r="E29" t="str">
        <f>IFERROR(IF(LEFT($B29,1)&lt;&gt;"X", VLOOKUP($B29,[1]EstimatedStockData!$B$2:$G$14, E$15,FALSE),VLOOKUP($B29, [2]EstimatedETFData!$C$2:$F$10, C$15,FALSE)),"")</f>
        <v/>
      </c>
      <c r="F29" t="str">
        <f>IFERROR(IF(LEFT($B29,1)&lt;&gt;"X", VLOOKUP($B29,[1]EstimatedStockData!$B$2:$G$14, F$15,FALSE),VLOOKUP($B29, [2]EstimatedETFData!$C$2:$F$10, D$15,FALSE)),"")</f>
        <v/>
      </c>
      <c r="G29" s="11" t="str">
        <f t="shared" si="1"/>
        <v/>
      </c>
      <c r="H29" s="2"/>
      <c r="I29" s="18" t="s">
        <v>68</v>
      </c>
      <c r="J29" s="2" t="str">
        <f t="shared" si="2"/>
        <v/>
      </c>
      <c r="M29" t="str">
        <f>IFERROR(IF(LEFT($B29,1)&lt;&gt;"X", VLOOKUP($B29,[1]EstimatedStockData!$B$2:$G$14, M$15,FALSE),VLOOKUP($B29, [2]EstimatedETFData!$C$2:$F$10, E$15,FALSE)),"")</f>
        <v/>
      </c>
      <c r="P29" t="str">
        <f t="shared" si="3"/>
        <v>N</v>
      </c>
    </row>
    <row r="30" spans="1:16" x14ac:dyDescent="0.3">
      <c r="A30" t="s">
        <v>41</v>
      </c>
      <c r="B30" t="s">
        <v>7</v>
      </c>
      <c r="C30">
        <f>IFERROR(IF(LEFT($B30,1)&lt;&gt;"X", VLOOKUP($B30,[1]EstimatedStockData!$B$2:$G$14, C$15,FALSE),""),"")</f>
        <v>53.81</v>
      </c>
      <c r="D30">
        <f>IFERROR(IF(LEFT($B30,1)&lt;&gt;"X", VLOOKUP($B30,[1]EstimatedStockData!$B$2:$G$14, D$15,FALSE),""),"")</f>
        <v>74.790000000000006</v>
      </c>
      <c r="E30">
        <f>IFERROR(IF(LEFT($B30,1)&lt;&gt;"X", VLOOKUP($B30,[1]EstimatedStockData!$B$2:$G$14, E$15,FALSE),VLOOKUP($B30, [2]EstimatedETFData!$C$2:$F$10, C$15,FALSE)),"")</f>
        <v>0.312472306954162</v>
      </c>
      <c r="F30">
        <f>IFERROR(IF(LEFT($B30,1)&lt;&gt;"X", VLOOKUP($B30,[1]EstimatedStockData!$B$2:$G$14, F$15,FALSE),VLOOKUP($B30, [2]EstimatedETFData!$C$2:$F$10, D$15,FALSE)),"")</f>
        <v>0.183044015188075</v>
      </c>
      <c r="G30" s="11">
        <f t="shared" si="1"/>
        <v>1.7070883559514434</v>
      </c>
      <c r="H30" s="2">
        <f>G30/$G$33*0.2-VLOOKUP($B30,Table1[[Ticker]:[S&amp;P 500]],7,FALSE)</f>
        <v>12.411593650252483</v>
      </c>
      <c r="I30" s="4">
        <f>H30*VLOOKUP($A$30,$A$5:$B$12,2,FALSE)</f>
        <v>17280661.83924653</v>
      </c>
      <c r="J30" s="2">
        <f t="shared" si="2"/>
        <v>2.0330190399113564</v>
      </c>
      <c r="M30">
        <f>IFERROR(IF(LEFT($B30,1)&lt;&gt;"X", VLOOKUP($B30,[1]EstimatedStockData!$B$2:$G$14, M$15,FALSE),VLOOKUP($B30, [2]EstimatedETFData!$C$2:$F$10, E$15,FALSE)),"")</f>
        <v>0.96830925636862497</v>
      </c>
      <c r="N30">
        <f t="shared" si="4"/>
        <v>1.9685911547198214</v>
      </c>
      <c r="P30" t="str">
        <f t="shared" si="3"/>
        <v>Y</v>
      </c>
    </row>
    <row r="31" spans="1:16" x14ac:dyDescent="0.3">
      <c r="B31" t="s">
        <v>8</v>
      </c>
      <c r="C31">
        <f>IFERROR(IF(LEFT($B31,1)&lt;&gt;"X", VLOOKUP($B31,[1]EstimatedStockData!$B$2:$G$14, C$15,FALSE),""),"")</f>
        <v>50.63</v>
      </c>
      <c r="D31">
        <f>IFERROR(IF(LEFT($B31,1)&lt;&gt;"X", VLOOKUP($B31,[1]EstimatedStockData!$B$2:$G$14, D$15,FALSE),""),"")</f>
        <v>56</v>
      </c>
      <c r="E31">
        <f>IFERROR(IF(LEFT($B31,1)&lt;&gt;"X", VLOOKUP($B31,[1]EstimatedStockData!$B$2:$G$14, E$15,FALSE),VLOOKUP($B31, [2]EstimatedETFData!$C$2:$F$10, C$15,FALSE)),"")</f>
        <v>8.6053332761174994E-2</v>
      </c>
      <c r="F31">
        <f>IFERROR(IF(LEFT($B31,1)&lt;&gt;"X", VLOOKUP($B31,[1]EstimatedStockData!$B$2:$G$14, F$15,FALSE),VLOOKUP($B31, [2]EstimatedETFData!$C$2:$F$10, D$15,FALSE)),"")</f>
        <v>0.17177934679207801</v>
      </c>
      <c r="G31" s="11">
        <f t="shared" si="1"/>
        <v>0.50095273016338848</v>
      </c>
      <c r="H31" s="2">
        <f>G31/$G$33*0.2-VLOOKUP($B31,Table1[[Ticker]:[S&amp;P 500]],7,FALSE)</f>
        <v>3.638380834702251</v>
      </c>
      <c r="I31" s="4">
        <f>H31*VLOOKUP($A$30,$A$5:$B$12,2,FALSE)</f>
        <v>5065717.6361559443</v>
      </c>
      <c r="J31" s="2">
        <f t="shared" si="2"/>
        <v>0.59596678072422871</v>
      </c>
      <c r="L31" s="4"/>
      <c r="M31">
        <f>IFERROR(IF(LEFT($B31,1)&lt;&gt;"X", VLOOKUP($B31,[1]EstimatedStockData!$B$2:$G$14, M$15,FALSE),VLOOKUP($B31, [2]EstimatedETFData!$C$2:$F$10, E$15,FALSE)),"")</f>
        <v>0.56198907355776895</v>
      </c>
      <c r="N31">
        <f t="shared" si="4"/>
        <v>0.33492681897041532</v>
      </c>
      <c r="P31" t="str">
        <f t="shared" si="3"/>
        <v>Y</v>
      </c>
    </row>
    <row r="32" spans="1:16" x14ac:dyDescent="0.3">
      <c r="B32" t="s">
        <v>16</v>
      </c>
      <c r="C32">
        <f>IFERROR(IF(LEFT($B32,1)&lt;&gt;"X", VLOOKUP($B32,[1]EstimatedStockData!$B$2:$G$14, C$15,FALSE),""),"")</f>
        <v>131.37</v>
      </c>
      <c r="D32">
        <f>IFERROR(IF(LEFT($B32,1)&lt;&gt;"X", VLOOKUP($B32,[1]EstimatedStockData!$B$2:$G$14, D$15,FALSE),""),"")</f>
        <v>138</v>
      </c>
      <c r="E32">
        <f>IFERROR(IF(LEFT($B32,1)&lt;&gt;"X", VLOOKUP($B32,[1]EstimatedStockData!$B$2:$G$14, E$15,FALSE),VLOOKUP($B32, [2]EstimatedETFData!$C$2:$F$10, C$15,FALSE)),"")</f>
        <v>1.45085255451405E-2</v>
      </c>
      <c r="F32">
        <f>IFERROR(IF(LEFT($B32,1)&lt;&gt;"X", VLOOKUP($B32,[1]EstimatedStockData!$B$2:$G$14, F$15,FALSE),VLOOKUP($B32, [2]EstimatedETFData!$C$2:$F$10, D$15,FALSE)),"")</f>
        <v>0.263542748451357</v>
      </c>
      <c r="G32" s="11">
        <f t="shared" si="1"/>
        <v>5.5051886763708049E-2</v>
      </c>
      <c r="H32" s="2">
        <f>G32/$G$33*0.2-VLOOKUP($B32,Table1[[Ticker]:[S&amp;P 500]],7,FALSE)</f>
        <v>0.39585614683831938</v>
      </c>
      <c r="I32" s="4">
        <f>H32*VLOOKUP($A$30,$A$5:$B$12,2,FALSE)</f>
        <v>551150.51324299211</v>
      </c>
      <c r="J32" s="2">
        <f t="shared" si="2"/>
        <v>6.4841236852116721E-2</v>
      </c>
      <c r="M32">
        <f>IFERROR(IF(LEFT($B32,1)&lt;&gt;"X", VLOOKUP($B32,[1]EstimatedStockData!$B$2:$G$14, M$15,FALSE),VLOOKUP($B32, [2]EstimatedETFData!$C$2:$F$10, E$15,FALSE)),"")</f>
        <v>1.55493217894962</v>
      </c>
      <c r="N32">
        <f t="shared" si="4"/>
        <v>0.10082372570425026</v>
      </c>
      <c r="P32" t="str">
        <f t="shared" si="3"/>
        <v>Y</v>
      </c>
    </row>
    <row r="33" spans="1:16" x14ac:dyDescent="0.3">
      <c r="B33" t="s">
        <v>37</v>
      </c>
      <c r="C33" t="str">
        <f>IFERROR(IF(LEFT($B33,1)&lt;&gt;"X", VLOOKUP($B33,[1]EstimatedStockData!$B$2:$G$14, C$15,FALSE),""),"")</f>
        <v/>
      </c>
      <c r="D33" t="str">
        <f>IFERROR(IF(LEFT($B33,1)&lt;&gt;"X", VLOOKUP($B33,[1]EstimatedStockData!$B$2:$G$14, D$15,FALSE),""),"")</f>
        <v/>
      </c>
      <c r="E33">
        <f>IFERROR(IF(LEFT($B33,1)&lt;&gt;"X", VLOOKUP($B33,[1]EstimatedStockData!$B$2:$G$14, E$15,FALSE),VLOOKUP($B33, [2]EstimatedETFData!$C$2:$F$10, C$15,FALSE)),"")</f>
        <v>4.5323078314439703E-3</v>
      </c>
      <c r="F33">
        <f>IFERROR(IF(LEFT($B33,1)&lt;&gt;"X", VLOOKUP($B33,[1]EstimatedStockData!$B$2:$G$14, F$15,FALSE),VLOOKUP($B33, [2]EstimatedETFData!$C$2:$F$10, D$15,FALSE)),"")</f>
        <v>0.16591798267232399</v>
      </c>
      <c r="G33" s="11">
        <f t="shared" si="1"/>
        <v>2.7316555797299864E-2</v>
      </c>
      <c r="H33" s="2">
        <f>1-SUM(H30:H32)</f>
        <v>-15.445830631793054</v>
      </c>
      <c r="I33" s="4">
        <f>H33*VLOOKUP($A$30,$A$5:$B$12,2,FALSE)</f>
        <v>-21505229.988645468</v>
      </c>
      <c r="J33" s="2">
        <f t="shared" si="2"/>
        <v>-2.5300270574877022</v>
      </c>
      <c r="M33">
        <f>IFERROR(IF(LEFT($B33,1)&lt;&gt;"X", VLOOKUP($B33,[1]EstimatedStockData!$B$2:$G$14, M$15,FALSE),VLOOKUP($B33, [2]EstimatedETFData!$C$2:$F$10, E$15,FALSE)),"")</f>
        <v>1.0405900168745099</v>
      </c>
      <c r="N33">
        <f t="shared" si="4"/>
        <v>-2.6327208984440946</v>
      </c>
      <c r="P33" t="str">
        <f t="shared" si="3"/>
        <v>N</v>
      </c>
    </row>
    <row r="34" spans="1:16" x14ac:dyDescent="0.3">
      <c r="B34" s="8" t="s">
        <v>49</v>
      </c>
      <c r="C34" t="str">
        <f>IFERROR(IF(LEFT($B34,1)&lt;&gt;"X", VLOOKUP($B34,[1]EstimatedStockData!$B$2:$G$14, C$15,FALSE),""),"")</f>
        <v/>
      </c>
      <c r="D34" t="str">
        <f>IFERROR(IF(LEFT($B34,1)&lt;&gt;"X", VLOOKUP($B34,[1]EstimatedStockData!$B$2:$G$14, D$15,FALSE),""),"")</f>
        <v/>
      </c>
      <c r="E34" t="str">
        <f>IFERROR(IF(LEFT($B34,1)&lt;&gt;"X", VLOOKUP($B34,[1]EstimatedStockData!$B$2:$G$14, E$15,FALSE),VLOOKUP($B34, [2]EstimatedETFData!$C$2:$F$10, C$15,FALSE)),"")</f>
        <v/>
      </c>
      <c r="F34" t="str">
        <f>IFERROR(IF(LEFT($B34,1)&lt;&gt;"X", VLOOKUP($B34,[1]EstimatedStockData!$B$2:$G$14, F$15,FALSE),VLOOKUP($B34, [2]EstimatedETFData!$C$2:$F$10, D$15,FALSE)),"")</f>
        <v/>
      </c>
      <c r="G34" s="11" t="str">
        <f t="shared" si="1"/>
        <v/>
      </c>
      <c r="H34" s="2"/>
      <c r="I34" s="18" t="s">
        <v>68</v>
      </c>
      <c r="J34" s="2" t="str">
        <f t="shared" si="2"/>
        <v/>
      </c>
      <c r="M34" t="str">
        <f>IFERROR(IF(LEFT($B34,1)&lt;&gt;"X", VLOOKUP($B34,[1]EstimatedStockData!$B$2:$G$14, M$15,FALSE),VLOOKUP($B34, [2]EstimatedETFData!$C$2:$F$10, E$15,FALSE)),"")</f>
        <v/>
      </c>
      <c r="P34" t="str">
        <f t="shared" si="3"/>
        <v>Y</v>
      </c>
    </row>
    <row r="35" spans="1:16" x14ac:dyDescent="0.3">
      <c r="C35" t="str">
        <f>IFERROR(IF(LEFT($B35,1)&lt;&gt;"X", VLOOKUP($B35,[1]EstimatedStockData!$B$2:$G$14, C$15,FALSE),""),"")</f>
        <v/>
      </c>
      <c r="D35" t="str">
        <f>IFERROR(IF(LEFT($B35,1)&lt;&gt;"X", VLOOKUP($B35,[1]EstimatedStockData!$B$2:$G$14, D$15,FALSE),""),"")</f>
        <v/>
      </c>
      <c r="E35" t="str">
        <f>IFERROR(IF(LEFT($B35,1)&lt;&gt;"X", VLOOKUP($B35,[1]EstimatedStockData!$B$2:$G$14, E$15,FALSE),VLOOKUP($B35, [2]EstimatedETFData!$C$2:$F$10, C$15,FALSE)),"")</f>
        <v/>
      </c>
      <c r="F35" t="str">
        <f>IFERROR(IF(LEFT($B35,1)&lt;&gt;"X", VLOOKUP($B35,[1]EstimatedStockData!$B$2:$G$14, F$15,FALSE),VLOOKUP($B35, [2]EstimatedETFData!$C$2:$F$10, D$15,FALSE)),"")</f>
        <v/>
      </c>
      <c r="G35" s="11" t="str">
        <f t="shared" si="1"/>
        <v/>
      </c>
      <c r="H35" s="2"/>
      <c r="I35" s="18" t="s">
        <v>68</v>
      </c>
      <c r="J35" s="2" t="str">
        <f t="shared" si="2"/>
        <v/>
      </c>
      <c r="M35" t="str">
        <f>IFERROR(IF(LEFT($B35,1)&lt;&gt;"X", VLOOKUP($B35,[1]EstimatedStockData!$B$2:$G$14, M$15,FALSE),VLOOKUP($B35, [2]EstimatedETFData!$C$2:$F$10, E$15,FALSE)),"")</f>
        <v/>
      </c>
      <c r="P35" t="str">
        <f t="shared" si="3"/>
        <v>N</v>
      </c>
    </row>
    <row r="36" spans="1:16" x14ac:dyDescent="0.3">
      <c r="A36" t="s">
        <v>35</v>
      </c>
      <c r="B36" t="s">
        <v>6</v>
      </c>
      <c r="C36">
        <f>IFERROR(IF(LEFT($B36,1)&lt;&gt;"X", VLOOKUP($B36,[1]EstimatedStockData!$B$2:$G$14, C$15,FALSE),""),"")</f>
        <v>47.15</v>
      </c>
      <c r="D36">
        <f>IFERROR(IF(LEFT($B36,1)&lt;&gt;"X", VLOOKUP($B36,[1]EstimatedStockData!$B$2:$G$14, D$15,FALSE),""),"")</f>
        <v>60</v>
      </c>
      <c r="E36">
        <f>IFERROR(IF(LEFT($B36,1)&lt;&gt;"X", VLOOKUP($B36,[1]EstimatedStockData!$B$2:$G$14, E$15,FALSE),VLOOKUP($B36, [2]EstimatedETFData!$C$2:$F$10, C$15,FALSE)),"")</f>
        <v>0.20967874101647199</v>
      </c>
      <c r="F36">
        <f>IFERROR(IF(LEFT($B36,1)&lt;&gt;"X", VLOOKUP($B36,[1]EstimatedStockData!$B$2:$G$14, F$15,FALSE),VLOOKUP($B36, [2]EstimatedETFData!$C$2:$F$10, D$15,FALSE)),"")</f>
        <v>0.250327034601387</v>
      </c>
      <c r="G36" s="11">
        <f t="shared" si="1"/>
        <v>0.8376192421659846</v>
      </c>
      <c r="H36" s="2">
        <f>G36/$G$38*0.2 -VLOOKUP($B36,Table1[[Ticker]:[S&amp;P 500]],7,FALSE)</f>
        <v>0.22228959101196616</v>
      </c>
      <c r="I36" s="4">
        <f>H36*VLOOKUP($A$36,$A$5:$B$12,2,FALSE)</f>
        <v>269437.21326560416</v>
      </c>
      <c r="J36" s="2">
        <f t="shared" si="2"/>
        <v>3.169849567830637E-2</v>
      </c>
      <c r="M36">
        <f>IFERROR(IF(LEFT($B36,1)&lt;&gt;"X", VLOOKUP($B36,[1]EstimatedStockData!$B$2:$G$14, M$15,FALSE),VLOOKUP($B36, [2]EstimatedETFData!$C$2:$F$10, E$15,FALSE)),"")</f>
        <v>0.83417120250611998</v>
      </c>
      <c r="N36">
        <f t="shared" si="4"/>
        <v>2.644197225760787E-2</v>
      </c>
      <c r="P36" t="str">
        <f t="shared" si="3"/>
        <v>Y</v>
      </c>
    </row>
    <row r="37" spans="1:16" x14ac:dyDescent="0.3">
      <c r="B37" t="s">
        <v>9</v>
      </c>
      <c r="C37">
        <f>IFERROR(IF(LEFT($B37,1)&lt;&gt;"X", VLOOKUP($B37,[1]EstimatedStockData!$B$2:$G$14, C$15,FALSE),""),"")</f>
        <v>108.2</v>
      </c>
      <c r="D37">
        <f>IFERROR(IF(LEFT($B37,1)&lt;&gt;"X", VLOOKUP($B37,[1]EstimatedStockData!$B$2:$G$14, D$15,FALSE),""),"")</f>
        <v>115</v>
      </c>
      <c r="E37">
        <f>IFERROR(IF(LEFT($B37,1)&lt;&gt;"X", VLOOKUP($B37,[1]EstimatedStockData!$B$2:$G$14, E$15,FALSE),VLOOKUP($B37, [2]EstimatedETFData!$C$2:$F$10, C$15,FALSE)),"")</f>
        <v>0.23186072537657601</v>
      </c>
      <c r="F37">
        <f>IFERROR(IF(LEFT($B37,1)&lt;&gt;"X", VLOOKUP($B37,[1]EstimatedStockData!$B$2:$G$14, F$15,FALSE),VLOOKUP($B37, [2]EstimatedETFData!$C$2:$F$10, D$15,FALSE)),"")</f>
        <v>0.36605685143190497</v>
      </c>
      <c r="G37" s="11">
        <f t="shared" si="1"/>
        <v>0.63340086237863369</v>
      </c>
      <c r="H37" s="2">
        <f>G37/$G$38*0.2 -VLOOKUP($B37,Table1[[Ticker]:[S&amp;P 500]],7,FALSE)</f>
        <v>0.16535015108912549</v>
      </c>
      <c r="I37" s="4">
        <f>H37*VLOOKUP($A$36,$A$5:$B$12,2,FALSE)</f>
        <v>200420.918135129</v>
      </c>
      <c r="J37" s="2">
        <f t="shared" si="2"/>
        <v>2.3578931545309295E-2</v>
      </c>
      <c r="M37">
        <f>IFERROR(IF(LEFT($B37,1)&lt;&gt;"X", VLOOKUP($B37,[1]EstimatedStockData!$B$2:$G$14, M$15,FALSE),VLOOKUP($B37, [2]EstimatedETFData!$C$2:$F$10, E$15,FALSE)),"")</f>
        <v>1.6939751936554699</v>
      </c>
      <c r="N37">
        <f t="shared" si="4"/>
        <v>3.9942125130654378E-2</v>
      </c>
      <c r="P37" t="str">
        <f t="shared" si="3"/>
        <v>Y</v>
      </c>
    </row>
    <row r="38" spans="1:16" x14ac:dyDescent="0.3">
      <c r="B38" t="s">
        <v>36</v>
      </c>
      <c r="C38" t="str">
        <f>IFERROR(IF(LEFT($B38,1)&lt;&gt;"X", VLOOKUP($B38,[1]EstimatedStockData!$B$2:$G$14, C$15,FALSE),""),"")</f>
        <v/>
      </c>
      <c r="D38" t="str">
        <f>IFERROR(IF(LEFT($B38,1)&lt;&gt;"X", VLOOKUP($B38,[1]EstimatedStockData!$B$2:$G$14, D$15,FALSE),""),"")</f>
        <v/>
      </c>
      <c r="E38">
        <f>IFERROR(IF(LEFT($B38,1)&lt;&gt;"X", VLOOKUP($B38,[1]EstimatedStockData!$B$2:$G$14, E$15,FALSE),VLOOKUP($B38, [2]EstimatedETFData!$C$2:$F$10, C$15,FALSE)),"")</f>
        <v>8.9856049453826997E-2</v>
      </c>
      <c r="F38">
        <f>IFERROR(IF(LEFT($B38,1)&lt;&gt;"X", VLOOKUP($B38,[1]EstimatedStockData!$B$2:$G$14, F$15,FALSE),VLOOKUP($B38, [2]EstimatedETFData!$C$2:$F$10, D$15,FALSE)),"")</f>
        <v>0.13911359211956401</v>
      </c>
      <c r="G38" s="11">
        <f t="shared" si="1"/>
        <v>0.64591854817894712</v>
      </c>
      <c r="H38" s="2">
        <f>1- SUM(H36:H37)</f>
        <v>0.61236025789890836</v>
      </c>
      <c r="I38" s="4">
        <f>H38*VLOOKUP($A$36,$A$5:$B$12,2,FALSE)</f>
        <v>742241.86859926686</v>
      </c>
      <c r="J38" s="2">
        <f t="shared" si="2"/>
        <v>8.7322572776384333E-2</v>
      </c>
      <c r="M38">
        <f>IFERROR(IF(LEFT($B38,1)&lt;&gt;"X", VLOOKUP($B38,[1]EstimatedStockData!$B$2:$G$14, M$15,FALSE),VLOOKUP($B38, [2]EstimatedETFData!$C$2:$F$10, E$15,FALSE)),"")</f>
        <v>1.1070206191430301</v>
      </c>
      <c r="N38">
        <f t="shared" si="4"/>
        <v>9.6667888580075287E-2</v>
      </c>
      <c r="P38" t="str">
        <f t="shared" si="3"/>
        <v>N</v>
      </c>
    </row>
    <row r="39" spans="1:16" x14ac:dyDescent="0.3">
      <c r="C39" t="str">
        <f>IFERROR(IF(LEFT($B39,1)&lt;&gt;"X", VLOOKUP($B39,[1]EstimatedStockData!$B$2:$G$14, C$15,FALSE),""),"")</f>
        <v/>
      </c>
      <c r="D39" t="str">
        <f>IFERROR(IF(LEFT($B39,1)&lt;&gt;"X", VLOOKUP($B39,[1]EstimatedStockData!$B$2:$G$14, D$15,FALSE),""),"")</f>
        <v/>
      </c>
      <c r="E39" t="str">
        <f>IFERROR(IF(LEFT($B39,1)&lt;&gt;"X", VLOOKUP($B39,[1]EstimatedStockData!$B$2:$G$14, E$15,FALSE),VLOOKUP($B39, [2]EstimatedETFData!$C$2:$F$10, C$15,FALSE)),"")</f>
        <v/>
      </c>
      <c r="F39" t="str">
        <f>IFERROR(IF(LEFT($B39,1)&lt;&gt;"X", VLOOKUP($B39,[1]EstimatedStockData!$B$2:$G$14, F$15,FALSE),VLOOKUP($B39, [2]EstimatedETFData!$C$2:$F$10, D$15,FALSE)),"")</f>
        <v/>
      </c>
      <c r="G39" s="11" t="str">
        <f t="shared" si="1"/>
        <v/>
      </c>
      <c r="H39" s="2"/>
      <c r="I39" s="18" t="s">
        <v>68</v>
      </c>
      <c r="J39" s="2" t="str">
        <f t="shared" si="2"/>
        <v/>
      </c>
      <c r="M39" t="str">
        <f>IFERROR(IF(LEFT($B39,1)&lt;&gt;"X", VLOOKUP($B39,[1]EstimatedStockData!$B$2:$G$14, M$15,FALSE),VLOOKUP($B39, [2]EstimatedETFData!$C$2:$F$10, E$15,FALSE)),"")</f>
        <v/>
      </c>
      <c r="P39" t="str">
        <f t="shared" si="3"/>
        <v>N</v>
      </c>
    </row>
    <row r="40" spans="1:16" x14ac:dyDescent="0.3">
      <c r="A40" s="11" t="s">
        <v>50</v>
      </c>
      <c r="B40" s="11" t="s">
        <v>13</v>
      </c>
      <c r="C40">
        <f>IFERROR(IF(LEFT($B40,1)&lt;&gt;"X", VLOOKUP($B40,[1]EstimatedStockData!$B$2:$G$14, C$15,FALSE),""),"")</f>
        <v>132.78</v>
      </c>
      <c r="D40">
        <f>IFERROR(IF(LEFT($B40,1)&lt;&gt;"X", VLOOKUP($B40,[1]EstimatedStockData!$B$2:$G$14, D$15,FALSE),""),"")</f>
        <v>160.09</v>
      </c>
      <c r="E40">
        <f>IFERROR(IF(LEFT($B40,1)&lt;&gt;"X", VLOOKUP($B40,[1]EstimatedStockData!$B$2:$G$14, E$15,FALSE),VLOOKUP($B40, [2]EstimatedETFData!$C$2:$F$10, C$15,FALSE)),"")</f>
        <v>0.157163063969881</v>
      </c>
      <c r="F40">
        <f>IFERROR(IF(LEFT($B40,1)&lt;&gt;"X", VLOOKUP($B40,[1]EstimatedStockData!$B$2:$G$14, F$15,FALSE),VLOOKUP($B40, [2]EstimatedETFData!$C$2:$F$10, D$15,FALSE)),"")</f>
        <v>0.24445641668448101</v>
      </c>
      <c r="G40" s="11">
        <f t="shared" si="1"/>
        <v>0.64290831920657165</v>
      </c>
      <c r="H40" s="2">
        <f>G40/$G$43*0.2 -VLOOKUP($B40,Table1[[Ticker]:[S&amp;P 500]],7,FALSE)</f>
        <v>0.19749150538765778</v>
      </c>
      <c r="I40" s="4">
        <f>H40*VLOOKUP($A$40,$A$5:$B$12,2,FALSE)</f>
        <v>175086.094101428</v>
      </c>
      <c r="J40" s="2">
        <f t="shared" si="2"/>
        <v>2.0598364011932706E-2</v>
      </c>
      <c r="M40">
        <f>IFERROR(IF(LEFT($B40,1)&lt;&gt;"X", VLOOKUP($B40,[1]EstimatedStockData!$B$2:$G$14, M$15,FALSE),VLOOKUP($B40, [2]EstimatedETFData!$C$2:$F$10, E$15,FALSE)),"")</f>
        <v>1.0890683997942601</v>
      </c>
      <c r="N40">
        <f t="shared" si="4"/>
        <v>2.2433027332855227E-2</v>
      </c>
      <c r="P40" t="str">
        <f t="shared" si="3"/>
        <v>Y</v>
      </c>
    </row>
    <row r="41" spans="1:16" x14ac:dyDescent="0.3">
      <c r="A41" s="11"/>
      <c r="B41" s="11" t="s">
        <v>66</v>
      </c>
      <c r="C41">
        <f>IFERROR(IF(LEFT($B41,1)&lt;&gt;"X", VLOOKUP($B41,[1]EstimatedStockData!$B$2:$G$14, C$15,FALSE),""),"")</f>
        <v>6.69</v>
      </c>
      <c r="D41">
        <f>IFERROR(IF(LEFT($B41,1)&lt;&gt;"X", VLOOKUP($B41,[1]EstimatedStockData!$B$2:$G$14, D$15,FALSE),""),"")</f>
        <v>7.81</v>
      </c>
      <c r="E41">
        <f>IFERROR(IF(LEFT($B41,1)&lt;&gt;"X", VLOOKUP($B41,[1]EstimatedStockData!$B$2:$G$14, E$15,FALSE),VLOOKUP($B41, [2]EstimatedETFData!$C$2:$F$10, C$15,FALSE)),"")</f>
        <v>0.114426223091283</v>
      </c>
      <c r="F41">
        <f>IFERROR(IF(LEFT($B41,1)&lt;&gt;"X", VLOOKUP($B41,[1]EstimatedStockData!$B$2:$G$14, F$15,FALSE),VLOOKUP($B41, [2]EstimatedETFData!$C$2:$F$10, D$15,FALSE)),"")</f>
        <v>0.28412978238887598</v>
      </c>
      <c r="G41" s="11">
        <f t="shared" si="1"/>
        <v>0.40272519877790508</v>
      </c>
      <c r="H41" s="2" t="e">
        <f>G41/$G$43*0.2 -VLOOKUP($B41,Table1[[Ticker]:[S&amp;P 500]],7,FALSE)</f>
        <v>#N/A</v>
      </c>
      <c r="I41" s="4" t="e">
        <f>H41*VLOOKUP($A$40,$A$5:$B$12,2,FALSE)</f>
        <v>#N/A</v>
      </c>
      <c r="J41" s="2" t="str">
        <f t="shared" si="2"/>
        <v/>
      </c>
      <c r="M41">
        <f>IFERROR(IF(LEFT($B41,1)&lt;&gt;"X", VLOOKUP($B41,[1]EstimatedStockData!$B$2:$G$14, M$15,FALSE),VLOOKUP($B41, [2]EstimatedETFData!$C$2:$F$10, E$15,FALSE)),"")</f>
        <v>0.76359759130976201</v>
      </c>
      <c r="N41" t="e">
        <f t="shared" ref="N41" si="5">M41*J41</f>
        <v>#VALUE!</v>
      </c>
      <c r="P41" t="str">
        <f t="shared" si="3"/>
        <v>Y</v>
      </c>
    </row>
    <row r="42" spans="1:16" x14ac:dyDescent="0.3">
      <c r="B42" t="s">
        <v>14</v>
      </c>
      <c r="C42">
        <f>IFERROR(IF(LEFT($B42,1)&lt;&gt;"X", VLOOKUP($B42,[1]EstimatedStockData!$B$2:$G$14, C$15,FALSE),""),"")</f>
        <v>105.14</v>
      </c>
      <c r="D42">
        <f>IFERROR(IF(LEFT($B42,1)&lt;&gt;"X", VLOOKUP($B42,[1]EstimatedStockData!$B$2:$G$14, D$15,FALSE),""),"")</f>
        <v>107.5</v>
      </c>
      <c r="E42">
        <f>IFERROR(IF(LEFT($B42,1)&lt;&gt;"X", VLOOKUP($B42,[1]EstimatedStockData!$B$2:$G$14, E$15,FALSE),VLOOKUP($B42, [2]EstimatedETFData!$C$2:$F$10, C$15,FALSE)),"")</f>
        <v>-1.3230402666332E-2</v>
      </c>
      <c r="F42">
        <f>IFERROR(IF(LEFT($B42,1)&lt;&gt;"X", VLOOKUP($B42,[1]EstimatedStockData!$B$2:$G$14, F$15,FALSE),VLOOKUP($B42, [2]EstimatedETFData!$C$2:$F$10, D$15,FALSE)),"")</f>
        <v>0.26618961227947102</v>
      </c>
      <c r="G42" s="11">
        <f t="shared" si="1"/>
        <v>-4.9702926245076287E-2</v>
      </c>
      <c r="H42" s="2">
        <f>G42/$G$43*0.2 -VLOOKUP($B42,Table1[[Ticker]:[S&amp;P 500]],7,FALSE)</f>
        <v>-2.5692197645177481E-2</v>
      </c>
      <c r="I42" s="4">
        <f>H42*VLOOKUP($A$40,$A$5:$B$12,2,FALSE)</f>
        <v>-22777.417822332096</v>
      </c>
      <c r="J42" s="2">
        <f t="shared" si="2"/>
        <v>-2.6796962143920112E-3</v>
      </c>
      <c r="M42">
        <f>IFERROR(IF(LEFT($B42,1)&lt;&gt;"X", VLOOKUP($B42,[1]EstimatedStockData!$B$2:$G$14, M$15,FALSE),VLOOKUP($B42, [2]EstimatedETFData!$C$2:$F$10, E$15,FALSE)),"")</f>
        <v>1.23953750616895</v>
      </c>
      <c r="N42">
        <f t="shared" si="4"/>
        <v>-3.3215839628778494E-3</v>
      </c>
      <c r="P42" t="str">
        <f t="shared" si="3"/>
        <v>Y</v>
      </c>
    </row>
    <row r="43" spans="1:16" x14ac:dyDescent="0.3">
      <c r="B43" t="s">
        <v>33</v>
      </c>
      <c r="C43" t="str">
        <f>IFERROR(IF(LEFT($B43,1)&lt;&gt;"X", VLOOKUP($B43,[1]EstimatedStockData!$B$2:$G$14, C$15,FALSE),""),"")</f>
        <v/>
      </c>
      <c r="D43" t="str">
        <f>IFERROR(IF(LEFT($B43,1)&lt;&gt;"X", VLOOKUP($B43,[1]EstimatedStockData!$B$2:$G$14, D$15,FALSE),""),"")</f>
        <v/>
      </c>
      <c r="E43">
        <f>IFERROR(IF(LEFT($B43,1)&lt;&gt;"X", VLOOKUP($B43,[1]EstimatedStockData!$B$2:$G$14, E$15,FALSE),VLOOKUP($B43, [2]EstimatedETFData!$C$2:$F$10, C$15,FALSE)),"")</f>
        <v>8.8673650092958703E-2</v>
      </c>
      <c r="F43">
        <f>IFERROR(IF(LEFT($B43,1)&lt;&gt;"X", VLOOKUP($B43,[1]EstimatedStockData!$B$2:$G$14, F$15,FALSE),VLOOKUP($B43, [2]EstimatedETFData!$C$2:$F$10, D$15,FALSE)),"")</f>
        <v>0.15947672410521399</v>
      </c>
      <c r="G43" s="11">
        <f t="shared" si="1"/>
        <v>0.55602879097552005</v>
      </c>
      <c r="H43" s="2" t="e">
        <f>1- SUM(H40:H42)</f>
        <v>#N/A</v>
      </c>
      <c r="I43" s="4" t="e">
        <f>H43*VLOOKUP($A$40,$A$5:$B$12,2,FALSE)</f>
        <v>#N/A</v>
      </c>
      <c r="J43" s="2" t="str">
        <f t="shared" si="2"/>
        <v/>
      </c>
      <c r="M43">
        <f>IFERROR(IF(LEFT($B43,1)&lt;&gt;"X", VLOOKUP($B43,[1]EstimatedStockData!$B$2:$G$14, M$15,FALSE),VLOOKUP($B43, [2]EstimatedETFData!$C$2:$F$10, E$15,FALSE)),"")</f>
        <v>1.12761826921678</v>
      </c>
      <c r="N43" t="e">
        <f t="shared" si="4"/>
        <v>#VALUE!</v>
      </c>
      <c r="P43" t="str">
        <f t="shared" si="3"/>
        <v>N</v>
      </c>
    </row>
    <row r="44" spans="1:16" x14ac:dyDescent="0.3">
      <c r="C44" t="str">
        <f>IFERROR(IF(LEFT($B44,1)&lt;&gt;"X", VLOOKUP($B44,[1]EstimatedStockData!$B$2:$G$14, C$15,FALSE),""),"")</f>
        <v/>
      </c>
      <c r="D44" t="str">
        <f>IFERROR(IF(LEFT($B44,1)&lt;&gt;"X", VLOOKUP($B44,[1]EstimatedStockData!$B$2:$G$14, D$15,FALSE),""),"")</f>
        <v/>
      </c>
      <c r="E44" t="str">
        <f>IFERROR(IF(LEFT($B44,1)&lt;&gt;"X", VLOOKUP($B44,[1]EstimatedStockData!$B$2:$G$14, E$15,FALSE),VLOOKUP($B44, [2]EstimatedETFData!$C$2:$F$10, C$15,FALSE)),"")</f>
        <v/>
      </c>
      <c r="F44" t="str">
        <f>IFERROR(IF(LEFT($B44,1)&lt;&gt;"X", VLOOKUP($B44,[1]EstimatedStockData!$B$2:$G$14, F$15,FALSE),VLOOKUP($B44, [2]EstimatedETFData!$C$2:$F$10, D$15,FALSE)),"")</f>
        <v/>
      </c>
      <c r="G44" s="11" t="str">
        <f t="shared" si="1"/>
        <v/>
      </c>
      <c r="H44" s="2"/>
      <c r="I44" s="18" t="s">
        <v>68</v>
      </c>
      <c r="J44" s="2" t="str">
        <f t="shared" si="2"/>
        <v/>
      </c>
      <c r="M44" t="str">
        <f>IFERROR(IF(LEFT($B44,1)&lt;&gt;"X", VLOOKUP($B44,[1]EstimatedStockData!$B$2:$G$14, M$15,FALSE),VLOOKUP($B44, [2]EstimatedETFData!$C$2:$F$10, E$15,FALSE)),"")</f>
        <v/>
      </c>
      <c r="P44" t="str">
        <f t="shared" si="3"/>
        <v>N</v>
      </c>
    </row>
    <row r="45" spans="1:16" x14ac:dyDescent="0.3">
      <c r="A45" s="11" t="s">
        <v>40</v>
      </c>
      <c r="B45" s="11" t="s">
        <v>10</v>
      </c>
      <c r="C45">
        <f>IFERROR(IF(LEFT($B45,1)&lt;&gt;"X", VLOOKUP($B45,[1]EstimatedStockData!$B$2:$G$14, C$15,FALSE),""),"")</f>
        <v>38.93</v>
      </c>
      <c r="D45">
        <f>IFERROR(IF(LEFT($B45,1)&lt;&gt;"X", VLOOKUP($B45,[1]EstimatedStockData!$B$2:$G$14, D$15,FALSE),""),"")</f>
        <v>40</v>
      </c>
      <c r="E45">
        <f>IFERROR(IF(LEFT($B45,1)&lt;&gt;"X", VLOOKUP($B45,[1]EstimatedStockData!$B$2:$G$14, E$15,FALSE),VLOOKUP($B45, [2]EstimatedETFData!$C$2:$F$10, C$15,FALSE)),"")</f>
        <v>-1.0307665574768501E-2</v>
      </c>
      <c r="F45">
        <f>IFERROR(IF(LEFT($B45,1)&lt;&gt;"X", VLOOKUP($B45,[1]EstimatedStockData!$B$2:$G$14, F$15,FALSE),VLOOKUP($B45, [2]EstimatedETFData!$C$2:$F$10, D$15,FALSE)),"")</f>
        <v>0.27357616148466102</v>
      </c>
      <c r="G45" s="11">
        <f t="shared" si="1"/>
        <v>-3.7677499087750144E-2</v>
      </c>
      <c r="H45" s="2">
        <f>G45/$G$49 *0.2 - VLOOKUP($B45,Table1[[Ticker]:[S&amp;P 500]],7,FALSE)</f>
        <v>-1.5573487677328659E-2</v>
      </c>
      <c r="I45" s="4">
        <f>H45*VLOOKUP($A$45,$A$5:$B$12,2,FALSE)</f>
        <v>-28434.073801266666</v>
      </c>
      <c r="J45" s="2">
        <f t="shared" si="2"/>
        <v>-3.345185153090196E-3</v>
      </c>
      <c r="M45">
        <f>IFERROR(IF(LEFT($B45,1)&lt;&gt;"X", VLOOKUP($B45,[1]EstimatedStockData!$B$2:$G$14, M$15,FALSE),VLOOKUP($B45, [2]EstimatedETFData!$C$2:$F$10, E$15,FALSE)),"")</f>
        <v>0.461499985052225</v>
      </c>
      <c r="N45">
        <f t="shared" si="4"/>
        <v>-1.5438028981480504E-3</v>
      </c>
      <c r="P45" t="str">
        <f t="shared" si="3"/>
        <v>Y</v>
      </c>
    </row>
    <row r="46" spans="1:16" x14ac:dyDescent="0.3">
      <c r="A46" s="11"/>
      <c r="B46" s="11" t="s">
        <v>15</v>
      </c>
      <c r="C46">
        <f>IFERROR(IF(LEFT($B46,1)&lt;&gt;"X", VLOOKUP($B46,[1]EstimatedStockData!$B$2:$G$14, C$15,FALSE),""),"")</f>
        <v>48.23</v>
      </c>
      <c r="D46">
        <f>IFERROR(IF(LEFT($B46,1)&lt;&gt;"X", VLOOKUP($B46,[1]EstimatedStockData!$B$2:$G$14, D$15,FALSE),""),"")</f>
        <v>48</v>
      </c>
      <c r="E46">
        <f>IFERROR(IF(LEFT($B46,1)&lt;&gt;"X", VLOOKUP($B46,[1]EstimatedStockData!$B$2:$G$14, E$15,FALSE),VLOOKUP($B46, [2]EstimatedETFData!$C$2:$F$10, C$15,FALSE)),"")</f>
        <v>-6.3464052870701101E-2</v>
      </c>
      <c r="F46">
        <f>IFERROR(IF(LEFT($B46,1)&lt;&gt;"X", VLOOKUP($B46,[1]EstimatedStockData!$B$2:$G$14, F$15,FALSE),VLOOKUP($B46, [2]EstimatedETFData!$C$2:$F$10, D$15,FALSE)),"")</f>
        <v>0.34258963702281398</v>
      </c>
      <c r="G46" s="11">
        <f t="shared" si="1"/>
        <v>-0.18524802274294963</v>
      </c>
      <c r="H46" s="2">
        <f>G46/$G$49 *0.2 - VLOOKUP($B46,Table1[[Ticker]:[S&amp;P 500]],7,FALSE)</f>
        <v>-5.6879664410305002E-2</v>
      </c>
      <c r="I46" s="4">
        <f>H46*VLOOKUP($A$45,$A$5:$B$12,2,FALSE)</f>
        <v>-103850.89128033486</v>
      </c>
      <c r="J46" s="2">
        <f t="shared" si="2"/>
        <v>-1.2217751915333513E-2</v>
      </c>
      <c r="M46">
        <f>IFERROR(IF(LEFT($B46,1)&lt;&gt;"X", VLOOKUP($B46,[1]EstimatedStockData!$B$2:$G$14, M$15,FALSE),VLOOKUP($B46, [2]EstimatedETFData!$C$2:$F$10, E$15,FALSE)),"")</f>
        <v>0.78494979270527099</v>
      </c>
      <c r="N46">
        <f t="shared" si="4"/>
        <v>-9.5903218332654677E-3</v>
      </c>
      <c r="P46" t="str">
        <f t="shared" si="3"/>
        <v>Y</v>
      </c>
    </row>
    <row r="47" spans="1:16" x14ac:dyDescent="0.3">
      <c r="B47" t="s">
        <v>30</v>
      </c>
      <c r="C47" t="str">
        <f>IFERROR(IF(LEFT($B47,1)&lt;&gt;"X", VLOOKUP($B47,[1]EstimatedStockData!$B$2:$G$14, C$15,FALSE),""),"")</f>
        <v/>
      </c>
      <c r="D47" t="str">
        <f>IFERROR(IF(LEFT($B47,1)&lt;&gt;"X", VLOOKUP($B47,[1]EstimatedStockData!$B$2:$G$14, D$15,FALSE),""),"")</f>
        <v/>
      </c>
      <c r="E47">
        <f>IFERROR(IF(LEFT($B47,1)&lt;&gt;"X", VLOOKUP($B47,[1]EstimatedStockData!$B$2:$G$14, E$15,FALSE),VLOOKUP($B47, [2]EstimatedETFData!$C$2:$F$10, C$15,FALSE)),"")</f>
        <v>9.7988053226108304E-2</v>
      </c>
      <c r="F47">
        <f>IFERROR(IF(LEFT($B47,1)&lt;&gt;"X", VLOOKUP($B47,[1]EstimatedStockData!$B$2:$G$14, F$15,FALSE),VLOOKUP($B47, [2]EstimatedETFData!$C$2:$F$10, D$15,FALSE)),"")</f>
        <v>0.11451535551683099</v>
      </c>
      <c r="G47" s="11">
        <f t="shared" si="1"/>
        <v>0.855676103731839</v>
      </c>
      <c r="H47" s="2">
        <f>ETFS!G6/(ETFS!G6+ETFS!G7)*H49</f>
        <v>0.48779642904544607</v>
      </c>
      <c r="I47" s="4">
        <f>H47*VLOOKUP($A$45,$A$5:$B$12,2,FALSE)</f>
        <v>890618.7201511754</v>
      </c>
      <c r="J47" s="2">
        <f t="shared" si="2"/>
        <v>0.10477867295896182</v>
      </c>
      <c r="M47">
        <f>IFERROR(IF(LEFT($B47,1)&lt;&gt;"X", VLOOKUP($B47,[1]EstimatedStockData!$B$2:$G$14, M$15,FALSE),VLOOKUP($B47, [2]EstimatedETFData!$C$2:$F$10, E$15,FALSE)),"")</f>
        <v>0.63370798606517897</v>
      </c>
      <c r="N47">
        <f t="shared" si="4"/>
        <v>6.6399081823405717E-2</v>
      </c>
      <c r="P47" t="str">
        <f t="shared" si="3"/>
        <v>N</v>
      </c>
    </row>
    <row r="48" spans="1:16" x14ac:dyDescent="0.3">
      <c r="B48" t="s">
        <v>34</v>
      </c>
      <c r="C48" t="str">
        <f>IFERROR(IF(LEFT($B48,1)&lt;&gt;"X", VLOOKUP($B48,[1]EstimatedStockData!$B$2:$G$14, C$15,FALSE),""),"")</f>
        <v/>
      </c>
      <c r="D48" t="str">
        <f>IFERROR(IF(LEFT($B48,1)&lt;&gt;"X", VLOOKUP($B48,[1]EstimatedStockData!$B$2:$G$14, D$15,FALSE),""),"")</f>
        <v/>
      </c>
      <c r="E48">
        <f>IFERROR(IF(LEFT($B48,1)&lt;&gt;"X", VLOOKUP($B48,[1]EstimatedStockData!$B$2:$G$14, E$15,FALSE),VLOOKUP($B48, [2]EstimatedETFData!$C$2:$F$10, C$15,FALSE)),"")</f>
        <v>8.7442958934390996E-2</v>
      </c>
      <c r="F48">
        <f>IFERROR(IF(LEFT($B48,1)&lt;&gt;"X", VLOOKUP($B48,[1]EstimatedStockData!$B$2:$G$14, F$15,FALSE),VLOOKUP($B48, [2]EstimatedETFData!$C$2:$F$10, D$15,FALSE)),"")</f>
        <v>0.15674086071243001</v>
      </c>
      <c r="G48" s="11">
        <f t="shared" si="1"/>
        <v>0.55788234501800538</v>
      </c>
      <c r="H48" s="2">
        <f>ETFS!G7/(ETFS!G6+ETFS!G7)*H49</f>
        <v>0.58465672304218763</v>
      </c>
      <c r="I48" s="4">
        <f>H48*VLOOKUP($A$45,$A$5:$B$12,2,FALSE)</f>
        <v>1067466.2449304261</v>
      </c>
      <c r="J48" s="2">
        <f t="shared" si="2"/>
        <v>0.12558426410946189</v>
      </c>
      <c r="M48">
        <f>IFERROR(IF(LEFT($B48,1)&lt;&gt;"X", VLOOKUP($B48,[1]EstimatedStockData!$B$2:$G$14, M$15,FALSE),VLOOKUP($B48, [2]EstimatedETFData!$C$2:$F$10, E$15,FALSE)),"")</f>
        <v>1.0929361207803501</v>
      </c>
      <c r="N48">
        <f t="shared" si="4"/>
        <v>0.13725557844685021</v>
      </c>
      <c r="P48" t="str">
        <f t="shared" si="3"/>
        <v>N</v>
      </c>
    </row>
    <row r="49" spans="1:16" x14ac:dyDescent="0.3">
      <c r="B49" s="1" t="s">
        <v>52</v>
      </c>
      <c r="C49" t="str">
        <f>IFERROR(IF(LEFT($B49,1)&lt;&gt;"X", VLOOKUP($B49,[1]EstimatedStockData!$B$2:$G$14, C$15,FALSE),""),"")</f>
        <v/>
      </c>
      <c r="D49" t="str">
        <f>IFERROR(IF(LEFT($B49,1)&lt;&gt;"X", VLOOKUP($B49,[1]EstimatedStockData!$B$2:$G$14, D$15,FALSE),""),"")</f>
        <v/>
      </c>
      <c r="E49" t="str">
        <f>IFERROR(IF(LEFT($B49,1)&lt;&gt;"X", VLOOKUP($B49,[1]EstimatedStockData!$B$2:$G$14, E$15,FALSE),VLOOKUP($B49, [2]EstimatedETFData!$C$2:$F$10, C$15,FALSE)),"")</f>
        <v/>
      </c>
      <c r="F49" t="str">
        <f>IFERROR(IF(LEFT($B49,1)&lt;&gt;"X", VLOOKUP($B49,[1]EstimatedStockData!$B$2:$G$14, F$15,FALSE),VLOOKUP($B49, [2]EstimatedETFData!$C$2:$F$10, D$15,FALSE)),"")</f>
        <v/>
      </c>
      <c r="G49" s="13">
        <f>(ETFS!G6/SUM(ETFS!G6:G7))*G47+(ETFS!G7/SUM(ETFS!G6:G7))*G48</f>
        <v>0.69333136841810572</v>
      </c>
      <c r="H49" s="2">
        <f>1 - SUM(H45:H46)</f>
        <v>1.0724531520876337</v>
      </c>
      <c r="I49" s="19" t="s">
        <v>68</v>
      </c>
      <c r="J49" s="2" t="str">
        <f t="shared" si="2"/>
        <v/>
      </c>
      <c r="P49" t="str">
        <f t="shared" si="3"/>
        <v>Y</v>
      </c>
    </row>
    <row r="50" spans="1:16" x14ac:dyDescent="0.3">
      <c r="A50" s="14"/>
      <c r="B50" s="15"/>
      <c r="C50" s="14"/>
      <c r="D50" s="14"/>
      <c r="E50" s="14"/>
      <c r="F50" s="14"/>
      <c r="G50" s="14"/>
      <c r="H50" s="16"/>
      <c r="I50" s="14"/>
      <c r="J50" s="14"/>
      <c r="K50" s="14"/>
      <c r="L50" s="14"/>
      <c r="N50" s="14"/>
    </row>
    <row r="51" spans="1:16" x14ac:dyDescent="0.3">
      <c r="A51" t="s">
        <v>58</v>
      </c>
      <c r="H51" s="2"/>
      <c r="I51" s="4" t="e">
        <f>SUM(I17:I49)</f>
        <v>#N/A</v>
      </c>
      <c r="J51" s="3">
        <f>SUM(J17:J49)</f>
        <v>0.9135186677975401</v>
      </c>
      <c r="K51" s="3">
        <f ca="1">SUMIF($P$17:$P$49, "=Y",J17:J48)</f>
        <v>2.8309837852892628</v>
      </c>
      <c r="L51" s="3">
        <f>SUM(J19,J21,J24,J28,J33,J38,J43,J47:J48)</f>
        <v>-1.9174651174917225</v>
      </c>
      <c r="N51" t="e">
        <f>SUM(N17:N50)</f>
        <v>#VALUE!</v>
      </c>
    </row>
    <row r="52" spans="1:16" x14ac:dyDescent="0.3">
      <c r="H52" s="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EstimatedData</vt:lpstr>
      <vt:lpstr>ETFS</vt:lpstr>
      <vt:lpstr>Allocation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kevinhu</dc:creator>
  <cp:lastModifiedBy>kevinhu</cp:lastModifiedBy>
  <dcterms:created xsi:type="dcterms:W3CDTF">2014-10-28T05:03:48Z</dcterms:created>
  <dcterms:modified xsi:type="dcterms:W3CDTF">2014-11-25T14:15:09Z</dcterms:modified>
</cp:coreProperties>
</file>