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492" activeTab="2"/>
  </bookViews>
  <sheets>
    <sheet name="Stocks" sheetId="1" r:id="rId1"/>
    <sheet name="ETFS" sheetId="2" r:id="rId2"/>
    <sheet name="Allocation" sheetId="3" r:id="rId3"/>
  </sheets>
  <calcPr calcId="144525"/>
  <fileRecoveryPr repairLoad="1"/>
</workbook>
</file>

<file path=xl/calcChain.xml><?xml version="1.0" encoding="utf-8"?>
<calcChain xmlns="http://schemas.openxmlformats.org/spreadsheetml/2006/main">
  <c r="J30" i="3" l="1"/>
  <c r="J29" i="3"/>
  <c r="G27" i="3"/>
  <c r="H27" i="3" s="1"/>
  <c r="G46" i="3" l="1"/>
  <c r="H37" i="3"/>
  <c r="H38" i="3"/>
  <c r="H34" i="3"/>
  <c r="H33" i="3"/>
  <c r="H16" i="3"/>
  <c r="H24" i="3"/>
  <c r="H22" i="3"/>
  <c r="H17" i="3"/>
  <c r="D30" i="1"/>
  <c r="D29" i="1"/>
  <c r="C30" i="1"/>
  <c r="C29" i="1"/>
  <c r="C20" i="1"/>
  <c r="D20" i="1" s="1"/>
  <c r="C13" i="1"/>
  <c r="D13" i="1" s="1"/>
  <c r="C8" i="1"/>
  <c r="D8" i="1" s="1"/>
  <c r="C32" i="1"/>
  <c r="D15" i="1" s="1"/>
  <c r="H1" i="3"/>
  <c r="B2" i="3"/>
  <c r="B5" i="3" s="1"/>
  <c r="H40" i="3" l="1"/>
  <c r="C6" i="1"/>
  <c r="D6" i="1" s="1"/>
  <c r="D2" i="1"/>
  <c r="D24" i="1"/>
  <c r="D18" i="1"/>
  <c r="D27" i="1"/>
  <c r="C11" i="1"/>
  <c r="D11" i="1" s="1"/>
  <c r="C25" i="1"/>
  <c r="D25" i="1" s="1"/>
  <c r="D19" i="1"/>
  <c r="D14" i="1"/>
  <c r="C4" i="1"/>
  <c r="D4" i="1" s="1"/>
  <c r="C16" i="1"/>
  <c r="D16" i="1" s="1"/>
  <c r="D3" i="1"/>
  <c r="D22" i="1"/>
  <c r="D28" i="1"/>
  <c r="B12" i="3"/>
  <c r="B10" i="3"/>
  <c r="B8" i="3"/>
  <c r="B11" i="3"/>
  <c r="I34" i="3" s="1"/>
  <c r="B7" i="3"/>
  <c r="B6" i="3"/>
  <c r="B9" i="3"/>
  <c r="I38" i="3" s="1"/>
  <c r="I40" i="3" l="1"/>
  <c r="I33" i="3"/>
  <c r="I37" i="3"/>
  <c r="B13" i="3"/>
  <c r="E1" i="3" s="1"/>
  <c r="E3" i="3" s="1"/>
  <c r="J37" i="3" l="1"/>
  <c r="J38" i="3"/>
  <c r="N38" i="3" s="1"/>
  <c r="J40" i="3"/>
  <c r="J34" i="3"/>
  <c r="J33" i="3"/>
  <c r="I17" i="3" l="1"/>
  <c r="J17" i="3" l="1"/>
  <c r="N17" i="3" s="1"/>
  <c r="A5" i="2" l="1"/>
  <c r="A2" i="2"/>
  <c r="H18" i="3"/>
  <c r="I43" i="3" l="1"/>
  <c r="I39" i="3"/>
  <c r="I42" i="3"/>
  <c r="H20" i="3"/>
  <c r="G20" i="3"/>
  <c r="G48" i="3" s="1"/>
  <c r="H29" i="3" l="1"/>
  <c r="H28" i="3"/>
  <c r="H30" i="3"/>
  <c r="H46" i="3"/>
  <c r="H44" i="3" s="1"/>
  <c r="I44" i="3" s="1"/>
  <c r="J44" i="3" s="1"/>
  <c r="I24" i="3"/>
  <c r="J24" i="3" s="1"/>
  <c r="H45" i="3"/>
  <c r="I45" i="3" s="1"/>
  <c r="J45" i="3" s="1"/>
  <c r="I20" i="3"/>
  <c r="N34" i="3"/>
  <c r="H35" i="3"/>
  <c r="I35" i="3" s="1"/>
  <c r="J35" i="3" s="1"/>
  <c r="I27" i="3" l="1"/>
  <c r="J27" i="3" s="1"/>
  <c r="N40" i="3"/>
  <c r="J20" i="3"/>
  <c r="N20" i="3" s="1"/>
  <c r="H25" i="3"/>
  <c r="I25" i="3" s="1"/>
  <c r="I22" i="3"/>
  <c r="I18" i="3"/>
  <c r="J18" i="3" s="1"/>
  <c r="I16" i="3"/>
  <c r="J16" i="3" s="1"/>
  <c r="I29" i="3"/>
  <c r="N29" i="3" s="1"/>
  <c r="N43" i="3"/>
  <c r="N42" i="3"/>
  <c r="N44" i="3"/>
  <c r="N45" i="3"/>
  <c r="I30" i="3"/>
  <c r="N30" i="3" s="1"/>
  <c r="I28" i="3"/>
  <c r="N39" i="3"/>
  <c r="N35" i="3"/>
  <c r="N27" i="3"/>
  <c r="K49" i="3" l="1"/>
  <c r="J28" i="3"/>
  <c r="N28" i="3" s="1"/>
  <c r="J25" i="3"/>
  <c r="N25" i="3" s="1"/>
  <c r="J22" i="3"/>
  <c r="N22" i="3" s="1"/>
  <c r="N18" i="3"/>
  <c r="N37" i="3"/>
  <c r="N33" i="3"/>
  <c r="N16" i="3"/>
  <c r="I49" i="3"/>
  <c r="N24" i="3"/>
  <c r="L49" i="3" l="1"/>
  <c r="N49" i="3"/>
  <c r="J49" i="3"/>
</calcChain>
</file>

<file path=xl/sharedStrings.xml><?xml version="1.0" encoding="utf-8"?>
<sst xmlns="http://schemas.openxmlformats.org/spreadsheetml/2006/main" count="176" uniqueCount="77">
  <si>
    <t>Ticker</t>
  </si>
  <si>
    <t>Current.Price</t>
  </si>
  <si>
    <t>Target.Price</t>
  </si>
  <si>
    <t>Expected.Return</t>
  </si>
  <si>
    <t>Estimated.Volatility</t>
  </si>
  <si>
    <t>EOG</t>
  </si>
  <si>
    <t>SNY</t>
  </si>
  <si>
    <t>WFC</t>
  </si>
  <si>
    <t>TD</t>
  </si>
  <si>
    <t>CELG</t>
  </si>
  <si>
    <t>ATD-B.TO</t>
  </si>
  <si>
    <t>MHH</t>
  </si>
  <si>
    <t>BA</t>
  </si>
  <si>
    <t>MGA</t>
  </si>
  <si>
    <t>WFM</t>
  </si>
  <si>
    <t>AMP</t>
  </si>
  <si>
    <t>Weight</t>
  </si>
  <si>
    <t>XLE</t>
  </si>
  <si>
    <t xml:space="preserve">Sector </t>
  </si>
  <si>
    <t>Capital</t>
  </si>
  <si>
    <t xml:space="preserve">Energy </t>
  </si>
  <si>
    <t>Utilities</t>
  </si>
  <si>
    <t>XLU</t>
  </si>
  <si>
    <t>XLK</t>
  </si>
  <si>
    <t>Tech</t>
  </si>
  <si>
    <t xml:space="preserve">Materials </t>
  </si>
  <si>
    <t>XLB</t>
  </si>
  <si>
    <t>Consumer Stapes</t>
  </si>
  <si>
    <t>XLP</t>
  </si>
  <si>
    <t>Consumer Discretionary</t>
  </si>
  <si>
    <t xml:space="preserve">Industrials </t>
  </si>
  <si>
    <t>XLI</t>
  </si>
  <si>
    <t>XLY</t>
  </si>
  <si>
    <t>Health Care</t>
  </si>
  <si>
    <t>XLV</t>
  </si>
  <si>
    <t>XLF</t>
  </si>
  <si>
    <t xml:space="preserve">Financials </t>
  </si>
  <si>
    <t>HHIC Sector</t>
  </si>
  <si>
    <t>Consumers</t>
  </si>
  <si>
    <t>FIG</t>
  </si>
  <si>
    <t>Neutral Allocation</t>
  </si>
  <si>
    <t>Equity Allocation</t>
  </si>
  <si>
    <t>\</t>
  </si>
  <si>
    <t>E/R</t>
  </si>
  <si>
    <t>Market Cap(mm)</t>
  </si>
  <si>
    <t>Industrials</t>
  </si>
  <si>
    <t>Sector Allocation%</t>
  </si>
  <si>
    <t>Total Allocation%</t>
  </si>
  <si>
    <t>Total Allocation $</t>
  </si>
  <si>
    <t>VNQ</t>
  </si>
  <si>
    <t xml:space="preserve">Cash </t>
  </si>
  <si>
    <t>Total</t>
  </si>
  <si>
    <t>Active Holding</t>
  </si>
  <si>
    <t>ETF Holdings</t>
  </si>
  <si>
    <t>Beta</t>
  </si>
  <si>
    <t>Energy</t>
  </si>
  <si>
    <t>Beta Weights</t>
  </si>
  <si>
    <t>KMI</t>
  </si>
  <si>
    <t>Margin</t>
  </si>
  <si>
    <t>Net Cash</t>
  </si>
  <si>
    <t xml:space="preserve">THINGS MIGHT BE A LITTLE OFF BECAUSE I COULD ONLY GET THE PORTFOLIO VALUE AS OF 0;00 NOV24. just use your judgement in adjusting the portfolio </t>
  </si>
  <si>
    <t>Sector</t>
  </si>
  <si>
    <t>SPX</t>
  </si>
  <si>
    <t xml:space="preserve">S&amp;P500 </t>
  </si>
  <si>
    <t xml:space="preserve">Unitility </t>
  </si>
  <si>
    <t>Materials</t>
  </si>
  <si>
    <t>*</t>
  </si>
  <si>
    <t>CAS.TO</t>
  </si>
  <si>
    <t>Not on S&amp;P500</t>
  </si>
  <si>
    <t>Aggressive Factor</t>
  </si>
  <si>
    <t/>
  </si>
  <si>
    <t xml:space="preserve">Override the tech sector with SPR becase we get allocations of 1000% due to the weak </t>
  </si>
  <si>
    <t>All</t>
  </si>
  <si>
    <t>WE ARE GETTING SO CLOSE TO OUR TARGET THAT THE EXPECTED RETURN IS NEGATIVE. Close the position</t>
  </si>
  <si>
    <t>Consumer Agg</t>
  </si>
  <si>
    <t>so close that its negative</t>
  </si>
  <si>
    <t xml:space="preserve">hit, tell associates to generate more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</si>
</sst>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" fontId="18" fillId="0" borderId="0" xfId="44" applyNumberFormat="1"/>
    <xf numFmtId="3" fontId="19" fillId="0" borderId="0" xfId="0" applyNumberFormat="1" applyFont="1"/>
    <xf numFmtId="2" fontId="0" fillId="0" borderId="0" xfId="2" applyNumberFormat="1" applyFont="1"/>
    <xf numFmtId="4" fontId="0" fillId="0" borderId="0" xfId="0" applyNumberFormat="1"/>
    <xf numFmtId="0" fontId="0" fillId="0" borderId="0" xfId="0" applyFont="1"/>
    <xf numFmtId="0" fontId="0" fillId="0" borderId="10" xfId="0" applyFont="1" applyBorder="1"/>
    <xf numFmtId="165" fontId="0" fillId="0" borderId="0" xfId="2" applyNumberFormat="1" applyFont="1"/>
    <xf numFmtId="0" fontId="0" fillId="0" borderId="11" xfId="0" applyBorder="1"/>
    <xf numFmtId="44" fontId="0" fillId="0" borderId="11" xfId="1" applyFont="1" applyBorder="1"/>
    <xf numFmtId="10" fontId="0" fillId="0" borderId="11" xfId="2" applyNumberFormat="1" applyFont="1" applyBorder="1"/>
    <xf numFmtId="0" fontId="7" fillId="3" borderId="0" xfId="9"/>
    <xf numFmtId="0" fontId="6" fillId="2" borderId="0" xfId="8"/>
    <xf numFmtId="10" fontId="6" fillId="2" borderId="0" xfId="8" applyNumberFormat="1"/>
    <xf numFmtId="0" fontId="16" fillId="0" borderId="0" xfId="0" applyFont="1"/>
    <xf numFmtId="2" fontId="0" fillId="0" borderId="0" xfId="0" applyNumberFormat="1"/>
    <xf numFmtId="10" fontId="7" fillId="3" borderId="0" xfId="9" applyNumberFormat="1"/>
    <xf numFmtId="44" fontId="7" fillId="3" borderId="0" xfId="1" applyFont="1" applyFill="1"/>
    <xf numFmtId="44" fontId="7" fillId="3" borderId="0" xfId="9" applyNumberFormat="1"/>
    <xf numFmtId="0" fontId="0" fillId="0" borderId="11" xfId="0" applyNumberFormat="1" applyBorder="1"/>
    <xf numFmtId="0" fontId="0" fillId="0" borderId="0" xfId="0" applyBorder="1"/>
    <xf numFmtId="0" fontId="0" fillId="0" borderId="0" xfId="0" applyFont="1" applyBorder="1"/>
    <xf numFmtId="44" fontId="0" fillId="0" borderId="0" xfId="1" applyFon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40" sqref="E40"/>
    </sheetView>
  </sheetViews>
  <sheetFormatPr defaultRowHeight="14.4" x14ac:dyDescent="0.3"/>
  <cols>
    <col min="2" max="2" width="14.88671875" customWidth="1"/>
    <col min="3" max="3" width="15.5546875" bestFit="1" customWidth="1"/>
    <col min="4" max="4" width="17.88671875" customWidth="1"/>
    <col min="5" max="5" width="20.6640625" customWidth="1"/>
    <col min="7" max="7" width="11.6640625" customWidth="1"/>
    <col min="8" max="8" width="18" customWidth="1"/>
    <col min="9" max="9" width="12.44140625" customWidth="1"/>
    <col min="10" max="10" width="10.109375" bestFit="1" customWidth="1"/>
  </cols>
  <sheetData>
    <row r="1" spans="1:10" x14ac:dyDescent="0.3">
      <c r="A1" s="18" t="s">
        <v>0</v>
      </c>
      <c r="B1" s="18" t="s">
        <v>61</v>
      </c>
      <c r="C1" s="18" t="s">
        <v>44</v>
      </c>
      <c r="D1" s="18" t="s">
        <v>16</v>
      </c>
      <c r="E1" s="18" t="s">
        <v>68</v>
      </c>
    </row>
    <row r="2" spans="1:10" x14ac:dyDescent="0.3">
      <c r="A2" t="s">
        <v>5</v>
      </c>
      <c r="B2" t="s">
        <v>20</v>
      </c>
      <c r="C2">
        <v>54560</v>
      </c>
      <c r="D2">
        <f>C2/$C$32</f>
        <v>2.810308391504862E-3</v>
      </c>
      <c r="G2" s="7"/>
      <c r="H2" s="5"/>
      <c r="J2" s="6"/>
    </row>
    <row r="3" spans="1:10" x14ac:dyDescent="0.3">
      <c r="A3" t="s">
        <v>57</v>
      </c>
      <c r="B3" t="s">
        <v>20</v>
      </c>
      <c r="C3">
        <v>41940</v>
      </c>
      <c r="D3">
        <f>C3/$C$32</f>
        <v>2.1602700502146976E-3</v>
      </c>
      <c r="H3" s="5"/>
    </row>
    <row r="4" spans="1:10" x14ac:dyDescent="0.3">
      <c r="A4" t="s">
        <v>17</v>
      </c>
      <c r="B4" t="s">
        <v>20</v>
      </c>
      <c r="C4">
        <f>C32*ETFS!G2</f>
        <v>1739515.8534121832</v>
      </c>
      <c r="D4">
        <f>C4/$C$32</f>
        <v>8.9599999999999999E-2</v>
      </c>
      <c r="H4" s="5"/>
    </row>
    <row r="6" spans="1:10" x14ac:dyDescent="0.3">
      <c r="A6" t="s">
        <v>22</v>
      </c>
      <c r="B6" t="s">
        <v>64</v>
      </c>
      <c r="C6">
        <f>C32*ETFS!G3</f>
        <v>594075.72672335722</v>
      </c>
      <c r="D6">
        <f>C6/C32</f>
        <v>3.0599999999999999E-2</v>
      </c>
      <c r="H6" s="8"/>
    </row>
    <row r="8" spans="1:10" x14ac:dyDescent="0.3">
      <c r="A8" t="s">
        <v>26</v>
      </c>
      <c r="B8" t="s">
        <v>65</v>
      </c>
      <c r="C8">
        <f>C32*ETFS!G5</f>
        <v>640669.90136832651</v>
      </c>
      <c r="D8">
        <f>C8/C32</f>
        <v>3.3000000000000002E-2</v>
      </c>
    </row>
    <row r="9" spans="1:10" x14ac:dyDescent="0.3">
      <c r="H9" s="8"/>
    </row>
    <row r="10" spans="1:10" x14ac:dyDescent="0.3">
      <c r="A10" t="s">
        <v>11</v>
      </c>
      <c r="B10" t="s">
        <v>24</v>
      </c>
      <c r="C10">
        <v>49.8</v>
      </c>
      <c r="D10">
        <v>0</v>
      </c>
      <c r="E10" t="s">
        <v>66</v>
      </c>
      <c r="H10" s="5"/>
    </row>
    <row r="11" spans="1:10" x14ac:dyDescent="0.3">
      <c r="A11" t="s">
        <v>23</v>
      </c>
      <c r="B11" t="s">
        <v>24</v>
      </c>
      <c r="C11" s="19">
        <f>C32*ETFS!G4</f>
        <v>4292488.3391677868</v>
      </c>
      <c r="D11">
        <f>C11/C32</f>
        <v>0.22109999999999999</v>
      </c>
      <c r="H11" s="5"/>
    </row>
    <row r="12" spans="1:10" x14ac:dyDescent="0.3">
      <c r="H12" s="5"/>
    </row>
    <row r="13" spans="1:10" x14ac:dyDescent="0.3">
      <c r="A13" t="s">
        <v>7</v>
      </c>
      <c r="B13" t="s">
        <v>39</v>
      </c>
      <c r="C13">
        <f>280650</f>
        <v>280650</v>
      </c>
      <c r="D13">
        <f>C13/C32</f>
        <v>1.4455884348897352E-2</v>
      </c>
      <c r="H13" s="8"/>
    </row>
    <row r="14" spans="1:10" x14ac:dyDescent="0.3">
      <c r="A14" t="s">
        <v>8</v>
      </c>
      <c r="B14" t="s">
        <v>39</v>
      </c>
      <c r="C14">
        <v>92600</v>
      </c>
      <c r="D14">
        <f>C14/C32</f>
        <v>4.769694960655246E-3</v>
      </c>
      <c r="H14" s="5"/>
    </row>
    <row r="15" spans="1:10" x14ac:dyDescent="0.3">
      <c r="A15" t="s">
        <v>15</v>
      </c>
      <c r="B15" t="s">
        <v>39</v>
      </c>
      <c r="C15">
        <v>24390</v>
      </c>
      <c r="D15">
        <f>C15/C32</f>
        <v>1.2562943854252857E-3</v>
      </c>
    </row>
    <row r="16" spans="1:10" x14ac:dyDescent="0.3">
      <c r="A16" t="s">
        <v>35</v>
      </c>
      <c r="B16" t="s">
        <v>39</v>
      </c>
      <c r="C16">
        <f>C32*ETFS!G10</f>
        <v>3174228.1476885267</v>
      </c>
      <c r="D16">
        <f>C16/C32</f>
        <v>0.16350000000000001</v>
      </c>
    </row>
    <row r="18" spans="1:5" x14ac:dyDescent="0.3">
      <c r="A18" t="s">
        <v>6</v>
      </c>
      <c r="B18" t="s">
        <v>33</v>
      </c>
      <c r="C18">
        <v>124150</v>
      </c>
      <c r="D18">
        <f>C18/C32</f>
        <v>6.3947908138806565E-3</v>
      </c>
    </row>
    <row r="19" spans="1:5" x14ac:dyDescent="0.3">
      <c r="A19" t="s">
        <v>9</v>
      </c>
      <c r="B19" t="s">
        <v>33</v>
      </c>
      <c r="C19">
        <v>88640</v>
      </c>
      <c r="D19">
        <f>C19/C32</f>
        <v>4.5657209644976351E-3</v>
      </c>
    </row>
    <row r="20" spans="1:5" x14ac:dyDescent="0.3">
      <c r="A20" t="s">
        <v>34</v>
      </c>
      <c r="B20" t="s">
        <v>33</v>
      </c>
      <c r="C20">
        <f>C32*ETFS!G9</f>
        <v>2749056.3040531827</v>
      </c>
      <c r="D20">
        <f>C20/C32</f>
        <v>0.1416</v>
      </c>
    </row>
    <row r="22" spans="1:5" x14ac:dyDescent="0.3">
      <c r="A22" t="s">
        <v>12</v>
      </c>
      <c r="B22" t="s">
        <v>30</v>
      </c>
      <c r="C22">
        <v>95970</v>
      </c>
      <c r="D22">
        <f>C22/C32</f>
        <v>4.9432788917287687E-3</v>
      </c>
    </row>
    <row r="23" spans="1:5" x14ac:dyDescent="0.3">
      <c r="A23" t="s">
        <v>67</v>
      </c>
      <c r="B23" t="s">
        <v>30</v>
      </c>
      <c r="C23">
        <v>619</v>
      </c>
      <c r="D23">
        <v>0</v>
      </c>
      <c r="E23" t="s">
        <v>66</v>
      </c>
    </row>
    <row r="24" spans="1:5" x14ac:dyDescent="0.3">
      <c r="A24" t="s">
        <v>13</v>
      </c>
      <c r="B24" t="s">
        <v>30</v>
      </c>
      <c r="C24">
        <v>21700</v>
      </c>
      <c r="D24">
        <f>C24/C32</f>
        <v>1.1177362920757974E-3</v>
      </c>
    </row>
    <row r="25" spans="1:5" x14ac:dyDescent="0.3">
      <c r="A25" t="s">
        <v>31</v>
      </c>
      <c r="B25" t="s">
        <v>30</v>
      </c>
      <c r="C25">
        <f>C32*ETFS!G8</f>
        <v>2042377.9886044832</v>
      </c>
      <c r="D25">
        <f>C25/C32</f>
        <v>0.1052</v>
      </c>
    </row>
    <row r="27" spans="1:5" x14ac:dyDescent="0.3">
      <c r="A27" s="9" t="s">
        <v>10</v>
      </c>
      <c r="B27" t="s">
        <v>38</v>
      </c>
      <c r="C27">
        <v>21600</v>
      </c>
      <c r="D27">
        <f>C27/C32</f>
        <v>1.1125854335869688E-3</v>
      </c>
      <c r="E27" t="s">
        <v>66</v>
      </c>
    </row>
    <row r="28" spans="1:5" x14ac:dyDescent="0.3">
      <c r="A28" s="9" t="s">
        <v>14</v>
      </c>
      <c r="B28" t="s">
        <v>38</v>
      </c>
      <c r="C28">
        <v>17340</v>
      </c>
      <c r="D28">
        <f>C28/C32</f>
        <v>8.9315886196287219E-4</v>
      </c>
    </row>
    <row r="29" spans="1:5" x14ac:dyDescent="0.3">
      <c r="A29" s="9" t="s">
        <v>28</v>
      </c>
      <c r="B29" t="s">
        <v>38</v>
      </c>
      <c r="C29">
        <f>C32*ETFS!G6</f>
        <v>1889005.4970647928</v>
      </c>
      <c r="D29">
        <f>C29/C32</f>
        <v>9.7299999999999998E-2</v>
      </c>
    </row>
    <row r="30" spans="1:5" x14ac:dyDescent="0.3">
      <c r="A30" s="9" t="s">
        <v>32</v>
      </c>
      <c r="B30" t="s">
        <v>38</v>
      </c>
      <c r="C30">
        <f>C32*ETFS!G7</f>
        <v>2290880.2533776518</v>
      </c>
      <c r="D30">
        <f>C30/C32</f>
        <v>0.11799999999999998</v>
      </c>
    </row>
    <row r="32" spans="1:5" x14ac:dyDescent="0.3">
      <c r="A32" t="s">
        <v>62</v>
      </c>
      <c r="B32" t="s">
        <v>63</v>
      </c>
      <c r="C32">
        <f>18932403.87*(2069.41/2018.05)</f>
        <v>19414239.435403831</v>
      </c>
      <c r="D3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2" sqref="B32"/>
    </sheetView>
  </sheetViews>
  <sheetFormatPr defaultRowHeight="14.4" x14ac:dyDescent="0.3"/>
  <cols>
    <col min="1" max="1" width="11.33203125" bestFit="1" customWidth="1"/>
    <col min="2" max="2" width="29.33203125" customWidth="1"/>
    <col min="4" max="4" width="15.88671875" bestFit="1" customWidth="1"/>
    <col min="5" max="5" width="17" bestFit="1" customWidth="1"/>
    <col min="7" max="7" width="8.88671875" style="16"/>
  </cols>
  <sheetData>
    <row r="1" spans="1:7" x14ac:dyDescent="0.3">
      <c r="A1" t="s">
        <v>37</v>
      </c>
      <c r="B1" t="s">
        <v>18</v>
      </c>
      <c r="C1" t="s">
        <v>0</v>
      </c>
      <c r="D1" t="s">
        <v>3</v>
      </c>
      <c r="E1" s="10" t="s">
        <v>4</v>
      </c>
      <c r="F1" t="s">
        <v>43</v>
      </c>
      <c r="G1" s="16" t="s">
        <v>16</v>
      </c>
    </row>
    <row r="2" spans="1:7" x14ac:dyDescent="0.3">
      <c r="A2" t="str">
        <f>B2</f>
        <v xml:space="preserve">Energy </v>
      </c>
      <c r="B2" t="s">
        <v>20</v>
      </c>
      <c r="C2" t="s">
        <v>17</v>
      </c>
      <c r="G2" s="17">
        <v>8.9599999999999999E-2</v>
      </c>
    </row>
    <row r="3" spans="1:7" x14ac:dyDescent="0.3">
      <c r="B3" t="s">
        <v>21</v>
      </c>
      <c r="C3" t="s">
        <v>22</v>
      </c>
      <c r="G3" s="17">
        <v>3.0599999999999999E-2</v>
      </c>
    </row>
    <row r="4" spans="1:7" x14ac:dyDescent="0.3">
      <c r="A4" t="s">
        <v>24</v>
      </c>
      <c r="B4" t="s">
        <v>24</v>
      </c>
      <c r="C4" t="s">
        <v>23</v>
      </c>
      <c r="G4" s="17">
        <v>0.22109999999999999</v>
      </c>
    </row>
    <row r="5" spans="1:7" x14ac:dyDescent="0.3">
      <c r="A5" t="str">
        <f>B5</f>
        <v xml:space="preserve">Materials </v>
      </c>
      <c r="B5" t="s">
        <v>25</v>
      </c>
      <c r="C5" t="s">
        <v>26</v>
      </c>
      <c r="G5" s="17">
        <v>3.3000000000000002E-2</v>
      </c>
    </row>
    <row r="6" spans="1:7" x14ac:dyDescent="0.3">
      <c r="A6" t="s">
        <v>38</v>
      </c>
      <c r="B6" t="s">
        <v>27</v>
      </c>
      <c r="C6" t="s">
        <v>28</v>
      </c>
      <c r="G6" s="17">
        <v>9.7299999999999998E-2</v>
      </c>
    </row>
    <row r="7" spans="1:7" x14ac:dyDescent="0.3">
      <c r="A7" t="s">
        <v>38</v>
      </c>
      <c r="B7" t="s">
        <v>29</v>
      </c>
      <c r="C7" t="s">
        <v>32</v>
      </c>
      <c r="G7" s="17">
        <v>0.11799999999999999</v>
      </c>
    </row>
    <row r="8" spans="1:7" x14ac:dyDescent="0.3">
      <c r="A8" t="s">
        <v>45</v>
      </c>
      <c r="B8" t="s">
        <v>30</v>
      </c>
      <c r="C8" t="s">
        <v>31</v>
      </c>
      <c r="G8" s="17">
        <v>0.1052</v>
      </c>
    </row>
    <row r="9" spans="1:7" x14ac:dyDescent="0.3">
      <c r="A9" t="s">
        <v>33</v>
      </c>
      <c r="B9" t="s">
        <v>33</v>
      </c>
      <c r="C9" t="s">
        <v>34</v>
      </c>
      <c r="G9" s="17">
        <v>0.1416</v>
      </c>
    </row>
    <row r="10" spans="1:7" x14ac:dyDescent="0.3">
      <c r="A10" t="s">
        <v>39</v>
      </c>
      <c r="B10" t="s">
        <v>36</v>
      </c>
      <c r="C10" t="s">
        <v>35</v>
      </c>
      <c r="G10" s="17">
        <v>0.16350000000000001</v>
      </c>
    </row>
    <row r="11" spans="1:7" x14ac:dyDescent="0.3">
      <c r="G11" s="17"/>
    </row>
    <row r="12" spans="1:7" x14ac:dyDescent="0.3">
      <c r="G12" s="17"/>
    </row>
    <row r="13" spans="1:7" x14ac:dyDescent="0.3">
      <c r="G13" s="17"/>
    </row>
    <row r="14" spans="1:7" x14ac:dyDescent="0.3">
      <c r="G14" s="17"/>
    </row>
    <row r="15" spans="1:7" x14ac:dyDescent="0.3">
      <c r="G15" s="17"/>
    </row>
    <row r="16" spans="1:7" x14ac:dyDescent="0.3">
      <c r="D16" t="s">
        <v>42</v>
      </c>
      <c r="G16" s="17"/>
    </row>
    <row r="17" spans="7:7" x14ac:dyDescent="0.3">
      <c r="G17" s="17"/>
    </row>
    <row r="18" spans="7:7" x14ac:dyDescent="0.3">
      <c r="G1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10" zoomScale="70" zoomScaleNormal="70" workbookViewId="0">
      <selection activeCell="I44" sqref="I44"/>
    </sheetView>
  </sheetViews>
  <sheetFormatPr defaultRowHeight="14.4" x14ac:dyDescent="0.3"/>
  <cols>
    <col min="1" max="1" width="17.44140625" bestFit="1" customWidth="1"/>
    <col min="2" max="2" width="15.33203125" style="1" bestFit="1" customWidth="1"/>
    <col min="3" max="3" width="14.33203125" bestFit="1" customWidth="1"/>
    <col min="4" max="4" width="11.5546875" bestFit="1" customWidth="1"/>
    <col min="5" max="5" width="15.88671875" bestFit="1" customWidth="1"/>
    <col min="6" max="6" width="18.88671875" bestFit="1" customWidth="1"/>
    <col min="7" max="7" width="20.21875" bestFit="1" customWidth="1"/>
    <col min="8" max="8" width="16.77734375" bestFit="1" customWidth="1"/>
    <col min="9" max="9" width="16.44140625" style="1" bestFit="1" customWidth="1"/>
    <col min="10" max="10" width="16.5546875" bestFit="1" customWidth="1"/>
    <col min="11" max="11" width="14" bestFit="1" customWidth="1"/>
    <col min="12" max="12" width="14.33203125" bestFit="1" customWidth="1"/>
    <col min="14" max="14" width="12.6640625" bestFit="1" customWidth="1"/>
    <col min="15" max="15" width="12.5546875" bestFit="1" customWidth="1"/>
  </cols>
  <sheetData>
    <row r="1" spans="1:14" x14ac:dyDescent="0.3">
      <c r="A1" t="s">
        <v>19</v>
      </c>
      <c r="B1">
        <v>10477775.18</v>
      </c>
      <c r="D1" t="s">
        <v>50</v>
      </c>
      <c r="E1">
        <f>B1-B13-H1</f>
        <v>524779.3698903016</v>
      </c>
      <c r="G1" t="s">
        <v>49</v>
      </c>
      <c r="H1">
        <f>B1*0.1</f>
        <v>1047777.518</v>
      </c>
    </row>
    <row r="2" spans="1:14" x14ac:dyDescent="0.3">
      <c r="A2" t="s">
        <v>41</v>
      </c>
      <c r="B2">
        <f>B1*0.85</f>
        <v>8906108.902999999</v>
      </c>
      <c r="D2" t="s">
        <v>58</v>
      </c>
      <c r="E2">
        <v>-111300</v>
      </c>
    </row>
    <row r="3" spans="1:14" x14ac:dyDescent="0.3">
      <c r="B3"/>
      <c r="D3" t="s">
        <v>59</v>
      </c>
      <c r="E3">
        <f>SUM(E1:E2)</f>
        <v>413479.3698903016</v>
      </c>
    </row>
    <row r="4" spans="1:14" x14ac:dyDescent="0.3">
      <c r="A4" t="s">
        <v>40</v>
      </c>
      <c r="B4"/>
    </row>
    <row r="5" spans="1:14" x14ac:dyDescent="0.3">
      <c r="A5" t="s">
        <v>55</v>
      </c>
      <c r="B5">
        <f>B2*ETFS!G2</f>
        <v>797987.35770879989</v>
      </c>
    </row>
    <row r="6" spans="1:14" x14ac:dyDescent="0.3">
      <c r="A6" t="s">
        <v>21</v>
      </c>
      <c r="B6">
        <f>B2*ETFS!G3</f>
        <v>272526.93243179994</v>
      </c>
    </row>
    <row r="7" spans="1:14" x14ac:dyDescent="0.3">
      <c r="A7" t="s">
        <v>25</v>
      </c>
      <c r="B7">
        <f>B2*ETFS!G5</f>
        <v>293901.59379899997</v>
      </c>
    </row>
    <row r="8" spans="1:14" x14ac:dyDescent="0.3">
      <c r="A8" t="s">
        <v>24</v>
      </c>
      <c r="B8">
        <f>B2*ETFS!G4</f>
        <v>1969140.6784532997</v>
      </c>
      <c r="E8" s="15" t="s">
        <v>60</v>
      </c>
      <c r="F8" s="15"/>
      <c r="G8" s="15"/>
      <c r="H8" s="15"/>
      <c r="I8" s="21"/>
      <c r="J8" s="15"/>
      <c r="K8" s="15"/>
      <c r="L8" s="15"/>
      <c r="N8" s="15"/>
    </row>
    <row r="9" spans="1:14" x14ac:dyDescent="0.3">
      <c r="A9" t="s">
        <v>45</v>
      </c>
      <c r="B9">
        <f>B2*ETFS!G8</f>
        <v>936922.65659559995</v>
      </c>
    </row>
    <row r="10" spans="1:14" x14ac:dyDescent="0.3">
      <c r="A10" t="s">
        <v>38</v>
      </c>
      <c r="B10">
        <f>B2*(ETFS!G6+ETFS!G7)</f>
        <v>1917485.2468158996</v>
      </c>
    </row>
    <row r="11" spans="1:14" x14ac:dyDescent="0.3">
      <c r="A11" t="s">
        <v>33</v>
      </c>
      <c r="B11">
        <f>B2*(ETFS!G9)</f>
        <v>1261105.0206648</v>
      </c>
    </row>
    <row r="12" spans="1:14" x14ac:dyDescent="0.3">
      <c r="A12" t="s">
        <v>39</v>
      </c>
      <c r="B12">
        <f>B2*ETFS!G10</f>
        <v>1456148.8056404998</v>
      </c>
    </row>
    <row r="13" spans="1:14" x14ac:dyDescent="0.3">
      <c r="A13" t="s">
        <v>51</v>
      </c>
      <c r="B13">
        <f>SUM(B5:B12)</f>
        <v>8905218.2921096981</v>
      </c>
      <c r="I13" s="1" t="s">
        <v>69</v>
      </c>
      <c r="J13">
        <v>0.2</v>
      </c>
    </row>
    <row r="15" spans="1:14" x14ac:dyDescent="0.3">
      <c r="A15" s="24" t="s">
        <v>37</v>
      </c>
      <c r="B15" s="24" t="s">
        <v>0</v>
      </c>
      <c r="C15" s="24" t="s">
        <v>1</v>
      </c>
      <c r="D15" s="24" t="s">
        <v>2</v>
      </c>
      <c r="E15" s="24" t="s">
        <v>3</v>
      </c>
      <c r="F15" s="25" t="s">
        <v>4</v>
      </c>
      <c r="G15" s="24" t="s">
        <v>43</v>
      </c>
      <c r="H15" s="24" t="s">
        <v>46</v>
      </c>
      <c r="I15" s="26" t="s">
        <v>48</v>
      </c>
      <c r="J15" s="24" t="s">
        <v>47</v>
      </c>
      <c r="K15" s="24" t="s">
        <v>52</v>
      </c>
      <c r="L15" s="24" t="s">
        <v>53</v>
      </c>
      <c r="M15" s="24" t="s">
        <v>54</v>
      </c>
      <c r="N15" s="24" t="s">
        <v>56</v>
      </c>
    </row>
    <row r="16" spans="1:14" x14ac:dyDescent="0.3">
      <c r="A16" t="s">
        <v>20</v>
      </c>
      <c r="B16" t="s">
        <v>5</v>
      </c>
      <c r="C16">
        <v>101.74</v>
      </c>
      <c r="D16">
        <v>130</v>
      </c>
      <c r="E16">
        <v>0.20757446253403899</v>
      </c>
      <c r="F16">
        <v>0.35527296558608401</v>
      </c>
      <c r="G16" s="9">
        <v>0.58426754254044955</v>
      </c>
      <c r="H16" s="2">
        <f>(G16/G18)*J13-Stocks!D2</f>
        <v>0.22531323563126543</v>
      </c>
      <c r="I16" s="1">
        <f>H16*B5</f>
        <v>179797.11355821372</v>
      </c>
      <c r="J16" s="2">
        <f>I16/B13</f>
        <v>2.0190084921053491E-2</v>
      </c>
      <c r="M16">
        <v>1.37829729561263</v>
      </c>
      <c r="N16">
        <f>M16*J16</f>
        <v>2.7827939444877367E-2</v>
      </c>
    </row>
    <row r="17" spans="1:15" x14ac:dyDescent="0.3">
      <c r="B17" t="s">
        <v>57</v>
      </c>
      <c r="C17" s="9">
        <v>39.75</v>
      </c>
      <c r="D17" s="9">
        <v>45.5</v>
      </c>
      <c r="E17" s="9">
        <v>0.111129375729143</v>
      </c>
      <c r="F17" s="9">
        <v>0.238231419479497</v>
      </c>
      <c r="G17" s="9">
        <v>0.46647657127655728</v>
      </c>
      <c r="H17" s="2">
        <f>(G17/G18)*J13-Stocks!D3</f>
        <v>0.17997253880050368</v>
      </c>
      <c r="I17" s="1">
        <f>H17*B5</f>
        <v>143615.81069755839</v>
      </c>
      <c r="J17" s="2">
        <f>I17/B13</f>
        <v>1.6127152191744307E-2</v>
      </c>
      <c r="M17">
        <v>0.85488764150861796</v>
      </c>
      <c r="N17">
        <f>M17*J17</f>
        <v>1.378690310145083E-2</v>
      </c>
    </row>
    <row r="18" spans="1:15" x14ac:dyDescent="0.3">
      <c r="B18" t="s">
        <v>17</v>
      </c>
      <c r="C18" t="s">
        <v>70</v>
      </c>
      <c r="D18" t="s">
        <v>70</v>
      </c>
      <c r="E18">
        <v>0.12134568652078</v>
      </c>
      <c r="F18">
        <v>0.23689325561910701</v>
      </c>
      <c r="G18">
        <v>0.51223782713294208</v>
      </c>
      <c r="H18" s="2">
        <f>1-SUM(H16:H17)</f>
        <v>0.59471422556823095</v>
      </c>
      <c r="I18" s="1">
        <f>B5*H18</f>
        <v>474574.4334530278</v>
      </c>
      <c r="J18" s="2">
        <f>I18/B13</f>
        <v>5.3291723783291826E-2</v>
      </c>
      <c r="M18">
        <v>1.0573421369401399</v>
      </c>
      <c r="N18">
        <f>M18*J18</f>
        <v>5.6347585106249459E-2</v>
      </c>
    </row>
    <row r="19" spans="1:15" x14ac:dyDescent="0.3">
      <c r="H19" s="2"/>
      <c r="J19" s="2"/>
      <c r="M19" t="s">
        <v>70</v>
      </c>
    </row>
    <row r="20" spans="1:15" x14ac:dyDescent="0.3">
      <c r="A20" t="s">
        <v>21</v>
      </c>
      <c r="B20" t="s">
        <v>22</v>
      </c>
      <c r="E20">
        <v>7.5767739089880104E-2</v>
      </c>
      <c r="F20">
        <v>0.178226854523821</v>
      </c>
      <c r="G20">
        <f>E20/F20</f>
        <v>0.42511965602665858</v>
      </c>
      <c r="H20" s="2">
        <f>1</f>
        <v>1</v>
      </c>
      <c r="I20" s="1">
        <f>H20*B6</f>
        <v>272526.93243179994</v>
      </c>
      <c r="J20" s="2">
        <f>I20/B13</f>
        <v>3.0603060306030602E-2</v>
      </c>
      <c r="M20">
        <v>0.42436714590459101</v>
      </c>
      <c r="N20">
        <f t="shared" ref="N20:N45" si="0">M20*J20</f>
        <v>1.2986933358016286E-2</v>
      </c>
    </row>
    <row r="21" spans="1:15" x14ac:dyDescent="0.3">
      <c r="B21"/>
      <c r="H21" s="2"/>
      <c r="J21" s="2"/>
      <c r="M21" t="s">
        <v>70</v>
      </c>
    </row>
    <row r="22" spans="1:15" x14ac:dyDescent="0.3">
      <c r="A22" t="s">
        <v>25</v>
      </c>
      <c r="B22" t="s">
        <v>26</v>
      </c>
      <c r="E22">
        <v>8.6504308832733995E-2</v>
      </c>
      <c r="F22">
        <v>0.200924638578375</v>
      </c>
      <c r="G22" s="9">
        <v>0.43053111576951336</v>
      </c>
      <c r="H22" s="2">
        <f>1</f>
        <v>1</v>
      </c>
      <c r="I22" s="1">
        <f>B7*H22</f>
        <v>293901.59379899997</v>
      </c>
      <c r="J22" s="2">
        <f>I22/B13</f>
        <v>3.3003300330033007E-2</v>
      </c>
      <c r="M22">
        <v>1.03016512024528</v>
      </c>
      <c r="N22">
        <f>M22*J22</f>
        <v>3.3998848852979539E-2</v>
      </c>
    </row>
    <row r="23" spans="1:15" x14ac:dyDescent="0.3">
      <c r="H23" s="2"/>
      <c r="J23" s="2"/>
      <c r="M23" t="s">
        <v>70</v>
      </c>
      <c r="O23" s="4"/>
    </row>
    <row r="24" spans="1:15" x14ac:dyDescent="0.3">
      <c r="A24" t="s">
        <v>24</v>
      </c>
      <c r="B24" t="s">
        <v>11</v>
      </c>
      <c r="C24">
        <v>11.44</v>
      </c>
      <c r="D24">
        <v>12.46</v>
      </c>
      <c r="E24">
        <v>0.26418906580704998</v>
      </c>
      <c r="F24">
        <v>0.54205200099448902</v>
      </c>
      <c r="G24">
        <v>0.48738693948615452</v>
      </c>
      <c r="H24" s="2">
        <f>G24/G25*J13 - Stocks!D10</f>
        <v>0.2076591161438639</v>
      </c>
      <c r="I24" s="1">
        <f>B8*H24</f>
        <v>408910.01285054069</v>
      </c>
      <c r="J24" s="2">
        <f>I24/B13</f>
        <v>4.5918022381646474E-2</v>
      </c>
      <c r="M24">
        <v>0.44395540549724</v>
      </c>
      <c r="N24">
        <f t="shared" si="0"/>
        <v>2.0385554246075202E-2</v>
      </c>
    </row>
    <row r="25" spans="1:15" x14ac:dyDescent="0.3">
      <c r="B25" t="s">
        <v>23</v>
      </c>
      <c r="E25">
        <v>7.5907761853656205E-2</v>
      </c>
      <c r="F25">
        <v>0.16170866982615301</v>
      </c>
      <c r="G25">
        <v>0.46941058840729954</v>
      </c>
      <c r="H25" s="2">
        <f>1-SUM(H24:H24)</f>
        <v>0.7923408838561361</v>
      </c>
      <c r="I25" s="1">
        <f>B8*H25</f>
        <v>1560230.665602759</v>
      </c>
      <c r="J25" s="2">
        <f>I25/B13</f>
        <v>0.17520408982957467</v>
      </c>
      <c r="M25">
        <v>1.0108518059607901</v>
      </c>
      <c r="N25">
        <f t="shared" si="0"/>
        <v>0.17710537061594203</v>
      </c>
    </row>
    <row r="26" spans="1:15" x14ac:dyDescent="0.3">
      <c r="H26" s="2"/>
      <c r="J26" s="2"/>
      <c r="M26" t="s">
        <v>70</v>
      </c>
    </row>
    <row r="27" spans="1:15" x14ac:dyDescent="0.3">
      <c r="A27" t="s">
        <v>39</v>
      </c>
      <c r="B27" t="s">
        <v>7</v>
      </c>
      <c r="C27">
        <v>54.1</v>
      </c>
      <c r="D27">
        <v>66.14</v>
      </c>
      <c r="E27">
        <v>0.185244287414531</v>
      </c>
      <c r="F27">
        <v>0.17717355494926099</v>
      </c>
      <c r="G27">
        <f>E27/F27</f>
        <v>1.0455526924860841</v>
      </c>
      <c r="H27" s="3">
        <f>G27/G48*J13-Stocks!D13</f>
        <v>0.42081987819014866</v>
      </c>
      <c r="I27" s="1">
        <f>B12*H27</f>
        <v>612776.36301636556</v>
      </c>
      <c r="J27" s="2">
        <f>I27/B13</f>
        <v>6.8810931177207033E-2</v>
      </c>
      <c r="M27">
        <v>0.96830925636862497</v>
      </c>
      <c r="N27">
        <f t="shared" si="0"/>
        <v>6.6630261598233972E-2</v>
      </c>
      <c r="O27" t="s">
        <v>71</v>
      </c>
    </row>
    <row r="28" spans="1:15" x14ac:dyDescent="0.3">
      <c r="B28" t="s">
        <v>8</v>
      </c>
      <c r="C28">
        <v>50.63</v>
      </c>
      <c r="D28">
        <v>56</v>
      </c>
      <c r="E28">
        <v>8.6053332761174994E-2</v>
      </c>
      <c r="F28">
        <v>0.17177934679207801</v>
      </c>
      <c r="G28">
        <v>0.50095273016338848</v>
      </c>
      <c r="H28" s="3">
        <f>G28/G48*J13-Stocks!D14</f>
        <v>0.20378276077393517</v>
      </c>
      <c r="I28" s="1">
        <f>H28*B12</f>
        <v>296738.02371108939</v>
      </c>
      <c r="J28" s="2">
        <f>I28/B13</f>
        <v>3.3321813567895195E-2</v>
      </c>
      <c r="M28">
        <v>0.56198907355776895</v>
      </c>
      <c r="N28">
        <f t="shared" si="0"/>
        <v>1.8726495136286117E-2</v>
      </c>
    </row>
    <row r="29" spans="1:15" x14ac:dyDescent="0.3">
      <c r="B29" t="s">
        <v>15</v>
      </c>
      <c r="C29">
        <v>131.37</v>
      </c>
      <c r="D29">
        <v>138</v>
      </c>
      <c r="E29">
        <v>1.45085255451405E-2</v>
      </c>
      <c r="F29">
        <v>0.263542748451357</v>
      </c>
      <c r="G29">
        <v>5.5051886763708049E-2</v>
      </c>
      <c r="H29" s="3">
        <f>G29/G48*J13-Stocks!D15</f>
        <v>2.1662447216500406E-2</v>
      </c>
      <c r="I29" s="1">
        <f>H29*B12</f>
        <v>31543.746641557434</v>
      </c>
      <c r="J29" s="2">
        <f>I29/B13</f>
        <v>3.5421643363314497E-3</v>
      </c>
      <c r="M29">
        <v>1.55493217894962</v>
      </c>
      <c r="N29">
        <f t="shared" si="0"/>
        <v>5.5078253096894954E-3</v>
      </c>
    </row>
    <row r="30" spans="1:15" x14ac:dyDescent="0.3">
      <c r="B30" t="s">
        <v>35</v>
      </c>
      <c r="C30" t="s">
        <v>70</v>
      </c>
      <c r="D30" t="s">
        <v>70</v>
      </c>
      <c r="E30">
        <v>4.5323078314439703E-3</v>
      </c>
      <c r="F30">
        <v>0.16591798267232399</v>
      </c>
      <c r="G30">
        <v>2.7316555797299864E-2</v>
      </c>
      <c r="H30" s="2">
        <f>1-SUM(H27:H29)</f>
        <v>0.35373491381941569</v>
      </c>
      <c r="I30" s="1">
        <f>H30*B12</f>
        <v>515090.6722714873</v>
      </c>
      <c r="J30" s="2">
        <f>I30/B13</f>
        <v>5.7841442553729847E-2</v>
      </c>
      <c r="M30">
        <v>1.0405900168745099</v>
      </c>
      <c r="N30">
        <f t="shared" si="0"/>
        <v>6.018922768303174E-2</v>
      </c>
    </row>
    <row r="31" spans="1:15" x14ac:dyDescent="0.3">
      <c r="H31" s="2"/>
      <c r="J31" s="2"/>
      <c r="M31" t="s">
        <v>70</v>
      </c>
    </row>
    <row r="32" spans="1:15" x14ac:dyDescent="0.3">
      <c r="H32" s="2"/>
      <c r="J32" s="2"/>
      <c r="M32" t="s">
        <v>70</v>
      </c>
    </row>
    <row r="33" spans="1:15" x14ac:dyDescent="0.3">
      <c r="A33" t="s">
        <v>33</v>
      </c>
      <c r="B33" t="s">
        <v>6</v>
      </c>
      <c r="C33">
        <v>47.15</v>
      </c>
      <c r="D33">
        <v>60</v>
      </c>
      <c r="E33">
        <v>0.20967874101647199</v>
      </c>
      <c r="F33">
        <v>0.250327034601387</v>
      </c>
      <c r="G33">
        <v>0.8376192421659846</v>
      </c>
      <c r="H33" s="2">
        <f>G33/G35*J13-Stocks!D18</f>
        <v>0.25296275342370278</v>
      </c>
      <c r="I33" s="1">
        <f>H33*B11</f>
        <v>319012.59838382341</v>
      </c>
      <c r="J33" s="2">
        <f>I33/B13</f>
        <v>3.5823108195615884E-2</v>
      </c>
      <c r="M33">
        <v>0.83417120250611998</v>
      </c>
      <c r="N33">
        <f t="shared" si="0"/>
        <v>2.9882605241043744E-2</v>
      </c>
    </row>
    <row r="34" spans="1:15" x14ac:dyDescent="0.3">
      <c r="B34" t="s">
        <v>9</v>
      </c>
      <c r="C34">
        <v>108.2</v>
      </c>
      <c r="D34">
        <v>115</v>
      </c>
      <c r="E34">
        <v>0.23186072537657601</v>
      </c>
      <c r="F34">
        <v>0.36605685143190497</v>
      </c>
      <c r="G34">
        <v>0.63340086237863369</v>
      </c>
      <c r="H34" s="2">
        <f>G34/G35*J13 -Stocks!D19</f>
        <v>0.19155834581277489</v>
      </c>
      <c r="I34" s="1">
        <f>B11*H34</f>
        <v>241575.19165473437</v>
      </c>
      <c r="J34" s="2">
        <f>I34/B13</f>
        <v>2.7127374504539382E-2</v>
      </c>
      <c r="M34">
        <v>1.6939751936554699</v>
      </c>
      <c r="N34">
        <f t="shared" si="0"/>
        <v>4.5953099479691555E-2</v>
      </c>
    </row>
    <row r="35" spans="1:15" x14ac:dyDescent="0.3">
      <c r="B35" t="s">
        <v>34</v>
      </c>
      <c r="C35" t="s">
        <v>70</v>
      </c>
      <c r="D35" t="s">
        <v>70</v>
      </c>
      <c r="E35">
        <v>8.9856049453826997E-2</v>
      </c>
      <c r="F35">
        <v>0.13911359211956401</v>
      </c>
      <c r="G35">
        <v>0.64591854817894712</v>
      </c>
      <c r="H35" s="2">
        <f>1- SUM(H33:H34)</f>
        <v>0.55547890076352235</v>
      </c>
      <c r="I35" s="1">
        <f>H35*B11</f>
        <v>700517.23062624224</v>
      </c>
      <c r="J35" s="2">
        <f>I35/B13</f>
        <v>7.8663678715986382E-2</v>
      </c>
      <c r="M35">
        <v>1.1070206191430301</v>
      </c>
      <c r="N35">
        <f t="shared" si="0"/>
        <v>8.708231431623964E-2</v>
      </c>
    </row>
    <row r="36" spans="1:15" x14ac:dyDescent="0.3">
      <c r="H36" s="2"/>
      <c r="J36" s="2"/>
      <c r="M36" t="s">
        <v>70</v>
      </c>
    </row>
    <row r="37" spans="1:15" x14ac:dyDescent="0.3">
      <c r="A37" s="9" t="s">
        <v>45</v>
      </c>
      <c r="B37" s="9" t="s">
        <v>12</v>
      </c>
      <c r="C37" s="9">
        <v>132.78</v>
      </c>
      <c r="D37" s="9">
        <v>160.09</v>
      </c>
      <c r="E37" s="9">
        <v>0.157163063969881</v>
      </c>
      <c r="F37" s="9">
        <v>0.24445641668448101</v>
      </c>
      <c r="G37" s="9">
        <v>0.64290831920657165</v>
      </c>
      <c r="H37" s="2">
        <f>G37/G40*J13-Stocks!D22</f>
        <v>0.22630673176999491</v>
      </c>
      <c r="I37" s="1">
        <f>H37*B9</f>
        <v>212031.9043354115</v>
      </c>
      <c r="J37" s="2">
        <f>I37/B13</f>
        <v>2.380984916712018E-2</v>
      </c>
      <c r="M37">
        <v>1.0890683997942601</v>
      </c>
      <c r="N37">
        <f t="shared" si="0"/>
        <v>2.593055433177827E-2</v>
      </c>
    </row>
    <row r="38" spans="1:15" x14ac:dyDescent="0.3">
      <c r="A38" s="9"/>
      <c r="B38" s="9" t="s">
        <v>67</v>
      </c>
      <c r="C38" s="9">
        <v>6.69</v>
      </c>
      <c r="D38" s="9">
        <v>7.81</v>
      </c>
      <c r="E38" s="9">
        <v>0.114426223091283</v>
      </c>
      <c r="F38" s="9">
        <v>0.28412978238887598</v>
      </c>
      <c r="G38" s="9">
        <v>0.40272519877790508</v>
      </c>
      <c r="H38" s="2">
        <f>G38/G40*J13</f>
        <v>0.14485767834839891</v>
      </c>
      <c r="I38" s="1">
        <f>H38*B9</f>
        <v>135720.44082645283</v>
      </c>
      <c r="J38" s="2">
        <f>I38/B13</f>
        <v>1.5240551817433312E-2</v>
      </c>
      <c r="M38">
        <v>0.76359759130976201</v>
      </c>
      <c r="N38">
        <f>M38*J38</f>
        <v>1.1637648658023693E-2</v>
      </c>
    </row>
    <row r="39" spans="1:15" s="15" customFormat="1" x14ac:dyDescent="0.3">
      <c r="B39" s="15" t="s">
        <v>13</v>
      </c>
      <c r="C39" s="15">
        <v>105.14</v>
      </c>
      <c r="D39" s="15">
        <v>107.5</v>
      </c>
      <c r="E39" s="15">
        <v>-1.3230402666332E-2</v>
      </c>
      <c r="F39" s="15">
        <v>0.26618961227947102</v>
      </c>
      <c r="G39" s="15">
        <v>-4.9702926245076287E-2</v>
      </c>
      <c r="H39" s="20">
        <v>0</v>
      </c>
      <c r="I39" s="22">
        <f>H39*B9</f>
        <v>0</v>
      </c>
      <c r="J39" s="20"/>
      <c r="M39" s="15">
        <v>1.23953750616895</v>
      </c>
      <c r="N39" s="15">
        <f t="shared" si="0"/>
        <v>0</v>
      </c>
      <c r="O39" s="15" t="s">
        <v>73</v>
      </c>
    </row>
    <row r="40" spans="1:15" x14ac:dyDescent="0.3">
      <c r="B40" t="s">
        <v>31</v>
      </c>
      <c r="C40" t="s">
        <v>70</v>
      </c>
      <c r="D40" t="s">
        <v>70</v>
      </c>
      <c r="E40">
        <v>8.8673650092958703E-2</v>
      </c>
      <c r="F40">
        <v>0.15947672410521399</v>
      </c>
      <c r="G40">
        <v>0.55602879097552005</v>
      </c>
      <c r="H40" s="2">
        <f>1- SUM(H37:H39)</f>
        <v>0.62883558988160615</v>
      </c>
      <c r="I40" s="1">
        <f>H40*B9</f>
        <v>589170.31143373565</v>
      </c>
      <c r="J40" s="2">
        <f>I40/B13</f>
        <v>6.6160120067551745E-2</v>
      </c>
      <c r="M40">
        <v>1.12761826921678</v>
      </c>
      <c r="N40">
        <f t="shared" si="0"/>
        <v>7.4603360081747047E-2</v>
      </c>
    </row>
    <row r="41" spans="1:15" x14ac:dyDescent="0.3">
      <c r="H41" s="2"/>
      <c r="J41" s="2"/>
      <c r="M41" t="s">
        <v>70</v>
      </c>
    </row>
    <row r="42" spans="1:15" s="15" customFormat="1" x14ac:dyDescent="0.3">
      <c r="A42" s="15" t="s">
        <v>38</v>
      </c>
      <c r="B42" s="15" t="s">
        <v>10</v>
      </c>
      <c r="C42" s="15">
        <v>38.93</v>
      </c>
      <c r="D42" s="15">
        <v>40</v>
      </c>
      <c r="E42" s="15">
        <v>-1.0307665574768501E-2</v>
      </c>
      <c r="F42" s="15">
        <v>0.27357616148466102</v>
      </c>
      <c r="G42" s="15">
        <v>-3.7677499087750144E-2</v>
      </c>
      <c r="H42" s="20">
        <v>0</v>
      </c>
      <c r="I42" s="22">
        <f>H42*B10</f>
        <v>0</v>
      </c>
      <c r="J42" s="20"/>
      <c r="M42" s="15">
        <v>0.461499985052225</v>
      </c>
      <c r="N42" s="15">
        <f t="shared" si="0"/>
        <v>0</v>
      </c>
      <c r="O42" s="15" t="s">
        <v>75</v>
      </c>
    </row>
    <row r="43" spans="1:15" s="15" customFormat="1" x14ac:dyDescent="0.3">
      <c r="B43" s="15" t="s">
        <v>14</v>
      </c>
      <c r="C43" s="15">
        <v>48.23</v>
      </c>
      <c r="D43" s="15">
        <v>48</v>
      </c>
      <c r="E43" s="15">
        <v>-6.3464052870701101E-2</v>
      </c>
      <c r="F43" s="15">
        <v>0.34258963702281398</v>
      </c>
      <c r="G43" s="15">
        <v>-0.18524802274294963</v>
      </c>
      <c r="H43" s="20">
        <v>0</v>
      </c>
      <c r="I43" s="22">
        <f>H43*B10</f>
        <v>0</v>
      </c>
      <c r="J43" s="20"/>
      <c r="M43" s="15">
        <v>0.78494979270527099</v>
      </c>
      <c r="N43" s="15">
        <f t="shared" si="0"/>
        <v>0</v>
      </c>
      <c r="O43" s="15" t="s">
        <v>76</v>
      </c>
    </row>
    <row r="44" spans="1:15" x14ac:dyDescent="0.3">
      <c r="A44" s="9"/>
      <c r="B44" t="s">
        <v>28</v>
      </c>
      <c r="C44" t="s">
        <v>70</v>
      </c>
      <c r="D44" t="s">
        <v>70</v>
      </c>
      <c r="E44">
        <v>9.7988053226108304E-2</v>
      </c>
      <c r="F44">
        <v>0.11451535551683099</v>
      </c>
      <c r="G44">
        <v>0.855676103731839</v>
      </c>
      <c r="H44" s="2">
        <f>ETFS!G6/(ETFS!G6+ETFS!G7)*H46</f>
        <v>0.45192754296330701</v>
      </c>
      <c r="I44" s="1">
        <f>B10*H44</f>
        <v>866564.39626189985</v>
      </c>
      <c r="J44" s="2">
        <f>I44/B13</f>
        <v>9.7309730973097308E-2</v>
      </c>
      <c r="M44">
        <v>0.63370798606517897</v>
      </c>
      <c r="N44">
        <f t="shared" si="0"/>
        <v>6.1665953639505861E-2</v>
      </c>
    </row>
    <row r="45" spans="1:15" x14ac:dyDescent="0.3">
      <c r="B45" t="s">
        <v>32</v>
      </c>
      <c r="C45" t="s">
        <v>70</v>
      </c>
      <c r="D45" t="s">
        <v>70</v>
      </c>
      <c r="E45">
        <v>8.7442958934390996E-2</v>
      </c>
      <c r="F45">
        <v>0.15674086071243001</v>
      </c>
      <c r="G45">
        <v>0.55788234501800538</v>
      </c>
      <c r="H45" s="2">
        <f>ETFS!G7/(ETFS!G6+ETFS!G7)*H46</f>
        <v>0.54807245703669294</v>
      </c>
      <c r="I45" s="1">
        <f>B10*H45</f>
        <v>1050920.8505539997</v>
      </c>
      <c r="J45" s="2">
        <f>I45/B13</f>
        <v>0.118011801180118</v>
      </c>
      <c r="M45">
        <v>1.0929361207803501</v>
      </c>
      <c r="N45">
        <f t="shared" si="0"/>
        <v>0.12897936018810011</v>
      </c>
    </row>
    <row r="46" spans="1:15" x14ac:dyDescent="0.3">
      <c r="B46" s="1" t="s">
        <v>74</v>
      </c>
      <c r="G46" s="11">
        <f>(ETFS!G6/SUM(ETFS!G6:G7))*G44+(ETFS!G7/SUM(ETFS!G6:G7))*G45</f>
        <v>0.69246354670335608</v>
      </c>
      <c r="H46" s="2">
        <f>1 - SUM(H42:H43)</f>
        <v>1</v>
      </c>
      <c r="J46" s="2"/>
    </row>
    <row r="47" spans="1:15" x14ac:dyDescent="0.3">
      <c r="G47" s="11"/>
      <c r="H47" s="2"/>
      <c r="J47" s="2"/>
    </row>
    <row r="48" spans="1:15" x14ac:dyDescent="0.3">
      <c r="A48" s="12" t="s">
        <v>72</v>
      </c>
      <c r="B48" s="13" t="s">
        <v>62</v>
      </c>
      <c r="C48" s="12"/>
      <c r="D48" s="12"/>
      <c r="E48" s="12"/>
      <c r="F48" s="12"/>
      <c r="G48" s="23">
        <f>G18*ETFS!G2+Allocation!G20*ETFS!G3+Allocation!G22*ETFS!G5+Allocation!G25*ETFS!G4+Allocation!G30*ETFS!G10+Allocation!G35*ETFS!G9+Allocation!G40*ETFS!G8+Allocation!G44*ETFS!G6+Allocation!G45*ETFS!G7</f>
        <v>0.48040933241362999</v>
      </c>
      <c r="H48" s="14"/>
      <c r="I48" s="13"/>
      <c r="J48" s="12"/>
      <c r="K48" s="12"/>
      <c r="L48" s="12"/>
      <c r="N48" s="12"/>
    </row>
    <row r="49" spans="1:14" x14ac:dyDescent="0.3">
      <c r="A49" t="s">
        <v>51</v>
      </c>
      <c r="H49" s="2"/>
      <c r="I49" s="1">
        <f>SUM(I16:I46)</f>
        <v>8905218.2921096981</v>
      </c>
      <c r="J49" s="3">
        <f>SUM(J16:J46)</f>
        <v>1</v>
      </c>
      <c r="K49" s="3">
        <f>SUM(J16:J17,J24:J24,J27:J29,J33:J34,J37:J39,J42:J43)</f>
        <v>0.28991105226058678</v>
      </c>
      <c r="L49" s="3">
        <f>SUM(J18,J20,J22,J25,J30,J35,J40,J44:J45)</f>
        <v>0.71008894773941333</v>
      </c>
      <c r="N49">
        <f>SUM(N16:N48)</f>
        <v>0.95922784038896203</v>
      </c>
    </row>
    <row r="50" spans="1:14" x14ac:dyDescent="0.3">
      <c r="H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ETFS</vt:lpstr>
      <vt:lpstr>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kevinhu</cp:lastModifiedBy>
  <dcterms:created xsi:type="dcterms:W3CDTF">2014-10-28T05:03:48Z</dcterms:created>
  <dcterms:modified xsi:type="dcterms:W3CDTF">2014-11-25T15:32:26Z</dcterms:modified>
</cp:coreProperties>
</file>