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492" activeTab="2"/>
  </bookViews>
  <sheets>
    <sheet name="EstimatedData" sheetId="1" r:id="rId1"/>
    <sheet name="ETFS" sheetId="2" r:id="rId2"/>
    <sheet name="Allocation" sheetId="3" r:id="rId3"/>
  </sheets>
  <calcPr calcId="144525"/>
</workbook>
</file>

<file path=xl/calcChain.xml><?xml version="1.0" encoding="utf-8"?>
<calcChain xmlns="http://schemas.openxmlformats.org/spreadsheetml/2006/main">
  <c r="N48" i="3" l="1"/>
  <c r="N19" i="3"/>
  <c r="N21" i="3"/>
  <c r="N22" i="3"/>
  <c r="N24" i="3"/>
  <c r="N25" i="3"/>
  <c r="N26" i="3"/>
  <c r="N28" i="3"/>
  <c r="N29" i="3"/>
  <c r="N30" i="3"/>
  <c r="N31" i="3"/>
  <c r="N34" i="3"/>
  <c r="N35" i="3"/>
  <c r="N36" i="3"/>
  <c r="N38" i="3"/>
  <c r="N39" i="3"/>
  <c r="N40" i="3"/>
  <c r="N42" i="3"/>
  <c r="N43" i="3"/>
  <c r="N44" i="3"/>
  <c r="N45" i="3"/>
  <c r="N17" i="3"/>
  <c r="N16" i="3"/>
  <c r="L48" i="3"/>
  <c r="K48" i="3"/>
  <c r="I17" i="3"/>
  <c r="I16" i="3"/>
  <c r="I21" i="3"/>
  <c r="I22" i="3"/>
  <c r="H21" i="3"/>
  <c r="H22" i="3" s="1"/>
  <c r="J9" i="1"/>
  <c r="A5" i="2"/>
  <c r="A2" i="2"/>
  <c r="E2" i="3"/>
  <c r="G16" i="3"/>
  <c r="H28" i="3"/>
  <c r="G46" i="3"/>
  <c r="H43" i="3" s="1"/>
  <c r="G45" i="3"/>
  <c r="G44" i="3"/>
  <c r="G43" i="3"/>
  <c r="H13" i="1"/>
  <c r="G42" i="3"/>
  <c r="G40" i="3"/>
  <c r="G22" i="3"/>
  <c r="G39" i="3"/>
  <c r="H39" i="3" s="1"/>
  <c r="G38" i="3"/>
  <c r="H2" i="1"/>
  <c r="H7" i="1"/>
  <c r="I12" i="1"/>
  <c r="H12" i="1" s="1"/>
  <c r="I9" i="1"/>
  <c r="J7" i="1"/>
  <c r="J13" i="1" s="1"/>
  <c r="I7" i="1"/>
  <c r="J11" i="1"/>
  <c r="J12" i="1" s="1"/>
  <c r="J10" i="1"/>
  <c r="H10" i="1" s="1"/>
  <c r="J8" i="1"/>
  <c r="H8" i="1" s="1"/>
  <c r="J4" i="1"/>
  <c r="H4" i="1" s="1"/>
  <c r="J3" i="1"/>
  <c r="H3" i="1" s="1"/>
  <c r="J2" i="1"/>
  <c r="G28" i="3"/>
  <c r="G36" i="3"/>
  <c r="G35" i="3"/>
  <c r="H35" i="3" s="1"/>
  <c r="G34" i="3"/>
  <c r="I5" i="1"/>
  <c r="H34" i="3" l="1"/>
  <c r="H38" i="3"/>
  <c r="H42" i="3"/>
  <c r="H46" i="3" s="1"/>
  <c r="H40" i="3"/>
  <c r="H9" i="1"/>
  <c r="H5" i="1"/>
  <c r="J14" i="1"/>
  <c r="J5" i="1"/>
  <c r="H11" i="1"/>
  <c r="J6" i="1"/>
  <c r="H6" i="1" s="1"/>
  <c r="F12" i="2"/>
  <c r="E12" i="2"/>
  <c r="D12" i="2"/>
  <c r="G31" i="3"/>
  <c r="G30" i="3"/>
  <c r="H30" i="3" s="1"/>
  <c r="G29" i="3"/>
  <c r="H29" i="3" s="1"/>
  <c r="G26" i="3"/>
  <c r="G25" i="3"/>
  <c r="G24" i="3"/>
  <c r="H19" i="3"/>
  <c r="G19" i="3"/>
  <c r="G17" i="3"/>
  <c r="H16" i="3" s="1"/>
  <c r="H17" i="3" s="1"/>
  <c r="G21" i="3"/>
  <c r="F3" i="2"/>
  <c r="F4" i="2"/>
  <c r="F5" i="2"/>
  <c r="F6" i="2"/>
  <c r="F7" i="2"/>
  <c r="F8" i="2"/>
  <c r="F9" i="2"/>
  <c r="F10" i="2"/>
  <c r="F2" i="2"/>
  <c r="B2" i="3"/>
  <c r="H25" i="3" l="1"/>
  <c r="H24" i="3"/>
  <c r="B12" i="3"/>
  <c r="I28" i="3" s="1"/>
  <c r="B9" i="3"/>
  <c r="I40" i="3" s="1"/>
  <c r="J40" i="3" s="1"/>
  <c r="H26" i="3"/>
  <c r="H45" i="3"/>
  <c r="H44" i="3"/>
  <c r="B6" i="3"/>
  <c r="I19" i="3" s="1"/>
  <c r="J19" i="3" s="1"/>
  <c r="B8" i="3"/>
  <c r="B11" i="3"/>
  <c r="I35" i="3" s="1"/>
  <c r="J35" i="3" s="1"/>
  <c r="B7" i="3"/>
  <c r="J22" i="3" s="1"/>
  <c r="B10" i="3"/>
  <c r="I42" i="3" s="1"/>
  <c r="B5" i="3"/>
  <c r="B13" i="3" s="1"/>
  <c r="E1" i="3" s="1"/>
  <c r="H36" i="3"/>
  <c r="H14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J17" i="3" l="1"/>
  <c r="I30" i="3"/>
  <c r="J30" i="3" s="1"/>
  <c r="I43" i="3"/>
  <c r="J43" i="3" s="1"/>
  <c r="I34" i="3"/>
  <c r="J42" i="3"/>
  <c r="I44" i="3"/>
  <c r="J44" i="3" s="1"/>
  <c r="I45" i="3"/>
  <c r="J45" i="3" s="1"/>
  <c r="H31" i="3"/>
  <c r="I31" i="3" s="1"/>
  <c r="J31" i="3" s="1"/>
  <c r="I29" i="3"/>
  <c r="J29" i="3" s="1"/>
  <c r="I39" i="3"/>
  <c r="J39" i="3" s="1"/>
  <c r="I38" i="3"/>
  <c r="I36" i="3"/>
  <c r="J36" i="3" s="1"/>
  <c r="J28" i="3"/>
  <c r="I24" i="3"/>
  <c r="I26" i="3"/>
  <c r="J26" i="3" s="1"/>
  <c r="J21" i="3"/>
  <c r="I25" i="3"/>
  <c r="J25" i="3" s="1"/>
  <c r="J38" i="3" l="1"/>
  <c r="J34" i="3"/>
  <c r="J16" i="3"/>
  <c r="I48" i="3"/>
  <c r="J24" i="3"/>
  <c r="J48" i="3" l="1"/>
</calcChain>
</file>

<file path=xl/sharedStrings.xml><?xml version="1.0" encoding="utf-8"?>
<sst xmlns="http://schemas.openxmlformats.org/spreadsheetml/2006/main" count="133" uniqueCount="66">
  <si>
    <t>Ticker</t>
  </si>
  <si>
    <t>Current.Price</t>
  </si>
  <si>
    <t>Target.Price</t>
  </si>
  <si>
    <t>Expected.Return</t>
  </si>
  <si>
    <t>Estimated.Volatility</t>
  </si>
  <si>
    <t>EOG</t>
  </si>
  <si>
    <t>SNY</t>
  </si>
  <si>
    <t>WFC</t>
  </si>
  <si>
    <t>TD</t>
  </si>
  <si>
    <t>CELG</t>
  </si>
  <si>
    <t>ATD-B.TO</t>
  </si>
  <si>
    <t>MHH</t>
  </si>
  <si>
    <t>DGC.TO</t>
  </si>
  <si>
    <t>AAPL</t>
  </si>
  <si>
    <t>BA</t>
  </si>
  <si>
    <t>MGA</t>
  </si>
  <si>
    <t>WFM</t>
  </si>
  <si>
    <t>AMP</t>
  </si>
  <si>
    <t xml:space="preserve">Read Richards work </t>
  </si>
  <si>
    <t>Weight</t>
  </si>
  <si>
    <t>XLE</t>
  </si>
  <si>
    <t xml:space="preserve">Sector </t>
  </si>
  <si>
    <t>Capital</t>
  </si>
  <si>
    <t xml:space="preserve">Energy </t>
  </si>
  <si>
    <t>Utilities</t>
  </si>
  <si>
    <t>XLU</t>
  </si>
  <si>
    <t>XLK</t>
  </si>
  <si>
    <t>Tech</t>
  </si>
  <si>
    <t xml:space="preserve">Materials </t>
  </si>
  <si>
    <t>XLB</t>
  </si>
  <si>
    <t>Consumer Stapes</t>
  </si>
  <si>
    <t>XLP</t>
  </si>
  <si>
    <t>Consumer Discretionary</t>
  </si>
  <si>
    <t xml:space="preserve">Industrials </t>
  </si>
  <si>
    <t>XLI</t>
  </si>
  <si>
    <t>XLY</t>
  </si>
  <si>
    <t>Health Care</t>
  </si>
  <si>
    <t>XLV</t>
  </si>
  <si>
    <t>XLF</t>
  </si>
  <si>
    <t xml:space="preserve">Financials </t>
  </si>
  <si>
    <t>HHIC Sector</t>
  </si>
  <si>
    <t>Consumers</t>
  </si>
  <si>
    <t>FIG</t>
  </si>
  <si>
    <t>Neutral Allocation</t>
  </si>
  <si>
    <t>Equity Allocation</t>
  </si>
  <si>
    <t>\</t>
  </si>
  <si>
    <t>E/R</t>
  </si>
  <si>
    <t>Sector Cap</t>
  </si>
  <si>
    <t>S&amp;P 500</t>
  </si>
  <si>
    <t>Market Cap(mm)</t>
  </si>
  <si>
    <t>SPR</t>
  </si>
  <si>
    <t>Industrials</t>
  </si>
  <si>
    <t>f</t>
  </si>
  <si>
    <t>w.cons</t>
  </si>
  <si>
    <t>Sector Allocation%</t>
  </si>
  <si>
    <t>Total Allocation%</t>
  </si>
  <si>
    <t>Total Allocation $</t>
  </si>
  <si>
    <t>VNQ</t>
  </si>
  <si>
    <t xml:space="preserve">Cash </t>
  </si>
  <si>
    <t>Total</t>
  </si>
  <si>
    <t>Active Holding</t>
  </si>
  <si>
    <t>ETF Holdings</t>
  </si>
  <si>
    <t>Beta</t>
  </si>
  <si>
    <t>Material</t>
  </si>
  <si>
    <t>Energy</t>
  </si>
  <si>
    <t>Beta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</si>
</sst>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" fontId="18" fillId="0" borderId="0" xfId="44" applyNumberFormat="1"/>
    <xf numFmtId="3" fontId="19" fillId="0" borderId="0" xfId="0" applyNumberFormat="1" applyFont="1"/>
    <xf numFmtId="44" fontId="0" fillId="0" borderId="0" xfId="0" applyNumberFormat="1"/>
    <xf numFmtId="44" fontId="0" fillId="0" borderId="0" xfId="1" applyFont="1" applyAlignment="1">
      <alignment horizontal="left"/>
    </xf>
    <xf numFmtId="2" fontId="0" fillId="0" borderId="0" xfId="2" applyNumberFormat="1" applyFont="1"/>
    <xf numFmtId="4" fontId="0" fillId="0" borderId="0" xfId="0" applyNumberFormat="1"/>
    <xf numFmtId="0" fontId="0" fillId="0" borderId="0" xfId="0" applyFont="1"/>
    <xf numFmtId="0" fontId="0" fillId="0" borderId="10" xfId="0" applyFont="1" applyBorder="1"/>
    <xf numFmtId="165" fontId="0" fillId="0" borderId="0" xfId="2" applyNumberFormat="1" applyFont="1"/>
    <xf numFmtId="0" fontId="0" fillId="0" borderId="11" xfId="0" applyBorder="1"/>
    <xf numFmtId="44" fontId="0" fillId="0" borderId="11" xfId="1" applyFont="1" applyBorder="1"/>
    <xf numFmtId="10" fontId="0" fillId="0" borderId="11" xfId="2" applyNumberFormat="1" applyFont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4" totalsRowShown="0">
  <autoFilter ref="A1:K14"/>
  <tableColumns count="11">
    <tableColumn id="1" name="HHIC Sector"/>
    <tableColumn id="2" name="Ticker"/>
    <tableColumn id="3" name="Current.Price"/>
    <tableColumn id="4" name="Target.Price"/>
    <tableColumn id="5" name="Expected.Return"/>
    <tableColumn id="6" name="Estimated.Volatility"/>
    <tableColumn id="7" name="E/R">
      <calculatedColumnFormula>E2/F2</calculatedColumnFormula>
    </tableColumn>
    <tableColumn id="9" name="Weight"/>
    <tableColumn id="10" name="Market Cap(mm)" dataDxfId="1" totalsRowDxfId="0" dataCellStyle="Hyperlink"/>
    <tableColumn id="11" name="Sector Cap"/>
    <tableColumn id="12" name="S&amp;P 5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click();" TargetMode="External"/><Relationship Id="rId7" Type="http://schemas.openxmlformats.org/officeDocument/2006/relationships/table" Target="../tables/table1.xml"/><Relationship Id="rId2" Type="http://schemas.openxmlformats.org/officeDocument/2006/relationships/hyperlink" Target="javascript:click();" TargetMode="External"/><Relationship Id="rId1" Type="http://schemas.openxmlformats.org/officeDocument/2006/relationships/hyperlink" Target="javascript:click();" TargetMode="External"/><Relationship Id="rId6" Type="http://schemas.openxmlformats.org/officeDocument/2006/relationships/hyperlink" Target="javascript:click();" TargetMode="External"/><Relationship Id="rId5" Type="http://schemas.openxmlformats.org/officeDocument/2006/relationships/hyperlink" Target="javascript:click();" TargetMode="External"/><Relationship Id="rId4" Type="http://schemas.openxmlformats.org/officeDocument/2006/relationships/hyperlink" Target="javascript:click(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4" sqref="G14"/>
    </sheetView>
  </sheetViews>
  <sheetFormatPr defaultRowHeight="14.4" x14ac:dyDescent="0.3"/>
  <cols>
    <col min="1" max="1" width="18.88671875" bestFit="1" customWidth="1"/>
    <col min="3" max="3" width="14.88671875" customWidth="1"/>
    <col min="4" max="4" width="13.6640625" customWidth="1"/>
    <col min="5" max="5" width="17.88671875" customWidth="1"/>
    <col min="6" max="6" width="20.6640625" customWidth="1"/>
    <col min="8" max="8" width="11.6640625" customWidth="1"/>
    <col min="9" max="9" width="18" customWidth="1"/>
    <col min="10" max="10" width="12.44140625" customWidth="1"/>
    <col min="11" max="11" width="10.109375" bestFit="1" customWidth="1"/>
  </cols>
  <sheetData>
    <row r="1" spans="1:11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19</v>
      </c>
      <c r="I1" t="s">
        <v>49</v>
      </c>
      <c r="J1" t="s">
        <v>47</v>
      </c>
      <c r="K1" t="s">
        <v>48</v>
      </c>
    </row>
    <row r="2" spans="1:11" x14ac:dyDescent="0.25">
      <c r="A2" t="s">
        <v>23</v>
      </c>
      <c r="B2" t="s">
        <v>5</v>
      </c>
      <c r="C2">
        <v>88.43</v>
      </c>
      <c r="D2">
        <v>130</v>
      </c>
      <c r="E2">
        <v>0.19717090044926799</v>
      </c>
      <c r="F2">
        <v>0.419442175932488</v>
      </c>
      <c r="G2">
        <f>E2/F2</f>
        <v>0.47007886131366045</v>
      </c>
      <c r="H2" s="9">
        <f>I2/J2</f>
        <v>2.8384569400611251E-2</v>
      </c>
      <c r="I2" s="5">
        <v>48411.5</v>
      </c>
      <c r="J2">
        <f>K2*ETFS!G2</f>
        <v>1705556.9636000001</v>
      </c>
      <c r="K2" s="6">
        <v>18783667</v>
      </c>
    </row>
    <row r="3" spans="1:11" x14ac:dyDescent="0.25">
      <c r="A3" t="s">
        <v>36</v>
      </c>
      <c r="B3" t="s">
        <v>6</v>
      </c>
      <c r="C3">
        <v>52.82</v>
      </c>
      <c r="D3">
        <v>60</v>
      </c>
      <c r="E3">
        <v>8.6461558652230597E-2</v>
      </c>
      <c r="F3">
        <v>0.28633231288446698</v>
      </c>
      <c r="G3">
        <f t="shared" ref="G3:G14" si="0">E3/F3</f>
        <v>0.30196228215121923</v>
      </c>
      <c r="H3">
        <f>I3/J3</f>
        <v>3.7067953225617276E-2</v>
      </c>
      <c r="I3" s="5">
        <v>99288.4</v>
      </c>
      <c r="J3">
        <f>K2*ETFS!G9</f>
        <v>2678550.9142</v>
      </c>
    </row>
    <row r="4" spans="1:11" x14ac:dyDescent="0.25">
      <c r="A4" t="s">
        <v>42</v>
      </c>
      <c r="B4" t="s">
        <v>7</v>
      </c>
      <c r="C4">
        <v>51.31</v>
      </c>
      <c r="D4">
        <v>74.790000000000006</v>
      </c>
      <c r="E4">
        <v>8.27262540673184E-2</v>
      </c>
      <c r="F4">
        <v>0.34239140549561198</v>
      </c>
      <c r="G4">
        <f t="shared" si="0"/>
        <v>0.24161311510600578</v>
      </c>
      <c r="H4">
        <f>Table1[[#This Row],[Market Cap(mm)]]/Table1[[#This Row],[Sector Cap]]</f>
        <v>8.6968530270895031E-2</v>
      </c>
      <c r="I4" s="5">
        <v>267581.7</v>
      </c>
      <c r="J4">
        <f>K2*ETFS!G10</f>
        <v>3076764.6546</v>
      </c>
    </row>
    <row r="5" spans="1:11" x14ac:dyDescent="0.25">
      <c r="A5" t="s">
        <v>42</v>
      </c>
      <c r="B5" t="s">
        <v>8</v>
      </c>
      <c r="C5">
        <v>48.25</v>
      </c>
      <c r="D5">
        <v>56</v>
      </c>
      <c r="E5">
        <v>0.119847510184324</v>
      </c>
      <c r="F5">
        <v>0.241281382480413</v>
      </c>
      <c r="G5">
        <f t="shared" si="0"/>
        <v>0.49671263050746617</v>
      </c>
      <c r="H5">
        <f>I5/J5</f>
        <v>2.9378262606098257E-2</v>
      </c>
      <c r="I5">
        <f>90.39*1000</f>
        <v>90390</v>
      </c>
      <c r="J5">
        <f>J4</f>
        <v>3076764.6546</v>
      </c>
    </row>
    <row r="6" spans="1:11" x14ac:dyDescent="0.25">
      <c r="A6" t="s">
        <v>36</v>
      </c>
      <c r="B6" t="s">
        <v>9</v>
      </c>
      <c r="C6">
        <v>103.1</v>
      </c>
      <c r="D6">
        <v>115</v>
      </c>
      <c r="E6">
        <v>0.26203103182892601</v>
      </c>
      <c r="F6">
        <v>0.397853782428852</v>
      </c>
      <c r="G6">
        <f t="shared" si="0"/>
        <v>0.65861138790551754</v>
      </c>
      <c r="H6">
        <f>Table1[[#This Row],[Market Cap(mm)]]/Table1[[#This Row],[Sector Cap]]</f>
        <v>3.0773915688147049E-2</v>
      </c>
      <c r="I6" s="10">
        <v>82429.5</v>
      </c>
      <c r="J6">
        <f>J3</f>
        <v>2678550.9142</v>
      </c>
    </row>
    <row r="7" spans="1:11" x14ac:dyDescent="0.25">
      <c r="A7" t="s">
        <v>41</v>
      </c>
      <c r="B7" t="s">
        <v>10</v>
      </c>
      <c r="C7">
        <v>37.39</v>
      </c>
      <c r="D7">
        <v>40</v>
      </c>
      <c r="E7">
        <v>2.0559421043130799E-2</v>
      </c>
      <c r="F7">
        <v>0.30632252310851499</v>
      </c>
      <c r="G7">
        <f t="shared" si="0"/>
        <v>6.7116909440732203E-2</v>
      </c>
      <c r="H7">
        <f>Table1[[#This Row],[Market Cap(mm)]]/Table1[[#This Row],[Sector Cap]]</f>
        <v>4.704947523516044E-3</v>
      </c>
      <c r="I7">
        <f>21244.1/1.1191</f>
        <v>18983.200786346169</v>
      </c>
      <c r="J7">
        <f>K2*(ETFS!G6+ETFS!G7)</f>
        <v>4034731.6716</v>
      </c>
    </row>
    <row r="8" spans="1:11" x14ac:dyDescent="0.25">
      <c r="A8" t="s">
        <v>27</v>
      </c>
      <c r="B8" t="s">
        <v>11</v>
      </c>
      <c r="C8">
        <v>11.39</v>
      </c>
      <c r="D8">
        <v>12.46</v>
      </c>
      <c r="E8">
        <v>0.26471321794063901</v>
      </c>
      <c r="F8">
        <v>0.56641842856296898</v>
      </c>
      <c r="G8">
        <f t="shared" si="0"/>
        <v>0.46734570167893247</v>
      </c>
      <c r="H8">
        <f>I8/J8</f>
        <v>1.1922528849142333E-5</v>
      </c>
      <c r="I8">
        <v>49</v>
      </c>
      <c r="J8">
        <f>K2*ETFS!G4</f>
        <v>4109866.3396000001</v>
      </c>
    </row>
    <row r="9" spans="1:11" x14ac:dyDescent="0.25">
      <c r="A9" t="s">
        <v>63</v>
      </c>
      <c r="B9" t="s">
        <v>12</v>
      </c>
      <c r="C9">
        <v>8.48</v>
      </c>
      <c r="D9">
        <v>8</v>
      </c>
      <c r="E9">
        <v>-0.26840597042985498</v>
      </c>
      <c r="F9">
        <v>0.64828552707256903</v>
      </c>
      <c r="G9">
        <f t="shared" si="0"/>
        <v>-0.41402431370307241</v>
      </c>
      <c r="H9">
        <f>Table1[[#This Row],[Market Cap(mm)]]/Table1[[#This Row],[Sector Cap]]</f>
        <v>1.9294019447877908E-3</v>
      </c>
      <c r="I9" s="10">
        <f>1338.4/1.1191</f>
        <v>1195.9610401215264</v>
      </c>
      <c r="J9">
        <f>K2*ETFS!G5</f>
        <v>619861.01100000006</v>
      </c>
    </row>
    <row r="10" spans="1:11" x14ac:dyDescent="0.25">
      <c r="A10" t="s">
        <v>27</v>
      </c>
      <c r="B10" t="s">
        <v>13</v>
      </c>
      <c r="C10">
        <v>105.11</v>
      </c>
      <c r="D10">
        <v>112</v>
      </c>
      <c r="E10">
        <v>0.31788043554615802</v>
      </c>
      <c r="F10">
        <v>0.39241843593067999</v>
      </c>
      <c r="G10">
        <f t="shared" si="0"/>
        <v>0.8100547946791955</v>
      </c>
      <c r="H10">
        <f>I10/J10</f>
        <v>0.14999351537548966</v>
      </c>
      <c r="I10" s="5">
        <v>616453.30000000005</v>
      </c>
      <c r="J10">
        <f>K2*ETFS!G4</f>
        <v>4109866.3396000001</v>
      </c>
    </row>
    <row r="11" spans="1:11" x14ac:dyDescent="0.25">
      <c r="A11" t="s">
        <v>51</v>
      </c>
      <c r="B11" t="s">
        <v>14</v>
      </c>
      <c r="C11">
        <v>122.12</v>
      </c>
      <c r="D11">
        <v>160.09</v>
      </c>
      <c r="E11">
        <v>0.22728741800692101</v>
      </c>
      <c r="F11">
        <v>0.29476964299739</v>
      </c>
      <c r="G11">
        <f t="shared" si="0"/>
        <v>0.77106792848724082</v>
      </c>
      <c r="H11">
        <f>Table1[[#This Row],[Market Cap(mm)]]/Table1[[#This Row],[Sector Cap]]</f>
        <v>3.3758505274065896E-2</v>
      </c>
      <c r="I11" s="5">
        <v>87063.1</v>
      </c>
      <c r="J11">
        <f>K2*(ETFS!G5+ETFS!G8)</f>
        <v>2578997.4791000001</v>
      </c>
    </row>
    <row r="12" spans="1:11" x14ac:dyDescent="0.25">
      <c r="A12" t="s">
        <v>51</v>
      </c>
      <c r="B12" t="s">
        <v>15</v>
      </c>
      <c r="C12">
        <v>96.25</v>
      </c>
      <c r="D12">
        <v>107.5</v>
      </c>
      <c r="E12">
        <v>9.6678333448218606E-2</v>
      </c>
      <c r="F12">
        <v>0.34063571252559299</v>
      </c>
      <c r="G12">
        <f t="shared" si="0"/>
        <v>0.28381737408391927</v>
      </c>
      <c r="H12">
        <f>Table1[[#This Row],[Market Cap(mm)]]/Table1[[#This Row],[Sector Cap]]</f>
        <v>7.8143729527275097E-3</v>
      </c>
      <c r="I12" s="5">
        <f>22553.5/1.1191</f>
        <v>20153.248145831472</v>
      </c>
      <c r="J12">
        <f>J11</f>
        <v>2578997.4791000001</v>
      </c>
    </row>
    <row r="13" spans="1:11" x14ac:dyDescent="0.25">
      <c r="A13" t="s">
        <v>41</v>
      </c>
      <c r="B13" t="s">
        <v>16</v>
      </c>
      <c r="C13">
        <v>38.450000000000003</v>
      </c>
      <c r="D13">
        <v>48</v>
      </c>
      <c r="E13">
        <v>9.0538459569803206E-2</v>
      </c>
      <c r="F13">
        <v>0.40840767804587202</v>
      </c>
      <c r="G13">
        <f t="shared" si="0"/>
        <v>0.22168647759759796</v>
      </c>
      <c r="H13">
        <f>Table1[[#This Row],[Market Cap(mm)]]/Table1[[#This Row],[Sector Cap]]</f>
        <v>3.4425833315680858E-3</v>
      </c>
      <c r="I13" s="10">
        <v>13889.9</v>
      </c>
      <c r="J13">
        <f>J7</f>
        <v>4034731.6716</v>
      </c>
    </row>
    <row r="14" spans="1:11" x14ac:dyDescent="0.25">
      <c r="A14" t="s">
        <v>42</v>
      </c>
      <c r="B14" t="s">
        <v>17</v>
      </c>
      <c r="C14">
        <v>118.5</v>
      </c>
      <c r="D14">
        <v>138</v>
      </c>
      <c r="E14">
        <v>0.14654173532701101</v>
      </c>
      <c r="F14">
        <v>0.38944914462253999</v>
      </c>
      <c r="G14">
        <f t="shared" si="0"/>
        <v>0.37627951518301955</v>
      </c>
      <c r="H14">
        <f>I14/J14</f>
        <v>7.2099437202108579E-3</v>
      </c>
      <c r="I14" s="5">
        <v>22183.3</v>
      </c>
      <c r="J14">
        <f>J4</f>
        <v>3076764.6546</v>
      </c>
    </row>
    <row r="15" spans="1:11" x14ac:dyDescent="0.25">
      <c r="A15" t="s">
        <v>18</v>
      </c>
    </row>
    <row r="24" spans="1:1" x14ac:dyDescent="0.25">
      <c r="A24" t="s">
        <v>52</v>
      </c>
    </row>
  </sheetData>
  <hyperlinks>
    <hyperlink ref="I2" r:id="rId1" display="javascript:click();"/>
    <hyperlink ref="I14" r:id="rId2" display="javascript:click();"/>
    <hyperlink ref="I3" r:id="rId3" display="javascript:click();"/>
    <hyperlink ref="I4" r:id="rId4" display="javascript:click();"/>
    <hyperlink ref="I10" r:id="rId5" display="javascript:click();"/>
    <hyperlink ref="I12" r:id="rId6" display="javascript:click();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6" sqref="A6"/>
    </sheetView>
  </sheetViews>
  <sheetFormatPr defaultRowHeight="14.4" x14ac:dyDescent="0.3"/>
  <cols>
    <col min="1" max="1" width="11.33203125" bestFit="1" customWidth="1"/>
    <col min="2" max="2" width="29.33203125" customWidth="1"/>
    <col min="4" max="4" width="15.88671875" bestFit="1" customWidth="1"/>
    <col min="5" max="5" width="17" bestFit="1" customWidth="1"/>
  </cols>
  <sheetData>
    <row r="1" spans="1:7" ht="15" x14ac:dyDescent="0.25">
      <c r="A1" t="s">
        <v>40</v>
      </c>
      <c r="B1" t="s">
        <v>21</v>
      </c>
      <c r="C1" t="s">
        <v>0</v>
      </c>
      <c r="D1" t="s">
        <v>3</v>
      </c>
      <c r="E1" s="12" t="s">
        <v>4</v>
      </c>
      <c r="F1" t="s">
        <v>46</v>
      </c>
      <c r="G1" t="s">
        <v>19</v>
      </c>
    </row>
    <row r="2" spans="1:7" ht="15" x14ac:dyDescent="0.25">
      <c r="A2" t="str">
        <f>B2</f>
        <v xml:space="preserve">Energy </v>
      </c>
      <c r="B2" t="s">
        <v>23</v>
      </c>
      <c r="C2" t="s">
        <v>20</v>
      </c>
      <c r="D2">
        <v>6.3029874087251497E-2</v>
      </c>
      <c r="E2">
        <v>0.29400396963266301</v>
      </c>
      <c r="F2">
        <f>D2/E2</f>
        <v>0.21438443217621458</v>
      </c>
      <c r="G2" s="2">
        <v>9.0800000000000006E-2</v>
      </c>
    </row>
    <row r="3" spans="1:7" ht="15" x14ac:dyDescent="0.25">
      <c r="B3" t="s">
        <v>24</v>
      </c>
      <c r="C3" t="s">
        <v>25</v>
      </c>
      <c r="D3">
        <v>7.5767739089880104E-2</v>
      </c>
      <c r="E3">
        <v>0.178226854523821</v>
      </c>
      <c r="F3">
        <f t="shared" ref="F3:F10" si="0">D3/E3</f>
        <v>0.42511965602665858</v>
      </c>
      <c r="G3" s="3">
        <v>3.1800000000000002E-2</v>
      </c>
    </row>
    <row r="4" spans="1:7" ht="15" x14ac:dyDescent="0.25">
      <c r="A4" t="s">
        <v>27</v>
      </c>
      <c r="B4" t="s">
        <v>27</v>
      </c>
      <c r="C4" t="s">
        <v>26</v>
      </c>
      <c r="D4">
        <v>9.3738478272951203E-2</v>
      </c>
      <c r="E4">
        <v>0.20458920255153601</v>
      </c>
      <c r="F4">
        <f t="shared" si="0"/>
        <v>0.45817900995698191</v>
      </c>
      <c r="G4" s="3">
        <v>0.21879999999999999</v>
      </c>
    </row>
    <row r="5" spans="1:7" ht="15" x14ac:dyDescent="0.25">
      <c r="A5" t="str">
        <f>B5</f>
        <v xml:space="preserve">Materials </v>
      </c>
      <c r="B5" t="s">
        <v>28</v>
      </c>
      <c r="C5" t="s">
        <v>29</v>
      </c>
      <c r="D5">
        <v>7.03112099703532E-2</v>
      </c>
      <c r="E5">
        <v>0.255727980441183</v>
      </c>
      <c r="F5">
        <f t="shared" si="0"/>
        <v>0.27494531434945835</v>
      </c>
      <c r="G5" s="3">
        <v>3.3000000000000002E-2</v>
      </c>
    </row>
    <row r="6" spans="1:7" ht="15" x14ac:dyDescent="0.25">
      <c r="A6" t="s">
        <v>41</v>
      </c>
      <c r="B6" t="s">
        <v>30</v>
      </c>
      <c r="C6" t="s">
        <v>31</v>
      </c>
      <c r="D6">
        <v>0.10316253436714</v>
      </c>
      <c r="E6">
        <v>0.138654321689656</v>
      </c>
      <c r="F6">
        <f t="shared" si="0"/>
        <v>0.74402682231603467</v>
      </c>
      <c r="G6" s="3">
        <v>9.7699999999999995E-2</v>
      </c>
    </row>
    <row r="7" spans="1:7" ht="15" x14ac:dyDescent="0.25">
      <c r="A7" t="s">
        <v>41</v>
      </c>
      <c r="B7" t="s">
        <v>32</v>
      </c>
      <c r="C7" t="s">
        <v>35</v>
      </c>
      <c r="D7">
        <v>9.7298088803410301E-2</v>
      </c>
      <c r="E7">
        <v>0.211602180681531</v>
      </c>
      <c r="F7">
        <f t="shared" si="0"/>
        <v>0.45981609683809199</v>
      </c>
      <c r="G7" s="3">
        <v>0.1171</v>
      </c>
    </row>
    <row r="8" spans="1:7" ht="15" x14ac:dyDescent="0.25">
      <c r="A8" t="s">
        <v>51</v>
      </c>
      <c r="B8" t="s">
        <v>33</v>
      </c>
      <c r="C8" t="s">
        <v>34</v>
      </c>
      <c r="D8">
        <v>7.65050511243099E-2</v>
      </c>
      <c r="E8">
        <v>0.21207293224249199</v>
      </c>
      <c r="F8">
        <f t="shared" si="0"/>
        <v>0.36074877786303822</v>
      </c>
      <c r="G8" s="3">
        <v>0.1043</v>
      </c>
    </row>
    <row r="9" spans="1:7" ht="15" x14ac:dyDescent="0.25">
      <c r="A9" t="s">
        <v>36</v>
      </c>
      <c r="B9" t="s">
        <v>36</v>
      </c>
      <c r="C9" t="s">
        <v>37</v>
      </c>
      <c r="D9">
        <v>0.110563043929608</v>
      </c>
      <c r="E9">
        <v>0.165731965198745</v>
      </c>
      <c r="F9">
        <f t="shared" si="0"/>
        <v>0.66711960964815276</v>
      </c>
      <c r="G9" s="3">
        <v>0.1426</v>
      </c>
    </row>
    <row r="10" spans="1:7" ht="15" x14ac:dyDescent="0.25">
      <c r="A10" t="s">
        <v>42</v>
      </c>
      <c r="B10" t="s">
        <v>39</v>
      </c>
      <c r="C10" t="s">
        <v>38</v>
      </c>
      <c r="D10">
        <v>-1.9185381379605002E-2</v>
      </c>
      <c r="E10">
        <v>0.279077953046245</v>
      </c>
      <c r="F10">
        <f t="shared" si="0"/>
        <v>-6.8745600181558814E-2</v>
      </c>
      <c r="G10" s="3">
        <v>0.1638</v>
      </c>
    </row>
    <row r="11" spans="1:7" x14ac:dyDescent="0.3">
      <c r="G11" s="3"/>
    </row>
    <row r="12" spans="1:7" x14ac:dyDescent="0.3">
      <c r="A12" t="s">
        <v>48</v>
      </c>
      <c r="D12">
        <f>G2*D2+G3*D3+G4*D4+G5*D5+G6*D6+G7*D7+G8*D8+G9*D9+G10*D10</f>
        <v>7.3038562878521243E-2</v>
      </c>
      <c r="E12">
        <f>G2*E2+G3*E3+G4*E4+G5*E5+G6*E6+G7*E7+G8*E8+G9*E9+G10*E10</f>
        <v>0.215357011655433</v>
      </c>
      <c r="F12">
        <f>D12/E12</f>
        <v>0.33915107902491476</v>
      </c>
      <c r="G12" s="3"/>
    </row>
    <row r="13" spans="1:7" x14ac:dyDescent="0.3">
      <c r="G13" s="3"/>
    </row>
    <row r="14" spans="1:7" x14ac:dyDescent="0.3">
      <c r="G14" s="3"/>
    </row>
    <row r="15" spans="1:7" x14ac:dyDescent="0.3">
      <c r="G15" s="3"/>
    </row>
    <row r="16" spans="1:7" x14ac:dyDescent="0.3">
      <c r="D16" t="s">
        <v>45</v>
      </c>
      <c r="G16" s="3"/>
    </row>
    <row r="17" spans="7:7" x14ac:dyDescent="0.3">
      <c r="G17" s="3"/>
    </row>
    <row r="18" spans="7:7" x14ac:dyDescent="0.3">
      <c r="G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10" zoomScale="70" zoomScaleNormal="70" workbookViewId="0">
      <selection activeCell="B17" sqref="B17"/>
    </sheetView>
  </sheetViews>
  <sheetFormatPr defaultRowHeight="14.4" x14ac:dyDescent="0.3"/>
  <cols>
    <col min="1" max="1" width="17.44140625" bestFit="1" customWidth="1"/>
    <col min="2" max="2" width="15.33203125" style="1" bestFit="1" customWidth="1"/>
    <col min="3" max="3" width="14.33203125" bestFit="1" customWidth="1"/>
    <col min="4" max="4" width="11.5546875" bestFit="1" customWidth="1"/>
    <col min="5" max="5" width="15.88671875" bestFit="1" customWidth="1"/>
    <col min="6" max="6" width="18.88671875" bestFit="1" customWidth="1"/>
    <col min="7" max="7" width="12.6640625" bestFit="1" customWidth="1"/>
    <col min="8" max="8" width="16.77734375" bestFit="1" customWidth="1"/>
    <col min="9" max="9" width="16.44140625" bestFit="1" customWidth="1"/>
    <col min="10" max="10" width="16.5546875" bestFit="1" customWidth="1"/>
    <col min="11" max="11" width="14" bestFit="1" customWidth="1"/>
    <col min="12" max="12" width="14.33203125" bestFit="1" customWidth="1"/>
    <col min="14" max="14" width="12.6640625" bestFit="1" customWidth="1"/>
    <col min="16" max="16" width="12.5546875" bestFit="1" customWidth="1"/>
  </cols>
  <sheetData>
    <row r="1" spans="1:15" ht="15" x14ac:dyDescent="0.25">
      <c r="A1" t="s">
        <v>22</v>
      </c>
      <c r="B1" s="1">
        <v>10000000</v>
      </c>
      <c r="D1" t="s">
        <v>58</v>
      </c>
      <c r="E1" s="4">
        <f>B1-B13-E2</f>
        <v>500850</v>
      </c>
    </row>
    <row r="2" spans="1:15" ht="15" x14ac:dyDescent="0.25">
      <c r="A2" t="s">
        <v>44</v>
      </c>
      <c r="B2" s="1">
        <f>B1*0.85</f>
        <v>8500000</v>
      </c>
      <c r="D2" t="s">
        <v>57</v>
      </c>
      <c r="E2" s="4">
        <f>B1*0.1</f>
        <v>1000000</v>
      </c>
    </row>
    <row r="4" spans="1:15" ht="15" x14ac:dyDescent="0.25">
      <c r="A4" t="s">
        <v>43</v>
      </c>
    </row>
    <row r="5" spans="1:15" ht="15" x14ac:dyDescent="0.25">
      <c r="A5" t="s">
        <v>64</v>
      </c>
      <c r="B5" s="1">
        <f>B2*ETFS!G2</f>
        <v>771800</v>
      </c>
    </row>
    <row r="6" spans="1:15" ht="15" x14ac:dyDescent="0.25">
      <c r="A6" t="s">
        <v>24</v>
      </c>
      <c r="B6" s="1">
        <f>B2*ETFS!G3</f>
        <v>270300</v>
      </c>
    </row>
    <row r="7" spans="1:15" ht="15" x14ac:dyDescent="0.25">
      <c r="A7" t="s">
        <v>28</v>
      </c>
      <c r="B7" s="1">
        <f>B2*ETFS!G5</f>
        <v>280500</v>
      </c>
    </row>
    <row r="8" spans="1:15" ht="15" x14ac:dyDescent="0.25">
      <c r="A8" t="s">
        <v>27</v>
      </c>
      <c r="B8" s="1">
        <f>B2*ETFS!G4</f>
        <v>1859800</v>
      </c>
    </row>
    <row r="9" spans="1:15" ht="15" x14ac:dyDescent="0.25">
      <c r="A9" t="s">
        <v>51</v>
      </c>
      <c r="B9" s="1">
        <f>B2*ETFS!G8</f>
        <v>886550</v>
      </c>
    </row>
    <row r="10" spans="1:15" ht="15" x14ac:dyDescent="0.25">
      <c r="A10" t="s">
        <v>41</v>
      </c>
      <c r="B10" s="1">
        <f>B2*(ETFS!G6+ETFS!G7)</f>
        <v>1825800</v>
      </c>
    </row>
    <row r="11" spans="1:15" ht="15" x14ac:dyDescent="0.25">
      <c r="A11" t="s">
        <v>36</v>
      </c>
      <c r="B11" s="1">
        <f>B2*(ETFS!G9)</f>
        <v>1212100</v>
      </c>
      <c r="O11" s="5"/>
    </row>
    <row r="12" spans="1:15" ht="15" x14ac:dyDescent="0.25">
      <c r="A12" t="s">
        <v>42</v>
      </c>
      <c r="B12" s="1">
        <f>B2*ETFS!G10</f>
        <v>1392300</v>
      </c>
      <c r="C12" s="7"/>
    </row>
    <row r="13" spans="1:15" ht="15" x14ac:dyDescent="0.25">
      <c r="A13" t="s">
        <v>59</v>
      </c>
      <c r="B13" s="1">
        <f>SUM(B5:B12)</f>
        <v>8499150</v>
      </c>
      <c r="C13" s="7"/>
    </row>
    <row r="15" spans="1:15" ht="15" x14ac:dyDescent="0.25">
      <c r="A15" t="s">
        <v>40</v>
      </c>
      <c r="B15" t="s">
        <v>0</v>
      </c>
      <c r="C15" t="s">
        <v>1</v>
      </c>
      <c r="D15" t="s">
        <v>2</v>
      </c>
      <c r="E15" t="s">
        <v>3</v>
      </c>
      <c r="F15" s="12" t="s">
        <v>4</v>
      </c>
      <c r="G15" t="s">
        <v>46</v>
      </c>
      <c r="H15" t="s">
        <v>54</v>
      </c>
      <c r="I15" t="s">
        <v>56</v>
      </c>
      <c r="J15" t="s">
        <v>55</v>
      </c>
      <c r="K15" t="s">
        <v>60</v>
      </c>
      <c r="L15" t="s">
        <v>61</v>
      </c>
      <c r="M15" t="s">
        <v>62</v>
      </c>
      <c r="N15" t="s">
        <v>65</v>
      </c>
    </row>
    <row r="16" spans="1:15" ht="15" x14ac:dyDescent="0.25">
      <c r="A16" t="s">
        <v>23</v>
      </c>
      <c r="B16" t="s">
        <v>5</v>
      </c>
      <c r="C16">
        <v>88.43</v>
      </c>
      <c r="D16">
        <v>130</v>
      </c>
      <c r="E16">
        <v>0.19717090044926799</v>
      </c>
      <c r="F16">
        <v>0.419442175932488</v>
      </c>
      <c r="G16">
        <f>E16/F16</f>
        <v>0.47007886131366045</v>
      </c>
      <c r="H16" s="2">
        <f>(G16/G17)*0.2-EstimatedData!H2</f>
        <v>0.41015367383085277</v>
      </c>
      <c r="I16" s="4">
        <f>H16*B5</f>
        <v>316556.60546265217</v>
      </c>
      <c r="J16" s="2">
        <f>I16/8500000</f>
        <v>3.7241953583841428E-2</v>
      </c>
      <c r="M16">
        <v>1.3059084160669401</v>
      </c>
      <c r="N16">
        <f>M16*J16</f>
        <v>4.8634580615912859E-2</v>
      </c>
    </row>
    <row r="17" spans="1:16" ht="15" x14ac:dyDescent="0.25">
      <c r="B17" t="s">
        <v>20</v>
      </c>
      <c r="E17">
        <v>6.3029874087251497E-2</v>
      </c>
      <c r="F17">
        <v>0.29400396963266301</v>
      </c>
      <c r="G17">
        <f>E17/F17</f>
        <v>0.21438443217621458</v>
      </c>
      <c r="H17" s="2">
        <f>1-SUM(H16)</f>
        <v>0.58984632616914723</v>
      </c>
      <c r="I17" s="7">
        <f>B5*H17</f>
        <v>455243.39453734783</v>
      </c>
      <c r="J17" s="2">
        <f>I17/8500000</f>
        <v>5.3558046416158571E-2</v>
      </c>
      <c r="M17">
        <v>1.0288815727992999</v>
      </c>
      <c r="N17">
        <f>M17*J17</f>
        <v>5.5104887032715141E-2</v>
      </c>
    </row>
    <row r="18" spans="1:16" ht="15" x14ac:dyDescent="0.25">
      <c r="H18" s="2"/>
      <c r="J18" s="2"/>
    </row>
    <row r="19" spans="1:16" ht="15" x14ac:dyDescent="0.25">
      <c r="A19" t="s">
        <v>24</v>
      </c>
      <c r="B19" t="s">
        <v>25</v>
      </c>
      <c r="E19">
        <v>7.5767739089880104E-2</v>
      </c>
      <c r="F19">
        <v>0.178226854523821</v>
      </c>
      <c r="G19">
        <f t="shared" ref="G19" si="0">E19/F19</f>
        <v>0.42511965602665858</v>
      </c>
      <c r="H19" s="2">
        <f>1</f>
        <v>1</v>
      </c>
      <c r="I19" s="4">
        <f>H19*B6</f>
        <v>270300</v>
      </c>
      <c r="J19" s="2">
        <f>I19/8500000</f>
        <v>3.1800000000000002E-2</v>
      </c>
      <c r="M19">
        <v>0.41035503478346103</v>
      </c>
      <c r="N19">
        <f t="shared" ref="N19:N45" si="1">M19*J19</f>
        <v>1.3049290106114062E-2</v>
      </c>
    </row>
    <row r="20" spans="1:16" ht="15" x14ac:dyDescent="0.25">
      <c r="H20" s="2"/>
      <c r="J20" s="2"/>
    </row>
    <row r="21" spans="1:16" ht="15" x14ac:dyDescent="0.25">
      <c r="B21" t="s">
        <v>12</v>
      </c>
      <c r="C21">
        <v>8.48</v>
      </c>
      <c r="D21">
        <v>8</v>
      </c>
      <c r="E21">
        <v>-0.26840597042985498</v>
      </c>
      <c r="F21">
        <v>0.64828552707256903</v>
      </c>
      <c r="G21">
        <f t="shared" ref="G21" si="2">E21/F21</f>
        <v>-0.41402431370307241</v>
      </c>
      <c r="H21" s="2">
        <f>(G21/G22)*0.2-EstimatedData!H9</f>
        <v>-0.30309788316272429</v>
      </c>
      <c r="I21" s="4">
        <f>H21*B7</f>
        <v>-85018.956227144168</v>
      </c>
      <c r="J21" s="2">
        <f>I21/8500000</f>
        <v>-1.0002230144369902E-2</v>
      </c>
      <c r="M21">
        <v>0.21464317646393899</v>
      </c>
      <c r="N21">
        <f t="shared" si="1"/>
        <v>-2.146910449910919E-3</v>
      </c>
    </row>
    <row r="22" spans="1:16" ht="15" x14ac:dyDescent="0.25">
      <c r="A22" t="s">
        <v>28</v>
      </c>
      <c r="B22" t="s">
        <v>29</v>
      </c>
      <c r="E22">
        <v>7.03112099703532E-2</v>
      </c>
      <c r="F22">
        <v>0.255727980441183</v>
      </c>
      <c r="G22">
        <f t="shared" ref="G22" si="3">E22/F22</f>
        <v>0.27494531434945835</v>
      </c>
      <c r="H22" s="2">
        <f>1-SUM(H21)</f>
        <v>1.3030978831627242</v>
      </c>
      <c r="I22" s="4">
        <f>B7*H22</f>
        <v>365518.95622714417</v>
      </c>
      <c r="J22" s="2">
        <f>I22/8500000</f>
        <v>4.30022301443699E-2</v>
      </c>
      <c r="M22">
        <v>1.0107015957166601</v>
      </c>
      <c r="N22">
        <f t="shared" si="1"/>
        <v>4.3462422626289722E-2</v>
      </c>
      <c r="P22" s="4"/>
    </row>
    <row r="23" spans="1:16" ht="15" x14ac:dyDescent="0.25">
      <c r="H23" s="2"/>
      <c r="J23" s="2"/>
    </row>
    <row r="24" spans="1:16" ht="15" x14ac:dyDescent="0.25">
      <c r="A24" t="s">
        <v>27</v>
      </c>
      <c r="B24" t="s">
        <v>11</v>
      </c>
      <c r="C24">
        <v>11.39</v>
      </c>
      <c r="D24">
        <v>12.46</v>
      </c>
      <c r="E24">
        <v>0.26471321794063901</v>
      </c>
      <c r="F24">
        <v>0.56641842856296898</v>
      </c>
      <c r="G24">
        <f t="shared" ref="G24:G26" si="4">E24/F24</f>
        <v>0.46734570167893247</v>
      </c>
      <c r="H24" s="2">
        <f>G24/G26*0.2 - EstimatedData!H8</f>
        <v>0.20398943568387704</v>
      </c>
      <c r="I24" s="4">
        <f>B8*H24</f>
        <v>379379.5524848745</v>
      </c>
      <c r="J24" s="2">
        <f>I24/8500000</f>
        <v>4.4632888527632295E-2</v>
      </c>
      <c r="M24">
        <v>0.46867051205472099</v>
      </c>
      <c r="N24">
        <f t="shared" si="1"/>
        <v>2.091811872072671E-2</v>
      </c>
    </row>
    <row r="25" spans="1:16" ht="15" x14ac:dyDescent="0.25">
      <c r="B25" t="s">
        <v>13</v>
      </c>
      <c r="C25">
        <v>105.11</v>
      </c>
      <c r="D25">
        <v>112</v>
      </c>
      <c r="E25">
        <v>0.31788043554615802</v>
      </c>
      <c r="F25">
        <v>0.39241843593067999</v>
      </c>
      <c r="G25">
        <f t="shared" si="4"/>
        <v>0.8100547946791955</v>
      </c>
      <c r="H25" s="2">
        <f>G25/G26*0.2 -EstimatedData!H10</f>
        <v>0.20360399872942359</v>
      </c>
      <c r="I25" s="4">
        <f>B8*H25</f>
        <v>378662.716836982</v>
      </c>
      <c r="J25" s="2">
        <f>I25/8500000</f>
        <v>4.4548554921997885E-2</v>
      </c>
      <c r="M25">
        <v>0.72082298474152495</v>
      </c>
      <c r="N25">
        <f t="shared" si="1"/>
        <v>3.2111622324796266E-2</v>
      </c>
    </row>
    <row r="26" spans="1:16" ht="15" x14ac:dyDescent="0.25">
      <c r="B26" t="s">
        <v>26</v>
      </c>
      <c r="E26">
        <v>9.3738478272951203E-2</v>
      </c>
      <c r="F26">
        <v>0.20458920255153601</v>
      </c>
      <c r="G26">
        <f t="shared" si="4"/>
        <v>0.45817900995698191</v>
      </c>
      <c r="H26" s="2">
        <f>1-SUM(H24:H25)</f>
        <v>0.59240656558669935</v>
      </c>
      <c r="I26" s="4">
        <f>B8*H26</f>
        <v>1101757.7306781434</v>
      </c>
      <c r="J26" s="2">
        <f>I26/8500000</f>
        <v>0.12961855655036983</v>
      </c>
      <c r="M26">
        <v>1.0137421590162099</v>
      </c>
      <c r="N26">
        <f t="shared" si="1"/>
        <v>0.1313997953659366</v>
      </c>
    </row>
    <row r="27" spans="1:16" ht="15" x14ac:dyDescent="0.25">
      <c r="H27" s="2"/>
      <c r="J27" s="2"/>
    </row>
    <row r="28" spans="1:16" ht="15" x14ac:dyDescent="0.25">
      <c r="A28" t="s">
        <v>42</v>
      </c>
      <c r="B28" t="s">
        <v>7</v>
      </c>
      <c r="C28">
        <v>51.31</v>
      </c>
      <c r="D28">
        <v>74.790000000000006</v>
      </c>
      <c r="E28">
        <v>8.27262540673184E-2</v>
      </c>
      <c r="F28">
        <v>0.34239140549561198</v>
      </c>
      <c r="G28">
        <f>E28/F28</f>
        <v>0.24161311510600578</v>
      </c>
      <c r="H28" s="2">
        <f>G28/G32*0.2-EstimatedData!H4</f>
        <v>5.5512582158799686E-2</v>
      </c>
      <c r="I28" s="4">
        <f>B12*H28</f>
        <v>77290.168139696805</v>
      </c>
      <c r="J28" s="2">
        <f>I28/8500000</f>
        <v>9.0929609576113884E-3</v>
      </c>
      <c r="M28">
        <v>0.97160549274818697</v>
      </c>
      <c r="N28">
        <f t="shared" si="1"/>
        <v>8.8347708117600399E-3</v>
      </c>
    </row>
    <row r="29" spans="1:16" ht="15" x14ac:dyDescent="0.25">
      <c r="B29" t="s">
        <v>8</v>
      </c>
      <c r="C29">
        <v>48.25</v>
      </c>
      <c r="D29">
        <v>56</v>
      </c>
      <c r="E29">
        <v>0.119847510184324</v>
      </c>
      <c r="F29">
        <v>0.241281382480413</v>
      </c>
      <c r="G29">
        <f t="shared" ref="G29:G31" si="5">E29/F29</f>
        <v>0.49671263050746617</v>
      </c>
      <c r="H29" s="2">
        <f>G29/G32*0.2 -EstimatedData!H5</f>
        <v>0.26353699624288013</v>
      </c>
      <c r="I29" s="4">
        <f>H29*B12</f>
        <v>366922.55986896198</v>
      </c>
      <c r="J29" s="2">
        <f>I29/8500000</f>
        <v>4.3167359984583764E-2</v>
      </c>
      <c r="L29" s="4"/>
      <c r="M29">
        <v>0.55082463597047304</v>
      </c>
      <c r="N29">
        <f t="shared" si="1"/>
        <v>2.3777645349314716E-2</v>
      </c>
    </row>
    <row r="30" spans="1:16" ht="15" x14ac:dyDescent="0.25">
      <c r="B30" t="s">
        <v>17</v>
      </c>
      <c r="C30">
        <v>118.5</v>
      </c>
      <c r="D30">
        <v>138</v>
      </c>
      <c r="E30">
        <v>0.14654173532701101</v>
      </c>
      <c r="F30">
        <v>0.38944914462253999</v>
      </c>
      <c r="G30">
        <f t="shared" si="5"/>
        <v>0.37627951518301955</v>
      </c>
      <c r="H30" s="2">
        <f>G30/G32*0.2 -EstimatedData!H14</f>
        <v>0.2146849806685612</v>
      </c>
      <c r="I30" s="4">
        <f>H30*B12</f>
        <v>298905.89858483779</v>
      </c>
      <c r="J30" s="2">
        <f>I30/8500000</f>
        <v>3.516539983351033E-2</v>
      </c>
      <c r="M30">
        <v>1.57403293992545</v>
      </c>
      <c r="N30">
        <f t="shared" si="1"/>
        <v>5.5351497683594195E-2</v>
      </c>
    </row>
    <row r="31" spans="1:16" ht="15" x14ac:dyDescent="0.25">
      <c r="B31" t="s">
        <v>38</v>
      </c>
      <c r="E31">
        <v>-1.9185381379605002E-2</v>
      </c>
      <c r="F31">
        <v>0.279077953046245</v>
      </c>
      <c r="G31">
        <f t="shared" si="5"/>
        <v>-6.8745600181558814E-2</v>
      </c>
      <c r="H31" s="2">
        <f>1 - SUM(H28:H30)</f>
        <v>0.46626544092975897</v>
      </c>
      <c r="I31" s="4">
        <f>H31*B12</f>
        <v>649181.37340650347</v>
      </c>
      <c r="J31" s="2">
        <f>I31/8500000</f>
        <v>7.6374279224294531E-2</v>
      </c>
      <c r="M31">
        <v>1.0466665030943301</v>
      </c>
      <c r="N31">
        <f t="shared" si="1"/>
        <v>7.9938399762042298E-2</v>
      </c>
    </row>
    <row r="32" spans="1:16" ht="15" x14ac:dyDescent="0.25">
      <c r="B32" s="8" t="s">
        <v>50</v>
      </c>
      <c r="E32">
        <v>7.3038562878521243E-2</v>
      </c>
      <c r="F32">
        <v>0.215357011655433</v>
      </c>
      <c r="G32">
        <v>0.33915107902491476</v>
      </c>
      <c r="H32" s="2"/>
      <c r="J32" s="2"/>
    </row>
    <row r="33" spans="1:14" ht="15" x14ac:dyDescent="0.25">
      <c r="H33" s="2"/>
      <c r="J33" s="2"/>
    </row>
    <row r="34" spans="1:14" ht="15" x14ac:dyDescent="0.25">
      <c r="A34" t="s">
        <v>36</v>
      </c>
      <c r="B34" t="s">
        <v>6</v>
      </c>
      <c r="C34">
        <v>52.82</v>
      </c>
      <c r="D34">
        <v>60</v>
      </c>
      <c r="E34">
        <v>8.6461558652230597E-2</v>
      </c>
      <c r="F34">
        <v>0.28633231288446698</v>
      </c>
      <c r="G34">
        <f t="shared" ref="G34:G36" si="6">E34/F34</f>
        <v>0.30196228215121923</v>
      </c>
      <c r="H34" s="2">
        <f>G34/G36*0.2 -EstimatedData!H3</f>
        <v>5.3459225944090527E-2</v>
      </c>
      <c r="I34" s="4">
        <f>H34*B11</f>
        <v>64797.92776683213</v>
      </c>
      <c r="J34" s="2">
        <f>I34/8500000</f>
        <v>7.6232856196273091E-3</v>
      </c>
      <c r="M34">
        <v>0.92002570736299905</v>
      </c>
      <c r="N34">
        <f t="shared" si="1"/>
        <v>7.0136187446277936E-3</v>
      </c>
    </row>
    <row r="35" spans="1:14" ht="15" x14ac:dyDescent="0.25">
      <c r="B35" t="s">
        <v>9</v>
      </c>
      <c r="C35">
        <v>103.1</v>
      </c>
      <c r="D35">
        <v>115</v>
      </c>
      <c r="E35">
        <v>0.26203103182892601</v>
      </c>
      <c r="F35">
        <v>0.397853782428852</v>
      </c>
      <c r="G35">
        <f t="shared" si="6"/>
        <v>0.65861138790551754</v>
      </c>
      <c r="H35" s="2">
        <f>G35/G36*0.2 -EstimatedData!H6</f>
        <v>0.16667535079432902</v>
      </c>
      <c r="I35" s="4">
        <f>B11*H35</f>
        <v>202027.1926978062</v>
      </c>
      <c r="J35" s="2">
        <f>I35/8500000</f>
        <v>2.3767905023271318E-2</v>
      </c>
      <c r="M35">
        <v>1.69827367960003</v>
      </c>
      <c r="N35">
        <f t="shared" si="1"/>
        <v>4.0364407520255018E-2</v>
      </c>
    </row>
    <row r="36" spans="1:14" ht="15" x14ac:dyDescent="0.25">
      <c r="B36" t="s">
        <v>37</v>
      </c>
      <c r="E36">
        <v>0.110563043929608</v>
      </c>
      <c r="F36">
        <v>0.165731965198745</v>
      </c>
      <c r="G36">
        <f t="shared" si="6"/>
        <v>0.66711960964815276</v>
      </c>
      <c r="H36" s="2">
        <f>1- SUM(H34:H35)</f>
        <v>0.77986542326158048</v>
      </c>
      <c r="I36" s="4">
        <f>H36*B11</f>
        <v>945274.87953536166</v>
      </c>
      <c r="J36" s="2">
        <f>I36/8500000</f>
        <v>0.11120880935710137</v>
      </c>
      <c r="M36">
        <v>1.1169789552959</v>
      </c>
      <c r="N36">
        <f t="shared" si="1"/>
        <v>0.124217899695396</v>
      </c>
    </row>
    <row r="37" spans="1:14" ht="15" x14ac:dyDescent="0.25">
      <c r="H37" s="2"/>
      <c r="J37" s="2"/>
    </row>
    <row r="38" spans="1:14" ht="15" x14ac:dyDescent="0.25">
      <c r="A38" s="11" t="s">
        <v>51</v>
      </c>
      <c r="B38" s="11" t="s">
        <v>14</v>
      </c>
      <c r="C38" s="11">
        <v>122.12</v>
      </c>
      <c r="D38" s="11">
        <v>160.09</v>
      </c>
      <c r="E38" s="11">
        <v>0.22728741800692101</v>
      </c>
      <c r="F38" s="11">
        <v>0.29476964299739</v>
      </c>
      <c r="G38" s="11">
        <f t="shared" ref="G38:G40" si="7">E38/F38</f>
        <v>0.77106792848724082</v>
      </c>
      <c r="H38" s="2">
        <f>G38/G40*0.2 -EstimatedData!H11</f>
        <v>0.39372342996896043</v>
      </c>
      <c r="I38" s="4">
        <f>H38*B9</f>
        <v>349055.50683898188</v>
      </c>
      <c r="J38" s="2">
        <f>I38/8500000</f>
        <v>4.1065353745762576E-2</v>
      </c>
      <c r="M38">
        <v>1.0956175749427</v>
      </c>
      <c r="N38">
        <f t="shared" si="1"/>
        <v>4.4991923285096512E-2</v>
      </c>
    </row>
    <row r="39" spans="1:14" ht="15" x14ac:dyDescent="0.25">
      <c r="B39" t="s">
        <v>15</v>
      </c>
      <c r="C39">
        <v>96.25</v>
      </c>
      <c r="D39">
        <v>107.5</v>
      </c>
      <c r="E39">
        <v>9.6678333448218606E-2</v>
      </c>
      <c r="F39">
        <v>0.34063571252559299</v>
      </c>
      <c r="G39">
        <f t="shared" si="7"/>
        <v>0.28381737408391927</v>
      </c>
      <c r="H39" s="2">
        <f>G39/G40*0.2 -EstimatedData!H12</f>
        <v>0.14953466964980811</v>
      </c>
      <c r="I39" s="4">
        <f>H39*B9</f>
        <v>132569.96137803738</v>
      </c>
      <c r="J39" s="2">
        <f>I39/8500000</f>
        <v>1.5596466044474986E-2</v>
      </c>
      <c r="M39">
        <v>1.2038487941842499</v>
      </c>
      <c r="N39">
        <f t="shared" si="1"/>
        <v>1.8775786841176811E-2</v>
      </c>
    </row>
    <row r="40" spans="1:14" ht="15" x14ac:dyDescent="0.25">
      <c r="B40" t="s">
        <v>34</v>
      </c>
      <c r="E40">
        <v>7.65050511243099E-2</v>
      </c>
      <c r="F40">
        <v>0.21207293224249199</v>
      </c>
      <c r="G40">
        <f t="shared" si="7"/>
        <v>0.36074877786303822</v>
      </c>
      <c r="H40" s="2">
        <f>1- SUM(H38:H39)</f>
        <v>0.45674190038123141</v>
      </c>
      <c r="I40" s="4">
        <f>H40*B9</f>
        <v>404924.53178298072</v>
      </c>
      <c r="J40" s="2">
        <f>I40/8500000</f>
        <v>4.7638180209762439E-2</v>
      </c>
      <c r="M40">
        <v>1.1237496558595399</v>
      </c>
      <c r="N40">
        <f t="shared" si="1"/>
        <v>5.3533388616495287E-2</v>
      </c>
    </row>
    <row r="41" spans="1:14" ht="15" x14ac:dyDescent="0.25">
      <c r="H41" s="2"/>
      <c r="J41" s="2"/>
    </row>
    <row r="42" spans="1:14" x14ac:dyDescent="0.3">
      <c r="A42" s="11" t="s">
        <v>41</v>
      </c>
      <c r="B42" s="11" t="s">
        <v>10</v>
      </c>
      <c r="C42" s="11">
        <v>37.39</v>
      </c>
      <c r="D42" s="11">
        <v>40</v>
      </c>
      <c r="E42" s="11">
        <v>2.0559421043130799E-2</v>
      </c>
      <c r="F42" s="11">
        <v>0.30632252310851499</v>
      </c>
      <c r="G42" s="11">
        <f t="shared" ref="G42:G45" si="8">E42/F42</f>
        <v>6.7116909440732203E-2</v>
      </c>
      <c r="H42" s="2">
        <f>G42/G46 *0.2 - EstimatedData!H7</f>
        <v>1.8081809123705585E-2</v>
      </c>
      <c r="I42" s="4">
        <f>H42*B10</f>
        <v>33013.767098061653</v>
      </c>
      <c r="J42" s="2">
        <f>I42/8500000</f>
        <v>3.8839725997719594E-3</v>
      </c>
      <c r="M42">
        <v>0.459577958453385</v>
      </c>
      <c r="N42">
        <f t="shared" si="1"/>
        <v>1.7849881980920833E-3</v>
      </c>
    </row>
    <row r="43" spans="1:14" x14ac:dyDescent="0.3">
      <c r="A43" s="11"/>
      <c r="B43" s="11" t="s">
        <v>16</v>
      </c>
      <c r="C43" s="11">
        <v>38.450000000000003</v>
      </c>
      <c r="D43" s="11">
        <v>48</v>
      </c>
      <c r="E43" s="11">
        <v>9.0538459569803206E-2</v>
      </c>
      <c r="F43" s="11">
        <v>0.40840767804587202</v>
      </c>
      <c r="G43" s="11">
        <f t="shared" si="8"/>
        <v>0.22168647759759796</v>
      </c>
      <c r="H43" s="2">
        <f>G43/G46*0.2 -EstimatedData!H13</f>
        <v>7.1821844948714561E-2</v>
      </c>
      <c r="I43" s="4">
        <f>H43*B10</f>
        <v>131132.32450736305</v>
      </c>
      <c r="J43" s="2">
        <f>I43/8500000</f>
        <v>1.5427332294983888E-2</v>
      </c>
      <c r="M43">
        <v>0.72595477662282104</v>
      </c>
      <c r="N43">
        <f t="shared" si="1"/>
        <v>1.1199545570091061E-2</v>
      </c>
    </row>
    <row r="44" spans="1:14" x14ac:dyDescent="0.3">
      <c r="B44" t="s">
        <v>31</v>
      </c>
      <c r="E44">
        <v>0.10316253436714</v>
      </c>
      <c r="F44">
        <v>0.138654321689656</v>
      </c>
      <c r="G44">
        <f t="shared" si="8"/>
        <v>0.74402682231603467</v>
      </c>
      <c r="H44" s="2">
        <f>ETFS!G6/(ETFS!G6+ETFS!G7)*H46</f>
        <v>0.41394978117841968</v>
      </c>
      <c r="I44" s="4">
        <f>B10*H44</f>
        <v>755789.51047555869</v>
      </c>
      <c r="J44" s="2">
        <f>I44/8500000</f>
        <v>8.891641299712455E-2</v>
      </c>
      <c r="M44">
        <v>0.63968899398498003</v>
      </c>
      <c r="N44">
        <f t="shared" si="1"/>
        <v>5.6878850778883605E-2</v>
      </c>
    </row>
    <row r="45" spans="1:14" x14ac:dyDescent="0.3">
      <c r="B45" t="s">
        <v>35</v>
      </c>
      <c r="E45">
        <v>9.7298088803410301E-2</v>
      </c>
      <c r="F45">
        <v>0.211602180681531</v>
      </c>
      <c r="G45">
        <f t="shared" si="8"/>
        <v>0.45981609683809199</v>
      </c>
      <c r="H45" s="2">
        <f>ETFS!G7/(ETFS!G6+ETFS!G7)*H46</f>
        <v>0.49614656474916013</v>
      </c>
      <c r="I45" s="4">
        <f>B10*H45</f>
        <v>905864.39791901654</v>
      </c>
      <c r="J45" s="2">
        <f>I45/8500000</f>
        <v>0.10657228210811959</v>
      </c>
      <c r="M45">
        <v>1.0996732677921099</v>
      </c>
      <c r="N45">
        <f t="shared" si="1"/>
        <v>0.11719468972189848</v>
      </c>
    </row>
    <row r="46" spans="1:14" x14ac:dyDescent="0.3">
      <c r="B46" s="1" t="s">
        <v>53</v>
      </c>
      <c r="G46" s="13">
        <f>(ETFS!G6/SUM(ETFS!G6:G7))*G44+(ETFS!G7/SUM(ETFS!G6:G7))*G45</f>
        <v>0.58908699013043364</v>
      </c>
      <c r="H46" s="2">
        <f>1 - SUM(H42:H43)</f>
        <v>0.91009634592757982</v>
      </c>
      <c r="J46" s="2"/>
    </row>
    <row r="47" spans="1:14" x14ac:dyDescent="0.3">
      <c r="A47" s="14"/>
      <c r="B47" s="15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14"/>
      <c r="N47" s="14"/>
    </row>
    <row r="48" spans="1:14" x14ac:dyDescent="0.3">
      <c r="A48" t="s">
        <v>59</v>
      </c>
      <c r="H48" s="2"/>
      <c r="I48" s="4">
        <f>SUM(I16:I46)</f>
        <v>8499150</v>
      </c>
      <c r="J48" s="3">
        <f>SUM(J16:J46)</f>
        <v>0.99989999999999979</v>
      </c>
      <c r="K48" s="3">
        <f>SUM(J16,J21,J24:J25,J28:J30,J34:J35,J38:J39,J42:J43)</f>
        <v>0.31121120299269922</v>
      </c>
      <c r="L48" s="3">
        <f>SUM(J17,J19,J22,J26,J31,J36,J40,J44:J45)</f>
        <v>0.68868879700730079</v>
      </c>
      <c r="N48">
        <f>SUM(N16:N47)</f>
        <v>0.98639121892130421</v>
      </c>
    </row>
    <row r="49" spans="8:8" x14ac:dyDescent="0.3">
      <c r="H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EstimatedData</vt:lpstr>
      <vt:lpstr>ETFS</vt:lpstr>
      <vt:lpstr>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kevinhu</dc:creator>
  <cp:lastModifiedBy>kevinhu</cp:lastModifiedBy>
  <dcterms:created xsi:type="dcterms:W3CDTF">2014-10-28T05:03:48Z</dcterms:created>
  <dcterms:modified xsi:type="dcterms:W3CDTF">2014-10-31T21:12:10Z</dcterms:modified>
</cp:coreProperties>
</file>