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rner\Documents\College\CIS 300\"/>
    </mc:Choice>
  </mc:AlternateContent>
  <bookViews>
    <workbookView xWindow="0" yWindow="0" windowWidth="28800" windowHeight="12210" activeTab="1"/>
  </bookViews>
  <sheets>
    <sheet name="Analysis" sheetId="1" r:id="rId1"/>
    <sheet name="Scenario Summary" sheetId="16" r:id="rId2"/>
  </sheets>
  <definedNames>
    <definedName name="_xlnm.Print_Area" localSheetId="0">Analysis!$B$3:$J$56</definedName>
    <definedName name="_xlnm.Print_Titles" localSheetId="0">Analysis!$A:$A,Analysis!$1:$2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G24" i="1" s="1"/>
  <c r="H23" i="1"/>
  <c r="I23" i="1"/>
  <c r="J23" i="1"/>
  <c r="C23" i="1"/>
  <c r="C24" i="1" s="1"/>
  <c r="B54" i="1"/>
  <c r="C37" i="1"/>
  <c r="D29" i="1"/>
  <c r="H29" i="1"/>
  <c r="D31" i="1"/>
  <c r="H31" i="1"/>
  <c r="D24" i="1"/>
  <c r="D32" i="1" s="1"/>
  <c r="E24" i="1"/>
  <c r="E29" i="1" s="1"/>
  <c r="F24" i="1"/>
  <c r="F31" i="1" s="1"/>
  <c r="H24" i="1"/>
  <c r="H32" i="1" s="1"/>
  <c r="I24" i="1"/>
  <c r="I29" i="1" s="1"/>
  <c r="E22" i="1"/>
  <c r="F22" i="1" s="1"/>
  <c r="D22" i="1"/>
  <c r="G32" i="1" l="1"/>
  <c r="G31" i="1"/>
  <c r="G29" i="1"/>
  <c r="G34" i="1" s="1"/>
  <c r="H35" i="1"/>
  <c r="F32" i="1"/>
  <c r="F29" i="1"/>
  <c r="F34" i="1" s="1"/>
  <c r="D35" i="1"/>
  <c r="I32" i="1"/>
  <c r="E32" i="1"/>
  <c r="I31" i="1"/>
  <c r="I35" i="1" s="1"/>
  <c r="E31" i="1"/>
  <c r="E35" i="1" s="1"/>
  <c r="C32" i="1"/>
  <c r="C29" i="1"/>
  <c r="C31" i="1"/>
  <c r="E34" i="1"/>
  <c r="H34" i="1"/>
  <c r="H38" i="1" s="1"/>
  <c r="H39" i="1" s="1"/>
  <c r="D34" i="1"/>
  <c r="G22" i="1"/>
  <c r="H40" i="1" l="1"/>
  <c r="H41" i="1" s="1"/>
  <c r="F35" i="1"/>
  <c r="F38" i="1" s="1"/>
  <c r="F39" i="1" s="1"/>
  <c r="D38" i="1"/>
  <c r="D39" i="1" s="1"/>
  <c r="E38" i="1"/>
  <c r="E39" i="1" s="1"/>
  <c r="I34" i="1"/>
  <c r="I38" i="1" s="1"/>
  <c r="I39" i="1" s="1"/>
  <c r="G35" i="1"/>
  <c r="G38" i="1" s="1"/>
  <c r="G39" i="1" s="1"/>
  <c r="C34" i="1"/>
  <c r="C35" i="1"/>
  <c r="H22" i="1"/>
  <c r="H16" i="1" l="1"/>
  <c r="H54" i="1"/>
  <c r="D40" i="1"/>
  <c r="D41" i="1" s="1"/>
  <c r="G40" i="1"/>
  <c r="G41" i="1" s="1"/>
  <c r="F40" i="1"/>
  <c r="F41" i="1" s="1"/>
  <c r="I40" i="1"/>
  <c r="I41" i="1" s="1"/>
  <c r="E40" i="1"/>
  <c r="E41" i="1" s="1"/>
  <c r="C38" i="1"/>
  <c r="C39" i="1" s="1"/>
  <c r="I22" i="1"/>
  <c r="E16" i="1" l="1"/>
  <c r="E54" i="1"/>
  <c r="D54" i="1"/>
  <c r="D16" i="1"/>
  <c r="I16" i="1"/>
  <c r="I54" i="1"/>
  <c r="F54" i="1"/>
  <c r="F16" i="1"/>
  <c r="G16" i="1"/>
  <c r="G54" i="1"/>
  <c r="C40" i="1"/>
  <c r="C41" i="1" s="1"/>
  <c r="J22" i="1"/>
  <c r="J24" i="1" s="1"/>
  <c r="C54" i="1" l="1"/>
  <c r="C43" i="1"/>
  <c r="C46" i="1" s="1"/>
  <c r="D27" i="1" s="1"/>
  <c r="C17" i="1" s="1"/>
  <c r="C16" i="1"/>
  <c r="J29" i="1"/>
  <c r="J32" i="1"/>
  <c r="J31" i="1"/>
  <c r="D43" i="1" l="1"/>
  <c r="D46" i="1" s="1"/>
  <c r="E27" i="1" s="1"/>
  <c r="E43" i="1" s="1"/>
  <c r="E46" i="1" s="1"/>
  <c r="F27" i="1" s="1"/>
  <c r="F43" i="1" s="1"/>
  <c r="F17" i="1" s="1"/>
  <c r="J35" i="1"/>
  <c r="J34" i="1"/>
  <c r="F46" i="1" l="1"/>
  <c r="G27" i="1" s="1"/>
  <c r="G43" i="1" s="1"/>
  <c r="G17" i="1" s="1"/>
  <c r="E17" i="1"/>
  <c r="D17" i="1"/>
  <c r="J38" i="1"/>
  <c r="J39" i="1" s="1"/>
  <c r="G46" i="1" l="1"/>
  <c r="H27" i="1" s="1"/>
  <c r="H43" i="1" s="1"/>
  <c r="H17" i="1" s="1"/>
  <c r="J40" i="1"/>
  <c r="J41" i="1" s="1"/>
  <c r="H46" i="1" l="1"/>
  <c r="I27" i="1" s="1"/>
  <c r="I43" i="1" s="1"/>
  <c r="I46" i="1" s="1"/>
  <c r="J27" i="1" s="1"/>
  <c r="J43" i="1" s="1"/>
  <c r="J54" i="1"/>
  <c r="B56" i="1" s="1"/>
  <c r="J19" i="1" s="1"/>
  <c r="J16" i="1"/>
  <c r="I17" i="1" l="1"/>
  <c r="J46" i="1"/>
  <c r="J17" i="1"/>
</calcChain>
</file>

<file path=xl/comments1.xml><?xml version="1.0" encoding="utf-8"?>
<comments xmlns="http://schemas.openxmlformats.org/spreadsheetml/2006/main">
  <authors>
    <author>Karen</author>
  </authors>
  <commentList>
    <comment ref="A34" authorId="0" shapeId="0">
      <text>
        <r>
          <rPr>
            <sz val="9"/>
            <color indexed="81"/>
            <rFont val="Tahoma"/>
            <family val="2"/>
          </rPr>
          <t xml:space="preserve">12% * (Revenue less Oil Transport)
</t>
        </r>
      </text>
    </comment>
    <comment ref="A35" authorId="0" shapeId="0">
      <text>
        <r>
          <rPr>
            <sz val="9"/>
            <color indexed="81"/>
            <rFont val="Tahoma"/>
            <family val="2"/>
          </rPr>
          <t xml:space="preserve">5% * (Revenue - Oil Transport)
</t>
        </r>
      </text>
    </comment>
  </commentList>
</comments>
</file>

<file path=xl/sharedStrings.xml><?xml version="1.0" encoding="utf-8"?>
<sst xmlns="http://schemas.openxmlformats.org/spreadsheetml/2006/main" count="147" uniqueCount="66">
  <si>
    <t>Fracking Oil Investment Decision</t>
  </si>
  <si>
    <t>Constants</t>
  </si>
  <si>
    <t>Income Tax Rate</t>
  </si>
  <si>
    <t>Cash Needed to Start Year</t>
  </si>
  <si>
    <t>Inputs</t>
  </si>
  <si>
    <t>Price Per Barrel</t>
  </si>
  <si>
    <t>Summary of Key Results</t>
  </si>
  <si>
    <t>Net Income After Taxes</t>
  </si>
  <si>
    <t>End-of-the-Year Cash On Hand</t>
  </si>
  <si>
    <t>End-of-the-Year Debt Owed</t>
  </si>
  <si>
    <t>Calculations</t>
  </si>
  <si>
    <t>Decline Rate</t>
  </si>
  <si>
    <t>Initial Production Rate (IPR)</t>
  </si>
  <si>
    <t>Initial Production Rate/Day (IPR)</t>
  </si>
  <si>
    <t>Average Production/Day in the Year</t>
  </si>
  <si>
    <t>Income and Cash Flow Statement</t>
  </si>
  <si>
    <t>Beginning of-the-Year Cash On Hand</t>
  </si>
  <si>
    <t>Revenue</t>
  </si>
  <si>
    <t>Interest Rate on New Debt</t>
  </si>
  <si>
    <t>Barrels of Oil Produced in the Year</t>
  </si>
  <si>
    <t xml:space="preserve">    Royalties to Land Owners</t>
  </si>
  <si>
    <t xml:space="preserve">    Interest on Junk Bonds</t>
  </si>
  <si>
    <t xml:space="preserve">    Severance Taxes</t>
  </si>
  <si>
    <t xml:space="preserve">    Interest on New Debt</t>
  </si>
  <si>
    <t>Out of Pocket Costs and Expenses</t>
  </si>
  <si>
    <t>Total Out of Pocket Costs and Expenses</t>
  </si>
  <si>
    <t>Income Before Taxes</t>
  </si>
  <si>
    <t>Income Tax Expense</t>
  </si>
  <si>
    <t>Net Income After Income Tax Expense</t>
  </si>
  <si>
    <t>Net Cash Position (NCP) Before
Borrowing and Repayment of Debt</t>
  </si>
  <si>
    <t>Add: Increase in Borrowing</t>
  </si>
  <si>
    <t>Debt Owed</t>
  </si>
  <si>
    <t>Beginning-of-the-Year Debt Owed</t>
  </si>
  <si>
    <t>Less: Repayment of Debt</t>
  </si>
  <si>
    <t>Net Present Value of  Investment</t>
  </si>
  <si>
    <t>Net Present Value Data</t>
  </si>
  <si>
    <t>Interest on Junk Bonds</t>
  </si>
  <si>
    <t>Requested Investment</t>
  </si>
  <si>
    <t xml:space="preserve">    Well Operations ($3/barrel)</t>
  </si>
  <si>
    <t xml:space="preserve">    Oil Transport ($12/barrel)</t>
  </si>
  <si>
    <t xml:space="preserve">    General and Administrative </t>
  </si>
  <si>
    <t>HIS50</t>
  </si>
  <si>
    <t>HIS70</t>
  </si>
  <si>
    <t>HIS90</t>
  </si>
  <si>
    <t>HIS110</t>
  </si>
  <si>
    <t>YOURS50</t>
  </si>
  <si>
    <t>YOURS70</t>
  </si>
  <si>
    <t>YOURS90</t>
  </si>
  <si>
    <t>YOURS110</t>
  </si>
  <si>
    <t>Scenario Summary</t>
  </si>
  <si>
    <t>Changing Cells:</t>
  </si>
  <si>
    <t>Net Present Value @ 15%</t>
  </si>
  <si>
    <t>Created by Karen on 7/11/2015
Modified by Karen on 7/12/2015</t>
  </si>
  <si>
    <t>NA</t>
  </si>
  <si>
    <t>$B$11</t>
  </si>
  <si>
    <t>$J$19</t>
  </si>
  <si>
    <t>$B$13</t>
  </si>
  <si>
    <t>$C$12</t>
  </si>
  <si>
    <t>$D$12</t>
  </si>
  <si>
    <t>$E$12</t>
  </si>
  <si>
    <t>$F$12</t>
  </si>
  <si>
    <t>$G$12</t>
  </si>
  <si>
    <t>$H$12</t>
  </si>
  <si>
    <t>$I$12</t>
  </si>
  <si>
    <t>$J$12</t>
  </si>
  <si>
    <t>Result Cells: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</si>
</sst>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70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 val="singleAccounting"/>
      <sz val="12"/>
      <color theme="1"/>
      <name val="Times New Roman"/>
      <family val="1"/>
    </font>
    <font>
      <u val="doubleAccounting"/>
      <sz val="12"/>
      <color theme="1"/>
      <name val="Times New Roman"/>
      <family val="1"/>
    </font>
    <font>
      <sz val="9"/>
      <color indexed="81"/>
      <name val="Tahoma"/>
      <family val="2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9" fontId="5" fillId="0" borderId="0" xfId="3" applyFont="1"/>
    <xf numFmtId="164" fontId="5" fillId="0" borderId="0" xfId="2" applyNumberFormat="1" applyFont="1"/>
    <xf numFmtId="9" fontId="5" fillId="0" borderId="0" xfId="3" applyFont="1" applyAlignment="1">
      <alignment horizontal="center"/>
    </xf>
    <xf numFmtId="0" fontId="5" fillId="0" borderId="1" xfId="0" applyFont="1" applyBorder="1"/>
    <xf numFmtId="2" fontId="5" fillId="0" borderId="0" xfId="0" applyNumberFormat="1" applyFont="1"/>
    <xf numFmtId="1" fontId="5" fillId="0" borderId="0" xfId="3" applyNumberFormat="1" applyFont="1" applyAlignment="1">
      <alignment horizontal="center"/>
    </xf>
    <xf numFmtId="1" fontId="5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4" fontId="5" fillId="0" borderId="0" xfId="0" applyNumberFormat="1" applyFont="1"/>
    <xf numFmtId="164" fontId="5" fillId="0" borderId="0" xfId="2" applyNumberFormat="1" applyFont="1" applyAlignment="1">
      <alignment horizontal="center"/>
    </xf>
    <xf numFmtId="164" fontId="6" fillId="0" borderId="0" xfId="0" applyNumberFormat="1" applyFont="1"/>
    <xf numFmtId="0" fontId="5" fillId="0" borderId="0" xfId="0" applyFont="1" applyAlignment="1">
      <alignment wrapText="1"/>
    </xf>
    <xf numFmtId="164" fontId="7" fillId="0" borderId="0" xfId="0" applyNumberFormat="1" applyFont="1"/>
    <xf numFmtId="164" fontId="5" fillId="0" borderId="1" xfId="0" applyNumberFormat="1" applyFont="1" applyBorder="1"/>
    <xf numFmtId="9" fontId="5" fillId="0" borderId="0" xfId="0" applyNumberFormat="1" applyFont="1"/>
    <xf numFmtId="164" fontId="5" fillId="0" borderId="1" xfId="2" applyNumberFormat="1" applyFont="1" applyBorder="1"/>
    <xf numFmtId="164" fontId="5" fillId="0" borderId="1" xfId="2" applyNumberFormat="1" applyFont="1" applyBorder="1" applyAlignment="1">
      <alignment horizontal="center"/>
    </xf>
    <xf numFmtId="0" fontId="0" fillId="0" borderId="5" xfId="0" applyFill="1" applyBorder="1" applyAlignment="1"/>
    <xf numFmtId="0" fontId="9" fillId="2" borderId="2" xfId="0" applyFont="1" applyFill="1" applyBorder="1" applyAlignment="1">
      <alignment horizontal="right"/>
    </xf>
    <xf numFmtId="164" fontId="0" fillId="4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  <xf numFmtId="8" fontId="5" fillId="0" borderId="1" xfId="0" applyNumberFormat="1" applyFont="1" applyBorder="1"/>
    <xf numFmtId="8" fontId="5" fillId="0" borderId="0" xfId="0" applyNumberFormat="1" applyFont="1"/>
    <xf numFmtId="0" fontId="0" fillId="4" borderId="0" xfId="0" applyFill="1" applyBorder="1" applyAlignment="1"/>
    <xf numFmtId="170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44" fontId="5" fillId="0" borderId="0" xfId="0" applyNumberFormat="1" applyFont="1"/>
    <xf numFmtId="0" fontId="11" fillId="2" borderId="4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right"/>
    </xf>
    <xf numFmtId="164" fontId="0" fillId="0" borderId="3" xfId="0" applyNumberFormat="1" applyFill="1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6"/>
  <sheetViews>
    <sheetView topLeftCell="A31" workbookViewId="0">
      <selection activeCell="B71" sqref="B71"/>
    </sheetView>
  </sheetViews>
  <sheetFormatPr defaultRowHeight="15" x14ac:dyDescent="0.25"/>
  <cols>
    <col min="1" max="1" width="35" customWidth="1"/>
    <col min="2" max="2" width="15.85546875" customWidth="1"/>
    <col min="3" max="10" width="13.140625" customWidth="1"/>
    <col min="11" max="11" width="14" bestFit="1" customWidth="1"/>
  </cols>
  <sheetData>
    <row r="1" spans="1:11" ht="18.75" x14ac:dyDescent="0.3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4"/>
      <c r="B2" s="5">
        <v>2016</v>
      </c>
      <c r="C2" s="5">
        <v>2017</v>
      </c>
      <c r="D2" s="5">
        <v>2018</v>
      </c>
      <c r="E2" s="5">
        <v>2019</v>
      </c>
      <c r="F2" s="5">
        <v>2020</v>
      </c>
      <c r="G2" s="5">
        <v>2021</v>
      </c>
      <c r="H2" s="5">
        <v>2022</v>
      </c>
      <c r="I2" s="5">
        <v>2023</v>
      </c>
      <c r="J2" s="5">
        <v>2024</v>
      </c>
      <c r="K2" s="4"/>
    </row>
    <row r="3" spans="1:11" ht="15.75" x14ac:dyDescent="0.25">
      <c r="A3" s="2" t="s">
        <v>1</v>
      </c>
      <c r="K3" s="4"/>
    </row>
    <row r="4" spans="1:11" ht="15.75" x14ac:dyDescent="0.25">
      <c r="A4" s="4" t="s">
        <v>2</v>
      </c>
      <c r="B4" s="8" t="s">
        <v>53</v>
      </c>
      <c r="C4" s="6">
        <v>0.2</v>
      </c>
      <c r="D4" s="6">
        <v>0.2</v>
      </c>
      <c r="E4" s="6">
        <v>0.2</v>
      </c>
      <c r="F4" s="6">
        <v>0.2</v>
      </c>
      <c r="G4" s="6">
        <v>0.2</v>
      </c>
      <c r="H4" s="6">
        <v>0.2</v>
      </c>
      <c r="I4" s="6">
        <v>0.2</v>
      </c>
      <c r="J4" s="6">
        <v>0.2</v>
      </c>
      <c r="K4" s="4"/>
    </row>
    <row r="5" spans="1:11" ht="15.75" x14ac:dyDescent="0.25">
      <c r="A5" s="4" t="s">
        <v>3</v>
      </c>
      <c r="B5" s="8" t="s">
        <v>53</v>
      </c>
      <c r="C5" s="7">
        <v>1000000</v>
      </c>
      <c r="D5" s="7">
        <v>1000000</v>
      </c>
      <c r="E5" s="7">
        <v>1000000</v>
      </c>
      <c r="F5" s="7">
        <v>1000000</v>
      </c>
      <c r="G5" s="7">
        <v>1000000</v>
      </c>
      <c r="H5" s="7">
        <v>1000000</v>
      </c>
      <c r="I5" s="7">
        <v>1000000</v>
      </c>
      <c r="J5" s="7">
        <v>1000000</v>
      </c>
      <c r="K5" s="4"/>
    </row>
    <row r="6" spans="1:11" ht="15.75" x14ac:dyDescent="0.25">
      <c r="A6" s="4" t="s">
        <v>11</v>
      </c>
      <c r="B6" s="8" t="s">
        <v>53</v>
      </c>
      <c r="C6" s="10">
        <v>0.7</v>
      </c>
      <c r="D6" s="10">
        <v>0.3</v>
      </c>
      <c r="E6" s="10">
        <v>0.25</v>
      </c>
      <c r="F6" s="10">
        <v>0.25</v>
      </c>
      <c r="G6" s="10">
        <v>0.2</v>
      </c>
      <c r="H6" s="10">
        <v>0.2</v>
      </c>
      <c r="I6" s="10">
        <v>0.2</v>
      </c>
      <c r="J6" s="10">
        <v>0.15</v>
      </c>
      <c r="K6" s="4"/>
    </row>
    <row r="7" spans="1:11" ht="15.75" x14ac:dyDescent="0.25">
      <c r="A7" s="4" t="s">
        <v>12</v>
      </c>
      <c r="B7" s="8" t="s">
        <v>53</v>
      </c>
      <c r="C7" s="11">
        <v>500</v>
      </c>
      <c r="D7" s="8" t="s">
        <v>53</v>
      </c>
      <c r="E7" s="8" t="s">
        <v>53</v>
      </c>
      <c r="F7" s="8" t="s">
        <v>53</v>
      </c>
      <c r="G7" s="8" t="s">
        <v>53</v>
      </c>
      <c r="H7" s="8" t="s">
        <v>53</v>
      </c>
      <c r="I7" s="8" t="s">
        <v>53</v>
      </c>
      <c r="J7" s="8" t="s">
        <v>53</v>
      </c>
      <c r="K7" s="4"/>
    </row>
    <row r="8" spans="1:11" ht="15.75" x14ac:dyDescent="0.25">
      <c r="A8" s="4" t="s">
        <v>36</v>
      </c>
      <c r="B8" s="8" t="s">
        <v>53</v>
      </c>
      <c r="C8" s="16">
        <v>500000</v>
      </c>
      <c r="D8" s="16">
        <v>500000</v>
      </c>
      <c r="E8" s="16">
        <v>500000</v>
      </c>
      <c r="F8" s="16">
        <v>500000</v>
      </c>
      <c r="G8" s="16">
        <v>500000</v>
      </c>
      <c r="H8" s="16">
        <v>500000</v>
      </c>
      <c r="I8" s="16">
        <v>500000</v>
      </c>
      <c r="J8" s="16">
        <v>500000</v>
      </c>
      <c r="K8" s="4"/>
    </row>
    <row r="9" spans="1:11" ht="15.7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x14ac:dyDescent="0.25">
      <c r="A10" s="2" t="s">
        <v>4</v>
      </c>
      <c r="B10" s="5">
        <v>2016</v>
      </c>
      <c r="C10" s="5">
        <v>2017</v>
      </c>
      <c r="D10" s="5">
        <v>2018</v>
      </c>
      <c r="E10" s="5">
        <v>2019</v>
      </c>
      <c r="F10" s="5">
        <v>2020</v>
      </c>
      <c r="G10" s="5">
        <v>2021</v>
      </c>
      <c r="H10" s="5">
        <v>2022</v>
      </c>
      <c r="I10" s="5">
        <v>2023</v>
      </c>
      <c r="J10" s="5">
        <v>2024</v>
      </c>
      <c r="K10" s="4"/>
    </row>
    <row r="11" spans="1:11" ht="15.75" x14ac:dyDescent="0.25">
      <c r="A11" s="4" t="s">
        <v>5</v>
      </c>
      <c r="B11" s="22">
        <v>50</v>
      </c>
      <c r="C11" s="8" t="s">
        <v>53</v>
      </c>
      <c r="D11" s="8" t="s">
        <v>53</v>
      </c>
      <c r="E11" s="8" t="s">
        <v>53</v>
      </c>
      <c r="F11" s="8" t="s">
        <v>53</v>
      </c>
      <c r="G11" s="8" t="s">
        <v>53</v>
      </c>
      <c r="H11" s="8" t="s">
        <v>53</v>
      </c>
      <c r="I11" s="8" t="s">
        <v>53</v>
      </c>
      <c r="J11" s="8" t="s">
        <v>53</v>
      </c>
      <c r="K11" s="4"/>
    </row>
    <row r="12" spans="1:11" ht="15.75" x14ac:dyDescent="0.25">
      <c r="A12" s="4" t="s">
        <v>18</v>
      </c>
      <c r="B12" s="8" t="s">
        <v>53</v>
      </c>
      <c r="C12" s="9">
        <v>0.04</v>
      </c>
      <c r="D12" s="9">
        <v>0.04</v>
      </c>
      <c r="E12" s="9">
        <v>0.04</v>
      </c>
      <c r="F12" s="9">
        <v>0.04</v>
      </c>
      <c r="G12" s="9">
        <v>0.04</v>
      </c>
      <c r="H12" s="9">
        <v>0.04</v>
      </c>
      <c r="I12" s="9">
        <v>0.04</v>
      </c>
      <c r="J12" s="9">
        <v>0.04</v>
      </c>
      <c r="K12" s="4"/>
    </row>
    <row r="13" spans="1:11" ht="15.75" x14ac:dyDescent="0.25">
      <c r="A13" s="4" t="s">
        <v>37</v>
      </c>
      <c r="B13" s="23">
        <v>5000000</v>
      </c>
      <c r="C13" s="8" t="s">
        <v>53</v>
      </c>
      <c r="D13" s="8" t="s">
        <v>53</v>
      </c>
      <c r="E13" s="8" t="s">
        <v>53</v>
      </c>
      <c r="F13" s="8" t="s">
        <v>53</v>
      </c>
      <c r="G13" s="8" t="s">
        <v>53</v>
      </c>
      <c r="H13" s="8" t="s">
        <v>53</v>
      </c>
      <c r="I13" s="8" t="s">
        <v>53</v>
      </c>
      <c r="J13" s="8" t="s">
        <v>53</v>
      </c>
      <c r="K13" s="4"/>
    </row>
    <row r="15" spans="1:11" ht="15.75" x14ac:dyDescent="0.25">
      <c r="A15" s="2" t="s">
        <v>6</v>
      </c>
      <c r="B15" s="5">
        <v>2016</v>
      </c>
      <c r="C15" s="5">
        <v>2017</v>
      </c>
      <c r="D15" s="5">
        <v>2018</v>
      </c>
      <c r="E15" s="5">
        <v>2019</v>
      </c>
      <c r="F15" s="5">
        <v>2020</v>
      </c>
      <c r="G15" s="5">
        <v>2021</v>
      </c>
      <c r="H15" s="5">
        <v>2022</v>
      </c>
      <c r="I15" s="5">
        <v>2023</v>
      </c>
      <c r="J15" s="5">
        <v>2024</v>
      </c>
      <c r="K15" s="4"/>
    </row>
    <row r="16" spans="1:11" ht="15.75" x14ac:dyDescent="0.25">
      <c r="A16" s="4" t="s">
        <v>7</v>
      </c>
      <c r="B16" s="8" t="s">
        <v>53</v>
      </c>
      <c r="C16" s="20">
        <f>C41</f>
        <v>2116446</v>
      </c>
      <c r="D16" s="20">
        <f>D41</f>
        <v>502544.2</v>
      </c>
      <c r="E16" s="20">
        <f t="shared" ref="E16:J16" si="0">E41</f>
        <v>205656.85</v>
      </c>
      <c r="F16" s="20">
        <f t="shared" si="0"/>
        <v>14242.637500000001</v>
      </c>
      <c r="G16" s="20">
        <f t="shared" si="0"/>
        <v>-146266.02812499995</v>
      </c>
      <c r="H16" s="20">
        <f t="shared" si="0"/>
        <v>-257012.82250000001</v>
      </c>
      <c r="I16" s="20">
        <f t="shared" si="0"/>
        <v>-345610.25799999991</v>
      </c>
      <c r="J16" s="20">
        <f t="shared" si="0"/>
        <v>-408612.87880000001</v>
      </c>
      <c r="K16" s="4"/>
    </row>
    <row r="17" spans="1:11" ht="15.75" x14ac:dyDescent="0.25">
      <c r="A17" s="4" t="s">
        <v>8</v>
      </c>
      <c r="B17" s="8" t="s">
        <v>53</v>
      </c>
      <c r="C17" s="20">
        <f>D27</f>
        <v>2116446</v>
      </c>
      <c r="D17" s="20">
        <f>D43</f>
        <v>2618990.2000000002</v>
      </c>
      <c r="E17" s="20">
        <f t="shared" ref="E17:J17" si="1">E43</f>
        <v>2824647.0500000003</v>
      </c>
      <c r="F17" s="20">
        <f t="shared" si="1"/>
        <v>2838889.6875000005</v>
      </c>
      <c r="G17" s="20">
        <f t="shared" si="1"/>
        <v>2692623.6593750007</v>
      </c>
      <c r="H17" s="20">
        <f t="shared" si="1"/>
        <v>2435610.836875001</v>
      </c>
      <c r="I17" s="20">
        <f t="shared" si="1"/>
        <v>2090000.5788750011</v>
      </c>
      <c r="J17" s="20">
        <f t="shared" si="1"/>
        <v>1681387.700075001</v>
      </c>
      <c r="K17" s="4"/>
    </row>
    <row r="18" spans="1:11" ht="15.75" x14ac:dyDescent="0.25">
      <c r="A18" s="4" t="s">
        <v>9</v>
      </c>
      <c r="B18" s="8" t="s">
        <v>53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4"/>
    </row>
    <row r="19" spans="1:11" ht="15.75" x14ac:dyDescent="0.25">
      <c r="A19" s="4" t="s">
        <v>34</v>
      </c>
      <c r="B19" s="8" t="s">
        <v>53</v>
      </c>
      <c r="C19" s="8" t="s">
        <v>53</v>
      </c>
      <c r="D19" s="8" t="s">
        <v>53</v>
      </c>
      <c r="E19" s="8" t="s">
        <v>53</v>
      </c>
      <c r="F19" s="8" t="s">
        <v>53</v>
      </c>
      <c r="G19" s="8" t="s">
        <v>53</v>
      </c>
      <c r="H19" s="8" t="s">
        <v>53</v>
      </c>
      <c r="I19" s="8" t="s">
        <v>53</v>
      </c>
      <c r="J19" s="15">
        <f>B56</f>
        <v>-2681381.1673198622</v>
      </c>
      <c r="K19" s="4"/>
    </row>
    <row r="20" spans="1:11" ht="15.7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x14ac:dyDescent="0.25">
      <c r="A21" s="2" t="s">
        <v>10</v>
      </c>
      <c r="B21" s="5">
        <v>2016</v>
      </c>
      <c r="C21" s="5">
        <v>2017</v>
      </c>
      <c r="D21" s="5">
        <v>2018</v>
      </c>
      <c r="E21" s="5">
        <v>2019</v>
      </c>
      <c r="F21" s="5">
        <v>2020</v>
      </c>
      <c r="G21" s="5">
        <v>2021</v>
      </c>
      <c r="H21" s="5">
        <v>2022</v>
      </c>
      <c r="I21" s="5">
        <v>2023</v>
      </c>
      <c r="J21" s="5">
        <v>2024</v>
      </c>
      <c r="K21" s="4"/>
    </row>
    <row r="22" spans="1:11" ht="15.75" x14ac:dyDescent="0.25">
      <c r="A22" s="4" t="s">
        <v>13</v>
      </c>
      <c r="B22" s="32" t="s">
        <v>53</v>
      </c>
      <c r="C22" s="12">
        <v>500</v>
      </c>
      <c r="D22" s="12">
        <f>C22-(C6*C22)</f>
        <v>150</v>
      </c>
      <c r="E22" s="12">
        <f>D22-(D6*D22)</f>
        <v>105</v>
      </c>
      <c r="F22" s="12">
        <f t="shared" ref="F22:K22" si="2">E22-(E6*E22)</f>
        <v>78.75</v>
      </c>
      <c r="G22" s="12">
        <f t="shared" si="2"/>
        <v>59.0625</v>
      </c>
      <c r="H22" s="12">
        <f t="shared" si="2"/>
        <v>47.25</v>
      </c>
      <c r="I22" s="12">
        <f t="shared" si="2"/>
        <v>37.799999999999997</v>
      </c>
      <c r="J22" s="12">
        <f t="shared" si="2"/>
        <v>30.24</v>
      </c>
      <c r="K22" s="12"/>
    </row>
    <row r="23" spans="1:11" ht="15.75" x14ac:dyDescent="0.25">
      <c r="A23" s="4" t="s">
        <v>14</v>
      </c>
      <c r="B23" s="8" t="s">
        <v>53</v>
      </c>
      <c r="C23" s="12">
        <f>C22-((C6/2)*C22)</f>
        <v>325</v>
      </c>
      <c r="D23" s="12">
        <f t="shared" ref="D23:J23" si="3">D22-((D6/2)*D22)</f>
        <v>127.5</v>
      </c>
      <c r="E23" s="12">
        <f t="shared" si="3"/>
        <v>91.875</v>
      </c>
      <c r="F23" s="12">
        <f t="shared" si="3"/>
        <v>68.90625</v>
      </c>
      <c r="G23" s="12">
        <f t="shared" si="3"/>
        <v>53.15625</v>
      </c>
      <c r="H23" s="12">
        <f t="shared" si="3"/>
        <v>42.524999999999999</v>
      </c>
      <c r="I23" s="12">
        <f t="shared" si="3"/>
        <v>34.019999999999996</v>
      </c>
      <c r="J23" s="12">
        <f t="shared" si="3"/>
        <v>27.971999999999998</v>
      </c>
      <c r="K23" s="4"/>
    </row>
    <row r="24" spans="1:11" ht="15.75" x14ac:dyDescent="0.25">
      <c r="A24" s="4" t="s">
        <v>19</v>
      </c>
      <c r="B24" s="8" t="s">
        <v>53</v>
      </c>
      <c r="C24" s="13">
        <f>C23*365</f>
        <v>118625</v>
      </c>
      <c r="D24" s="13">
        <f t="shared" ref="D24:J24" si="4">D23*365</f>
        <v>46537.5</v>
      </c>
      <c r="E24" s="13">
        <f t="shared" si="4"/>
        <v>33534.375</v>
      </c>
      <c r="F24" s="13">
        <f t="shared" si="4"/>
        <v>25150.78125</v>
      </c>
      <c r="G24" s="13">
        <f t="shared" si="4"/>
        <v>19402.03125</v>
      </c>
      <c r="H24" s="13">
        <f t="shared" si="4"/>
        <v>15521.625</v>
      </c>
      <c r="I24" s="13">
        <f t="shared" si="4"/>
        <v>12417.3</v>
      </c>
      <c r="J24" s="13">
        <f t="shared" si="4"/>
        <v>10209.779999999999</v>
      </c>
      <c r="K24" s="14"/>
    </row>
    <row r="25" spans="1:11" ht="15.7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x14ac:dyDescent="0.25">
      <c r="A26" s="2" t="s">
        <v>15</v>
      </c>
      <c r="B26" s="5">
        <v>2016</v>
      </c>
      <c r="C26" s="5">
        <v>2017</v>
      </c>
      <c r="D26" s="5">
        <v>2018</v>
      </c>
      <c r="E26" s="5">
        <v>2019</v>
      </c>
      <c r="F26" s="5">
        <v>2020</v>
      </c>
      <c r="G26" s="5">
        <v>2021</v>
      </c>
      <c r="H26" s="5">
        <v>2022</v>
      </c>
      <c r="I26" s="5">
        <v>2023</v>
      </c>
      <c r="J26" s="5">
        <v>2024</v>
      </c>
      <c r="K26" s="4"/>
    </row>
    <row r="27" spans="1:11" ht="15.75" x14ac:dyDescent="0.25">
      <c r="A27" s="4" t="s">
        <v>16</v>
      </c>
      <c r="B27" s="8" t="s">
        <v>53</v>
      </c>
      <c r="C27" s="15">
        <v>1000000</v>
      </c>
      <c r="D27" s="15">
        <f>C46</f>
        <v>2116446</v>
      </c>
      <c r="E27" s="15">
        <f>D46</f>
        <v>2618990.2000000002</v>
      </c>
      <c r="F27" s="15">
        <f>E46</f>
        <v>2824647.0500000003</v>
      </c>
      <c r="G27" s="15">
        <f>F46</f>
        <v>2838889.6875000005</v>
      </c>
      <c r="H27" s="15">
        <f>G46</f>
        <v>2692623.6593750007</v>
      </c>
      <c r="I27" s="15">
        <f>H46</f>
        <v>2435610.836875001</v>
      </c>
      <c r="J27" s="15">
        <f>I46</f>
        <v>2090000.5788750011</v>
      </c>
      <c r="K27" s="4"/>
    </row>
    <row r="28" spans="1:11" ht="15.75" x14ac:dyDescent="0.25">
      <c r="A28" s="4"/>
      <c r="B28" s="8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x14ac:dyDescent="0.25">
      <c r="A29" s="4" t="s">
        <v>17</v>
      </c>
      <c r="B29" s="8" t="s">
        <v>53</v>
      </c>
      <c r="C29" s="7">
        <f>$B$11*C24</f>
        <v>5931250</v>
      </c>
      <c r="D29" s="7">
        <f t="shared" ref="D29:J29" si="5">$B$11*D24</f>
        <v>2326875</v>
      </c>
      <c r="E29" s="7">
        <f t="shared" si="5"/>
        <v>1676718.75</v>
      </c>
      <c r="F29" s="7">
        <f t="shared" si="5"/>
        <v>1257539.0625</v>
      </c>
      <c r="G29" s="7">
        <f t="shared" si="5"/>
        <v>970101.5625</v>
      </c>
      <c r="H29" s="7">
        <f t="shared" si="5"/>
        <v>776081.25</v>
      </c>
      <c r="I29" s="7">
        <f t="shared" si="5"/>
        <v>620865</v>
      </c>
      <c r="J29" s="7">
        <f t="shared" si="5"/>
        <v>510488.99999999994</v>
      </c>
      <c r="K29" s="4"/>
    </row>
    <row r="30" spans="1:11" ht="15.75" x14ac:dyDescent="0.25">
      <c r="A30" s="4" t="s">
        <v>24</v>
      </c>
      <c r="B30" s="8" t="s">
        <v>53</v>
      </c>
      <c r="C30" s="4"/>
      <c r="D30" s="4"/>
      <c r="E30" s="4"/>
      <c r="F30" s="4"/>
      <c r="G30" s="4"/>
      <c r="H30" s="4"/>
      <c r="I30" s="4"/>
      <c r="J30" s="4"/>
      <c r="K30" s="4"/>
    </row>
    <row r="31" spans="1:11" ht="15.75" x14ac:dyDescent="0.25">
      <c r="A31" s="4" t="s">
        <v>39</v>
      </c>
      <c r="B31" s="8" t="s">
        <v>53</v>
      </c>
      <c r="C31" s="14">
        <f>12*C24</f>
        <v>1423500</v>
      </c>
      <c r="D31" s="14">
        <f t="shared" ref="D31:J31" si="6">12*D24</f>
        <v>558450</v>
      </c>
      <c r="E31" s="14">
        <f t="shared" si="6"/>
        <v>402412.5</v>
      </c>
      <c r="F31" s="14">
        <f t="shared" si="6"/>
        <v>301809.375</v>
      </c>
      <c r="G31" s="14">
        <f t="shared" si="6"/>
        <v>232824.375</v>
      </c>
      <c r="H31" s="14">
        <f t="shared" si="6"/>
        <v>186259.5</v>
      </c>
      <c r="I31" s="14">
        <f t="shared" si="6"/>
        <v>149007.59999999998</v>
      </c>
      <c r="J31" s="14">
        <f t="shared" si="6"/>
        <v>122517.35999999999</v>
      </c>
      <c r="K31" s="4"/>
    </row>
    <row r="32" spans="1:11" ht="15.75" x14ac:dyDescent="0.25">
      <c r="A32" s="4" t="s">
        <v>38</v>
      </c>
      <c r="B32" s="8" t="s">
        <v>53</v>
      </c>
      <c r="C32" s="14">
        <f>3*C24</f>
        <v>355875</v>
      </c>
      <c r="D32" s="14">
        <f t="shared" ref="D32:J32" si="7">3*D24</f>
        <v>139612.5</v>
      </c>
      <c r="E32" s="14">
        <f t="shared" si="7"/>
        <v>100603.125</v>
      </c>
      <c r="F32" s="14">
        <f t="shared" si="7"/>
        <v>75452.34375</v>
      </c>
      <c r="G32" s="14">
        <f t="shared" si="7"/>
        <v>58206.09375</v>
      </c>
      <c r="H32" s="14">
        <f t="shared" si="7"/>
        <v>46564.875</v>
      </c>
      <c r="I32" s="14">
        <f t="shared" si="7"/>
        <v>37251.899999999994</v>
      </c>
      <c r="J32" s="14">
        <f t="shared" si="7"/>
        <v>30629.339999999997</v>
      </c>
      <c r="K32" s="4"/>
    </row>
    <row r="33" spans="1:11" ht="15.75" x14ac:dyDescent="0.25">
      <c r="A33" s="4" t="s">
        <v>40</v>
      </c>
      <c r="B33" s="8" t="s">
        <v>53</v>
      </c>
      <c r="C33" s="7">
        <v>200000</v>
      </c>
      <c r="D33" s="7">
        <v>200000</v>
      </c>
      <c r="E33" s="7">
        <v>200000</v>
      </c>
      <c r="F33" s="7">
        <v>200000</v>
      </c>
      <c r="G33" s="7">
        <v>200000</v>
      </c>
      <c r="H33" s="7">
        <v>200000</v>
      </c>
      <c r="I33" s="7">
        <v>200000</v>
      </c>
      <c r="J33" s="7">
        <v>200000</v>
      </c>
      <c r="K33" s="4"/>
    </row>
    <row r="34" spans="1:11" ht="15.75" x14ac:dyDescent="0.25">
      <c r="A34" s="4" t="s">
        <v>20</v>
      </c>
      <c r="B34" s="8" t="s">
        <v>53</v>
      </c>
      <c r="C34" s="15">
        <f>0.12*(C29-C31)</f>
        <v>540930</v>
      </c>
      <c r="D34" s="15">
        <f t="shared" ref="D34:J34" si="8">0.12*(D29-D31)</f>
        <v>212211</v>
      </c>
      <c r="E34" s="15">
        <f t="shared" si="8"/>
        <v>152916.75</v>
      </c>
      <c r="F34" s="15">
        <f t="shared" si="8"/>
        <v>114687.5625</v>
      </c>
      <c r="G34" s="15">
        <f t="shared" si="8"/>
        <v>88473.262499999997</v>
      </c>
      <c r="H34" s="15">
        <f t="shared" si="8"/>
        <v>70778.61</v>
      </c>
      <c r="I34" s="15">
        <f t="shared" si="8"/>
        <v>56622.887999999999</v>
      </c>
      <c r="J34" s="15">
        <f t="shared" si="8"/>
        <v>46556.596799999992</v>
      </c>
      <c r="K34" s="4"/>
    </row>
    <row r="35" spans="1:11" ht="15.75" x14ac:dyDescent="0.25">
      <c r="A35" s="4" t="s">
        <v>22</v>
      </c>
      <c r="B35" s="8" t="s">
        <v>53</v>
      </c>
      <c r="C35" s="15">
        <f>0.05*(C29-C31)</f>
        <v>225387.5</v>
      </c>
      <c r="D35" s="15">
        <f t="shared" ref="D35:J35" si="9">0.05*(D29-D31)</f>
        <v>88421.25</v>
      </c>
      <c r="E35" s="15">
        <f t="shared" si="9"/>
        <v>63715.3125</v>
      </c>
      <c r="F35" s="15">
        <f t="shared" si="9"/>
        <v>47786.484375</v>
      </c>
      <c r="G35" s="15">
        <f t="shared" si="9"/>
        <v>36863.859375</v>
      </c>
      <c r="H35" s="15">
        <f t="shared" si="9"/>
        <v>29491.087500000001</v>
      </c>
      <c r="I35" s="15">
        <f t="shared" si="9"/>
        <v>23592.870000000003</v>
      </c>
      <c r="J35" s="15">
        <f t="shared" si="9"/>
        <v>19398.581999999999</v>
      </c>
      <c r="K35" s="4"/>
    </row>
    <row r="36" spans="1:11" ht="15.75" x14ac:dyDescent="0.25">
      <c r="A36" s="4" t="s">
        <v>21</v>
      </c>
      <c r="B36" s="8" t="s">
        <v>53</v>
      </c>
      <c r="C36" s="15">
        <v>500000</v>
      </c>
      <c r="D36" s="15">
        <v>500000</v>
      </c>
      <c r="E36" s="15">
        <v>500000</v>
      </c>
      <c r="F36" s="15">
        <v>500000</v>
      </c>
      <c r="G36" s="15">
        <v>500000</v>
      </c>
      <c r="H36" s="15">
        <v>500000</v>
      </c>
      <c r="I36" s="15">
        <v>500000</v>
      </c>
      <c r="J36" s="15">
        <v>500000</v>
      </c>
      <c r="K36" s="4"/>
    </row>
    <row r="37" spans="1:11" ht="18" x14ac:dyDescent="0.4">
      <c r="A37" s="4" t="s">
        <v>23</v>
      </c>
      <c r="B37" s="8" t="s">
        <v>53</v>
      </c>
      <c r="C37" s="17">
        <f>C5*0.04</f>
        <v>40000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4"/>
    </row>
    <row r="38" spans="1:11" ht="18" x14ac:dyDescent="0.4">
      <c r="A38" s="4" t="s">
        <v>25</v>
      </c>
      <c r="B38" s="8" t="s">
        <v>53</v>
      </c>
      <c r="C38" s="17">
        <f>SUM(C31:C37)</f>
        <v>3285692.5</v>
      </c>
      <c r="D38" s="17">
        <f>SUM(D31:D37)</f>
        <v>1698694.75</v>
      </c>
      <c r="E38" s="17">
        <f t="shared" ref="E38:J38" si="10">SUM(E31:E37)</f>
        <v>1419647.6875</v>
      </c>
      <c r="F38" s="17">
        <f t="shared" si="10"/>
        <v>1239735.765625</v>
      </c>
      <c r="G38" s="17">
        <f t="shared" si="10"/>
        <v>1116367.590625</v>
      </c>
      <c r="H38" s="17">
        <f t="shared" si="10"/>
        <v>1033094.0725</v>
      </c>
      <c r="I38" s="17">
        <f t="shared" si="10"/>
        <v>966475.25799999991</v>
      </c>
      <c r="J38" s="17">
        <f t="shared" si="10"/>
        <v>919101.87879999995</v>
      </c>
      <c r="K38" s="4"/>
    </row>
    <row r="39" spans="1:11" ht="15.75" x14ac:dyDescent="0.25">
      <c r="A39" s="4" t="s">
        <v>26</v>
      </c>
      <c r="B39" s="8" t="s">
        <v>53</v>
      </c>
      <c r="C39" s="15">
        <f>C29-C38</f>
        <v>2645557.5</v>
      </c>
      <c r="D39" s="15">
        <f t="shared" ref="D39:J39" si="11">D29-D38</f>
        <v>628180.25</v>
      </c>
      <c r="E39" s="15">
        <f t="shared" si="11"/>
        <v>257071.0625</v>
      </c>
      <c r="F39" s="15">
        <f t="shared" si="11"/>
        <v>17803.296875</v>
      </c>
      <c r="G39" s="15">
        <f t="shared" si="11"/>
        <v>-146266.02812499995</v>
      </c>
      <c r="H39" s="15">
        <f t="shared" si="11"/>
        <v>-257012.82250000001</v>
      </c>
      <c r="I39" s="15">
        <f t="shared" si="11"/>
        <v>-345610.25799999991</v>
      </c>
      <c r="J39" s="15">
        <f t="shared" si="11"/>
        <v>-408612.87880000001</v>
      </c>
      <c r="K39" s="4"/>
    </row>
    <row r="40" spans="1:11" ht="15.75" x14ac:dyDescent="0.25">
      <c r="A40" s="4" t="s">
        <v>27</v>
      </c>
      <c r="B40" s="8" t="s">
        <v>53</v>
      </c>
      <c r="C40" s="15">
        <f>IF(C39&gt;0,C39*C4,0)</f>
        <v>529111.5</v>
      </c>
      <c r="D40" s="15">
        <f t="shared" ref="D40:J40" si="12">IF(D39&gt;0,D39*D4,0)</f>
        <v>125636.05</v>
      </c>
      <c r="E40" s="15">
        <f t="shared" si="12"/>
        <v>51414.212500000001</v>
      </c>
      <c r="F40" s="15">
        <f t="shared" si="12"/>
        <v>3560.6593750000002</v>
      </c>
      <c r="G40" s="15">
        <f t="shared" si="12"/>
        <v>0</v>
      </c>
      <c r="H40" s="15">
        <f t="shared" si="12"/>
        <v>0</v>
      </c>
      <c r="I40" s="15">
        <f t="shared" si="12"/>
        <v>0</v>
      </c>
      <c r="J40" s="15">
        <f t="shared" si="12"/>
        <v>0</v>
      </c>
      <c r="K40" s="4"/>
    </row>
    <row r="41" spans="1:11" ht="18" x14ac:dyDescent="0.4">
      <c r="A41" s="4" t="s">
        <v>28</v>
      </c>
      <c r="B41" s="8" t="s">
        <v>53</v>
      </c>
      <c r="C41" s="19">
        <f>C39-C40</f>
        <v>2116446</v>
      </c>
      <c r="D41" s="19">
        <f t="shared" ref="D41:J41" si="13">D39-D40</f>
        <v>502544.2</v>
      </c>
      <c r="E41" s="19">
        <f t="shared" si="13"/>
        <v>205656.85</v>
      </c>
      <c r="F41" s="19">
        <f t="shared" si="13"/>
        <v>14242.637500000001</v>
      </c>
      <c r="G41" s="19">
        <f t="shared" si="13"/>
        <v>-146266.02812499995</v>
      </c>
      <c r="H41" s="19">
        <f t="shared" si="13"/>
        <v>-257012.82250000001</v>
      </c>
      <c r="I41" s="19">
        <f t="shared" si="13"/>
        <v>-345610.25799999991</v>
      </c>
      <c r="J41" s="19">
        <f t="shared" si="13"/>
        <v>-408612.87880000001</v>
      </c>
      <c r="K41" s="4"/>
    </row>
    <row r="42" spans="1:11" ht="15.75" x14ac:dyDescent="0.25">
      <c r="A42" s="4"/>
      <c r="B42" s="8"/>
      <c r="C42" s="4"/>
      <c r="D42" s="4"/>
      <c r="E42" s="4"/>
      <c r="F42" s="4"/>
      <c r="G42" s="4"/>
      <c r="H42" s="4"/>
      <c r="I42" s="4"/>
      <c r="J42" s="4"/>
      <c r="K42" s="4"/>
    </row>
    <row r="43" spans="1:11" ht="31.5" x14ac:dyDescent="0.25">
      <c r="A43" s="18" t="s">
        <v>29</v>
      </c>
      <c r="B43" s="8" t="s">
        <v>53</v>
      </c>
      <c r="C43" s="15">
        <f>C41+C5</f>
        <v>3116446</v>
      </c>
      <c r="D43" s="15">
        <f>D41+D27</f>
        <v>2618990.2000000002</v>
      </c>
      <c r="E43" s="15">
        <f>E41+E27</f>
        <v>2824647.0500000003</v>
      </c>
      <c r="F43" s="15">
        <f>F41+F27</f>
        <v>2838889.6875000005</v>
      </c>
      <c r="G43" s="15">
        <f>G41+G27</f>
        <v>2692623.6593750007</v>
      </c>
      <c r="H43" s="15">
        <f>H41+H27</f>
        <v>2435610.836875001</v>
      </c>
      <c r="I43" s="15">
        <f>I41+I27</f>
        <v>2090000.5788750011</v>
      </c>
      <c r="J43" s="15">
        <f>J41+J27</f>
        <v>1681387.700075001</v>
      </c>
      <c r="K43" s="4"/>
    </row>
    <row r="44" spans="1:11" ht="15.75" x14ac:dyDescent="0.25">
      <c r="A44" s="4" t="s">
        <v>30</v>
      </c>
      <c r="B44" s="8" t="s">
        <v>53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4"/>
    </row>
    <row r="45" spans="1:11" ht="18" x14ac:dyDescent="0.4">
      <c r="A45" s="4" t="s">
        <v>33</v>
      </c>
      <c r="B45" s="8" t="s">
        <v>53</v>
      </c>
      <c r="C45" s="17">
        <v>1000000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4"/>
    </row>
    <row r="46" spans="1:11" ht="18" x14ac:dyDescent="0.4">
      <c r="A46" s="4" t="s">
        <v>8</v>
      </c>
      <c r="B46" s="31">
        <v>1000000</v>
      </c>
      <c r="C46" s="19">
        <f>C43-C45</f>
        <v>2116446</v>
      </c>
      <c r="D46" s="19">
        <f>D43</f>
        <v>2618990.2000000002</v>
      </c>
      <c r="E46" s="19">
        <f>E43</f>
        <v>2824647.0500000003</v>
      </c>
      <c r="F46" s="19">
        <f>F43</f>
        <v>2838889.6875000005</v>
      </c>
      <c r="G46" s="19">
        <f t="shared" ref="G46:J46" si="14">G43</f>
        <v>2692623.6593750007</v>
      </c>
      <c r="H46" s="19">
        <f t="shared" si="14"/>
        <v>2435610.836875001</v>
      </c>
      <c r="I46" s="19">
        <f t="shared" si="14"/>
        <v>2090000.5788750011</v>
      </c>
      <c r="J46" s="19">
        <f t="shared" si="14"/>
        <v>1681387.700075001</v>
      </c>
      <c r="K46" s="4"/>
    </row>
    <row r="47" spans="1:11" ht="15.7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x14ac:dyDescent="0.25">
      <c r="A48" s="2" t="s">
        <v>31</v>
      </c>
      <c r="B48" s="5">
        <v>2016</v>
      </c>
      <c r="C48" s="5">
        <v>2017</v>
      </c>
      <c r="D48" s="5">
        <v>2018</v>
      </c>
      <c r="E48" s="5">
        <v>2019</v>
      </c>
      <c r="F48" s="5">
        <v>2020</v>
      </c>
      <c r="G48" s="5">
        <v>2021</v>
      </c>
      <c r="H48" s="5">
        <v>2022</v>
      </c>
      <c r="I48" s="5">
        <v>2023</v>
      </c>
      <c r="J48" s="5">
        <v>2024</v>
      </c>
      <c r="K48" s="4"/>
    </row>
    <row r="49" spans="1:11" ht="15.75" x14ac:dyDescent="0.25">
      <c r="A49" s="4" t="s">
        <v>32</v>
      </c>
      <c r="B49" s="8" t="s">
        <v>53</v>
      </c>
      <c r="C49" s="15">
        <v>1000000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4"/>
    </row>
    <row r="50" spans="1:11" ht="15.75" x14ac:dyDescent="0.25">
      <c r="A50" s="4" t="s">
        <v>30</v>
      </c>
      <c r="B50" s="8" t="s">
        <v>53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4"/>
    </row>
    <row r="51" spans="1:11" ht="18" x14ac:dyDescent="0.4">
      <c r="A51" s="4" t="s">
        <v>33</v>
      </c>
      <c r="B51" s="8" t="s">
        <v>53</v>
      </c>
      <c r="C51" s="17">
        <v>1000000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4"/>
    </row>
    <row r="52" spans="1:11" ht="18" x14ac:dyDescent="0.4">
      <c r="A52" s="4" t="s">
        <v>9</v>
      </c>
      <c r="B52" s="19">
        <v>1000000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4"/>
    </row>
    <row r="53" spans="1:11" ht="15.7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x14ac:dyDescent="0.25">
      <c r="A54" s="4" t="s">
        <v>35</v>
      </c>
      <c r="B54" s="15">
        <f>B13*-1</f>
        <v>-5000000</v>
      </c>
      <c r="C54" s="15">
        <f>C41</f>
        <v>2116446</v>
      </c>
      <c r="D54" s="15">
        <f t="shared" ref="D54:J54" si="15">D41</f>
        <v>502544.2</v>
      </c>
      <c r="E54" s="15">
        <f t="shared" si="15"/>
        <v>205656.85</v>
      </c>
      <c r="F54" s="15">
        <f t="shared" si="15"/>
        <v>14242.637500000001</v>
      </c>
      <c r="G54" s="15">
        <f t="shared" si="15"/>
        <v>-146266.02812499995</v>
      </c>
      <c r="H54" s="15">
        <f t="shared" si="15"/>
        <v>-257012.82250000001</v>
      </c>
      <c r="I54" s="15">
        <f t="shared" si="15"/>
        <v>-345610.25799999991</v>
      </c>
      <c r="J54" s="15">
        <f t="shared" si="15"/>
        <v>-408612.87880000001</v>
      </c>
      <c r="K54" s="15"/>
    </row>
    <row r="55" spans="1:11" ht="15.75" x14ac:dyDescent="0.25">
      <c r="A55" s="4"/>
      <c r="B55" s="4"/>
      <c r="C55" s="4"/>
      <c r="D55" s="4"/>
      <c r="E55" s="4"/>
      <c r="F55" s="4"/>
      <c r="G55" s="4"/>
      <c r="H55" s="4"/>
      <c r="I55" s="4"/>
      <c r="J55" s="21"/>
      <c r="K55" s="4"/>
    </row>
    <row r="56" spans="1:11" ht="15.75" x14ac:dyDescent="0.25">
      <c r="A56" s="4" t="s">
        <v>51</v>
      </c>
      <c r="B56" s="28">
        <f>NPV(0.15,B54,C54,D54,E54,F54,G54,H54,I54,J54)</f>
        <v>-2681381.1673198622</v>
      </c>
      <c r="C56" s="8" t="s">
        <v>53</v>
      </c>
      <c r="D56" s="8" t="s">
        <v>53</v>
      </c>
      <c r="E56" s="8" t="s">
        <v>53</v>
      </c>
      <c r="F56" s="8" t="s">
        <v>53</v>
      </c>
      <c r="G56" s="8" t="s">
        <v>53</v>
      </c>
      <c r="H56" s="8" t="s">
        <v>53</v>
      </c>
      <c r="I56" s="8" t="s">
        <v>53</v>
      </c>
      <c r="J56" s="8" t="s">
        <v>53</v>
      </c>
      <c r="K56" s="4"/>
    </row>
    <row r="57" spans="1:11" ht="15.75" x14ac:dyDescent="0.25">
      <c r="A57" s="4"/>
      <c r="B57" s="4"/>
      <c r="C57" s="29"/>
      <c r="D57" s="4"/>
      <c r="E57" s="4"/>
      <c r="F57" s="4"/>
      <c r="G57" s="4"/>
      <c r="H57" s="4"/>
      <c r="I57" s="4"/>
      <c r="J57" s="4"/>
      <c r="K57" s="4"/>
    </row>
    <row r="58" spans="1:11" ht="15.7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</sheetData>
  <scenarios current="2" show="0" sqref="J19">
    <scenario name="HIS50" locked="1" count="10" user="Karen" comment="Created by Karen on 7/11/2015_x000a_Modified by Karen on 7/12/2015">
      <inputCells r="B11" val="50" numFmtId="164"/>
      <inputCells r="B13" val="10000000" numFmtId="164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HIS70" locked="1" count="10" user="Karen" comment="Created by Karen on 7/11/2015_x000a_Modified by Karen on 7/12/2015">
      <inputCells r="B11" val="70" numFmtId="164"/>
      <inputCells r="B13" val="10000000" numFmtId="164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HIS90" locked="1" count="10" user="Karen" comment="Created by Karen on 7/11/2015_x000a_Modified by Karen on 7/12/2015">
      <inputCells r="B11" val="90" numFmtId="164"/>
      <inputCells r="B13" val="10000000" numFmtId="164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HIS110" locked="1" count="10" user="Karen" comment="Created by Karen on 7/11/2015_x000a_Modified by Karen on 7/12/2015">
      <inputCells r="B11" val="110" numFmtId="164"/>
      <inputCells r="B13" val="10000000" numFmtId="164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YOURS50" locked="1" count="10" user="Karen" comment="Created by Karen on 7/11/2015_x000a_Modified by Karen on 7/12/2015">
      <inputCells r="B11" val="50" numFmtId="164"/>
      <inputCells r="B13" val="5000000" numFmtId="164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YOURS70" locked="1" count="10" user="Karen" comment="Created by Karen on 7/11/2015_x000a_Modified by Karen on 7/12/2015">
      <inputCells r="B11" val="70" numFmtId="164"/>
      <inputCells r="B13" val="5000000" numFmtId="164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YOURS90" locked="1" count="10" user="Karen" comment="Created by Karen on 7/11/2015_x000a_Modified by Karen on 7/12/2015">
      <inputCells r="B11" val="90" numFmtId="164"/>
      <inputCells r="B13" val="5000000" numFmtId="164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YOURS110" locked="1" count="10" user="Karen" comment="Created by Karen on 7/11/2015_x000a_Modified by Karen on 7/12/2015">
      <inputCells r="B11" val="110" numFmtId="164"/>
      <inputCells r="B13" val="5000000" numFmtId="164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</scenarios>
  <printOptions gridLines="1"/>
  <pageMargins left="0.2" right="0.2" top="0.75" bottom="0.75" header="0.3" footer="0.3"/>
  <pageSetup orientation="portrait" blackAndWhite="1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K17"/>
  <sheetViews>
    <sheetView showGridLines="0" tabSelected="1" workbookViewId="0">
      <selection activeCell="E21" sqref="E21"/>
    </sheetView>
  </sheetViews>
  <sheetFormatPr defaultRowHeight="15" outlineLevelRow="1" outlineLevelCol="1" x14ac:dyDescent="0.25"/>
  <cols>
    <col min="3" max="3" width="6.42578125" customWidth="1"/>
    <col min="4" max="11" width="13.140625" bestFit="1" customWidth="1" outlineLevel="1"/>
  </cols>
  <sheetData>
    <row r="1" spans="2:11" ht="15.75" thickBot="1" x14ac:dyDescent="0.3"/>
    <row r="2" spans="2:11" ht="15.75" x14ac:dyDescent="0.25">
      <c r="B2" s="35" t="s">
        <v>49</v>
      </c>
      <c r="C2" s="35"/>
      <c r="D2" s="25"/>
      <c r="E2" s="25"/>
      <c r="F2" s="25"/>
      <c r="G2" s="25"/>
      <c r="H2" s="25"/>
      <c r="I2" s="25"/>
      <c r="J2" s="25"/>
      <c r="K2" s="25"/>
    </row>
    <row r="3" spans="2:11" ht="15.75" collapsed="1" x14ac:dyDescent="0.25">
      <c r="B3" s="34"/>
      <c r="C3" s="34"/>
      <c r="D3" s="39" t="s">
        <v>41</v>
      </c>
      <c r="E3" s="39" t="s">
        <v>42</v>
      </c>
      <c r="F3" s="39" t="s">
        <v>43</v>
      </c>
      <c r="G3" s="39" t="s">
        <v>44</v>
      </c>
      <c r="H3" s="39" t="s">
        <v>45</v>
      </c>
      <c r="I3" s="39" t="s">
        <v>46</v>
      </c>
      <c r="J3" s="39" t="s">
        <v>47</v>
      </c>
      <c r="K3" s="39" t="s">
        <v>48</v>
      </c>
    </row>
    <row r="4" spans="2:11" ht="56.25" hidden="1" outlineLevel="1" x14ac:dyDescent="0.25">
      <c r="B4" s="36"/>
      <c r="C4" s="36"/>
      <c r="D4" s="27" t="s">
        <v>52</v>
      </c>
      <c r="E4" s="27" t="s">
        <v>52</v>
      </c>
      <c r="F4" s="27" t="s">
        <v>52</v>
      </c>
      <c r="G4" s="27" t="s">
        <v>52</v>
      </c>
      <c r="H4" s="27" t="s">
        <v>52</v>
      </c>
      <c r="I4" s="27" t="s">
        <v>52</v>
      </c>
      <c r="J4" s="27" t="s">
        <v>52</v>
      </c>
      <c r="K4" s="27" t="s">
        <v>52</v>
      </c>
    </row>
    <row r="5" spans="2:11" x14ac:dyDescent="0.25">
      <c r="B5" s="37" t="s">
        <v>50</v>
      </c>
      <c r="C5" s="37"/>
      <c r="D5" s="24"/>
      <c r="E5" s="24"/>
      <c r="F5" s="24"/>
      <c r="G5" s="24"/>
      <c r="H5" s="24"/>
      <c r="I5" s="24"/>
      <c r="J5" s="24"/>
      <c r="K5" s="24"/>
    </row>
    <row r="6" spans="2:11" outlineLevel="1" x14ac:dyDescent="0.25">
      <c r="B6" s="36"/>
      <c r="C6" s="36" t="s">
        <v>54</v>
      </c>
      <c r="D6" s="26">
        <v>50</v>
      </c>
      <c r="E6" s="26">
        <v>70</v>
      </c>
      <c r="F6" s="26">
        <v>90</v>
      </c>
      <c r="G6" s="26">
        <v>110</v>
      </c>
      <c r="H6" s="26">
        <v>50</v>
      </c>
      <c r="I6" s="26">
        <v>70</v>
      </c>
      <c r="J6" s="26">
        <v>90</v>
      </c>
      <c r="K6" s="26">
        <v>110</v>
      </c>
    </row>
    <row r="7" spans="2:11" outlineLevel="1" x14ac:dyDescent="0.25">
      <c r="B7" s="36"/>
      <c r="C7" s="36" t="s">
        <v>56</v>
      </c>
      <c r="D7" s="26">
        <v>10000000</v>
      </c>
      <c r="E7" s="26">
        <v>10000000</v>
      </c>
      <c r="F7" s="26">
        <v>10000000</v>
      </c>
      <c r="G7" s="26">
        <v>10000000</v>
      </c>
      <c r="H7" s="26">
        <v>5000000</v>
      </c>
      <c r="I7" s="26">
        <v>5000000</v>
      </c>
      <c r="J7" s="26">
        <v>5000000</v>
      </c>
      <c r="K7" s="26">
        <v>5000000</v>
      </c>
    </row>
    <row r="8" spans="2:11" outlineLevel="1" x14ac:dyDescent="0.25">
      <c r="B8" s="36"/>
      <c r="C8" s="36" t="s">
        <v>57</v>
      </c>
      <c r="D8" s="30">
        <v>0.04</v>
      </c>
      <c r="E8" s="30">
        <v>0.04</v>
      </c>
      <c r="F8" s="30">
        <v>0.04</v>
      </c>
      <c r="G8" s="30">
        <v>0.04</v>
      </c>
      <c r="H8" s="30">
        <v>0.04</v>
      </c>
      <c r="I8" s="30">
        <v>0.04</v>
      </c>
      <c r="J8" s="30">
        <v>0.04</v>
      </c>
      <c r="K8" s="30">
        <v>0.04</v>
      </c>
    </row>
    <row r="9" spans="2:11" outlineLevel="1" x14ac:dyDescent="0.25">
      <c r="B9" s="36"/>
      <c r="C9" s="36" t="s">
        <v>58</v>
      </c>
      <c r="D9" s="30">
        <v>0.04</v>
      </c>
      <c r="E9" s="30">
        <v>0.04</v>
      </c>
      <c r="F9" s="30">
        <v>0.04</v>
      </c>
      <c r="G9" s="30">
        <v>0.04</v>
      </c>
      <c r="H9" s="30">
        <v>0.04</v>
      </c>
      <c r="I9" s="30">
        <v>0.04</v>
      </c>
      <c r="J9" s="30">
        <v>0.04</v>
      </c>
      <c r="K9" s="30">
        <v>0.04</v>
      </c>
    </row>
    <row r="10" spans="2:11" outlineLevel="1" x14ac:dyDescent="0.25">
      <c r="B10" s="36"/>
      <c r="C10" s="36" t="s">
        <v>59</v>
      </c>
      <c r="D10" s="30">
        <v>0.04</v>
      </c>
      <c r="E10" s="30">
        <v>0.04</v>
      </c>
      <c r="F10" s="30">
        <v>0.04</v>
      </c>
      <c r="G10" s="30">
        <v>0.04</v>
      </c>
      <c r="H10" s="30">
        <v>0.04</v>
      </c>
      <c r="I10" s="30">
        <v>0.04</v>
      </c>
      <c r="J10" s="30">
        <v>0.04</v>
      </c>
      <c r="K10" s="30">
        <v>0.04</v>
      </c>
    </row>
    <row r="11" spans="2:11" outlineLevel="1" x14ac:dyDescent="0.25">
      <c r="B11" s="36"/>
      <c r="C11" s="36" t="s">
        <v>60</v>
      </c>
      <c r="D11" s="30">
        <v>0.04</v>
      </c>
      <c r="E11" s="30">
        <v>0.04</v>
      </c>
      <c r="F11" s="30">
        <v>0.04</v>
      </c>
      <c r="G11" s="30">
        <v>0.04</v>
      </c>
      <c r="H11" s="30">
        <v>0.04</v>
      </c>
      <c r="I11" s="30">
        <v>0.04</v>
      </c>
      <c r="J11" s="30">
        <v>0.04</v>
      </c>
      <c r="K11" s="30">
        <v>0.04</v>
      </c>
    </row>
    <row r="12" spans="2:11" outlineLevel="1" x14ac:dyDescent="0.25">
      <c r="B12" s="36"/>
      <c r="C12" s="36" t="s">
        <v>61</v>
      </c>
      <c r="D12" s="30">
        <v>0.04</v>
      </c>
      <c r="E12" s="30">
        <v>0.04</v>
      </c>
      <c r="F12" s="30">
        <v>0.04</v>
      </c>
      <c r="G12" s="30">
        <v>0.04</v>
      </c>
      <c r="H12" s="30">
        <v>0.04</v>
      </c>
      <c r="I12" s="30">
        <v>0.04</v>
      </c>
      <c r="J12" s="30">
        <v>0.04</v>
      </c>
      <c r="K12" s="30">
        <v>0.04</v>
      </c>
    </row>
    <row r="13" spans="2:11" outlineLevel="1" x14ac:dyDescent="0.25">
      <c r="B13" s="36"/>
      <c r="C13" s="36" t="s">
        <v>62</v>
      </c>
      <c r="D13" s="30">
        <v>0.04</v>
      </c>
      <c r="E13" s="30">
        <v>0.04</v>
      </c>
      <c r="F13" s="30">
        <v>0.04</v>
      </c>
      <c r="G13" s="30">
        <v>0.04</v>
      </c>
      <c r="H13" s="30">
        <v>0.04</v>
      </c>
      <c r="I13" s="30">
        <v>0.04</v>
      </c>
      <c r="J13" s="30">
        <v>0.04</v>
      </c>
      <c r="K13" s="30">
        <v>0.04</v>
      </c>
    </row>
    <row r="14" spans="2:11" outlineLevel="1" x14ac:dyDescent="0.25">
      <c r="B14" s="36"/>
      <c r="C14" s="36" t="s">
        <v>63</v>
      </c>
      <c r="D14" s="30">
        <v>0.04</v>
      </c>
      <c r="E14" s="30">
        <v>0.04</v>
      </c>
      <c r="F14" s="30">
        <v>0.04</v>
      </c>
      <c r="G14" s="30">
        <v>0.04</v>
      </c>
      <c r="H14" s="30">
        <v>0.04</v>
      </c>
      <c r="I14" s="30">
        <v>0.04</v>
      </c>
      <c r="J14" s="30">
        <v>0.04</v>
      </c>
      <c r="K14" s="30">
        <v>0.04</v>
      </c>
    </row>
    <row r="15" spans="2:11" outlineLevel="1" x14ac:dyDescent="0.25">
      <c r="B15" s="36"/>
      <c r="C15" s="36" t="s">
        <v>64</v>
      </c>
      <c r="D15" s="30">
        <v>0.04</v>
      </c>
      <c r="E15" s="30">
        <v>0.04</v>
      </c>
      <c r="F15" s="30">
        <v>0.04</v>
      </c>
      <c r="G15" s="30">
        <v>0.04</v>
      </c>
      <c r="H15" s="30">
        <v>0.04</v>
      </c>
      <c r="I15" s="30">
        <v>0.04</v>
      </c>
      <c r="J15" s="30">
        <v>0.04</v>
      </c>
      <c r="K15" s="30">
        <v>0.04</v>
      </c>
    </row>
    <row r="16" spans="2:11" x14ac:dyDescent="0.25">
      <c r="B16" s="37" t="s">
        <v>65</v>
      </c>
      <c r="C16" s="37"/>
      <c r="D16" s="24"/>
      <c r="E16" s="24"/>
      <c r="F16" s="24"/>
      <c r="G16" s="24"/>
      <c r="H16" s="24"/>
      <c r="I16" s="24"/>
      <c r="J16" s="24"/>
      <c r="K16" s="24"/>
    </row>
    <row r="17" spans="2:11" ht="15.75" outlineLevel="1" thickBot="1" x14ac:dyDescent="0.3">
      <c r="B17" s="38"/>
      <c r="C17" s="38" t="s">
        <v>55</v>
      </c>
      <c r="D17" s="40">
        <v>-7029207.2542763799</v>
      </c>
      <c r="E17" s="40">
        <v>-4674570.3979140501</v>
      </c>
      <c r="F17" s="40">
        <v>-2356261.8525868999</v>
      </c>
      <c r="G17" s="40">
        <v>-52748.580504452599</v>
      </c>
      <c r="H17" s="40">
        <v>-2681381.1673198598</v>
      </c>
      <c r="I17" s="40">
        <v>-326744.310957529</v>
      </c>
      <c r="J17" s="40">
        <v>1991564.23436962</v>
      </c>
      <c r="K17" s="40">
        <v>4295077.5064520696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Analysis</vt:lpstr>
      <vt:lpstr>Scenario Summary</vt:lpstr>
      <vt:lpstr>Analysis!Print_Area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Turner Barnett</cp:lastModifiedBy>
  <cp:lastPrinted>2016-10-24T21:33:00Z</cp:lastPrinted>
  <dcterms:created xsi:type="dcterms:W3CDTF">2015-07-11T15:16:45Z</dcterms:created>
  <dcterms:modified xsi:type="dcterms:W3CDTF">2016-11-04T00:45:08Z</dcterms:modified>
</cp:coreProperties>
</file>