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880" windowWidth="25200" xWindow="0" yWindow="0"/>
  </bookViews>
  <sheets>
    <sheet name="S" sheetId="1" state="visible" r:id="rId1"/>
    <sheet name="Субпотребители" sheetId="2" state="visible" r:id="rId2"/>
    <sheet name="Потребление МПСС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8">
    <numFmt formatCode="0.00000" numFmtId="164"/>
    <numFmt formatCode="0.0000%" numFmtId="165"/>
    <numFmt formatCode="0.000" numFmtId="166"/>
    <numFmt formatCode="000000.00" numFmtId="167"/>
    <numFmt formatCode="0.0000" numFmtId="168"/>
    <numFmt formatCode="000000" numFmtId="169"/>
    <numFmt formatCode="0.0" numFmtId="170"/>
    <numFmt formatCode="0.000000" numFmtId="171"/>
  </numFmts>
  <fonts count="40">
    <font>
      <name val="Arial"/>
      <charset val="204"/>
      <family val="2"/>
      <sz val="10"/>
    </font>
    <font>
      <name val="Arial"/>
      <charset val="204"/>
      <family val="2"/>
      <b val="1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i val="1"/>
      <sz val="10"/>
    </font>
    <font>
      <name val="Arial"/>
      <charset val="204"/>
      <family val="2"/>
      <sz val="11"/>
    </font>
    <font>
      <name val="Arial"/>
      <charset val="204"/>
      <family val="2"/>
      <b val="1"/>
      <sz val="11"/>
    </font>
    <font>
      <name val="Arial"/>
      <charset val="204"/>
      <family val="2"/>
      <sz val="7"/>
    </font>
    <font>
      <name val="Arial"/>
      <charset val="204"/>
      <family val="2"/>
      <b val="1"/>
      <sz val="8"/>
    </font>
    <font>
      <name val="Arial"/>
      <charset val="204"/>
      <family val="2"/>
      <sz val="9"/>
    </font>
    <font>
      <name val="Arial"/>
      <charset val="204"/>
      <family val="2"/>
      <color indexed="8"/>
      <sz val="8"/>
    </font>
    <font>
      <name val="Arial"/>
      <charset val="204"/>
      <family val="2"/>
      <color indexed="37"/>
      <sz val="8"/>
    </font>
    <font>
      <name val="Arial"/>
      <charset val="204"/>
      <family val="2"/>
      <color indexed="10"/>
      <sz val="8"/>
    </font>
    <font>
      <name val="Arial"/>
      <charset val="204"/>
      <family val="2"/>
      <b val="1"/>
      <i val="1"/>
      <color indexed="8"/>
      <sz val="8"/>
    </font>
    <font>
      <name val="Arial"/>
      <charset val="204"/>
      <family val="2"/>
      <color indexed="8"/>
      <sz val="9"/>
    </font>
    <font>
      <name val="Arial"/>
      <charset val="204"/>
      <family val="2"/>
      <b val="1"/>
      <i val="1"/>
      <color indexed="10"/>
      <sz val="8"/>
    </font>
    <font>
      <name val="Arial"/>
      <charset val="204"/>
      <family val="2"/>
      <b val="1"/>
      <sz val="7"/>
    </font>
    <font>
      <name val="Arial"/>
      <charset val="204"/>
      <family val="2"/>
      <b val="1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10"/>
      <sz val="12"/>
    </font>
    <font>
      <name val="Arial"/>
      <charset val="204"/>
      <family val="2"/>
      <color indexed="9"/>
      <sz val="10"/>
    </font>
    <font>
      <name val="Arial"/>
      <charset val="204"/>
      <family val="2"/>
      <b val="1"/>
      <color indexed="10"/>
      <sz val="12"/>
    </font>
    <font>
      <name val="Times New Roman"/>
      <charset val="204"/>
      <family val="1"/>
      <sz val="9.5"/>
    </font>
    <font>
      <name val="Arial"/>
      <charset val="204"/>
      <family val="2"/>
      <sz val="9.5"/>
    </font>
    <font>
      <name val="Courier New"/>
      <charset val="204"/>
      <family val="3"/>
      <color indexed="8"/>
      <sz val="9"/>
    </font>
    <font>
      <name val="Arial"/>
      <charset val="204"/>
      <family val="2"/>
      <sz val="12"/>
    </font>
    <font>
      <name val="Arial"/>
      <charset val="204"/>
      <family val="2"/>
      <color indexed="25"/>
      <sz val="12"/>
    </font>
    <font>
      <name val="Arial"/>
      <charset val="204"/>
      <family val="2"/>
      <b val="1"/>
      <color indexed="10"/>
      <sz val="8"/>
    </font>
    <font>
      <name val="Arial"/>
      <charset val="204"/>
      <family val="2"/>
      <b val="1"/>
      <i val="1"/>
      <color indexed="10"/>
      <sz val="12"/>
    </font>
    <font>
      <name val="Arial"/>
      <charset val="204"/>
      <family val="2"/>
      <b val="1"/>
      <i val="1"/>
      <sz val="12"/>
    </font>
    <font>
      <name val="Arial"/>
      <charset val="204"/>
      <family val="2"/>
      <i val="1"/>
      <color indexed="8"/>
      <sz val="9"/>
    </font>
    <font>
      <name val="Arial"/>
      <charset val="204"/>
      <family val="2"/>
      <color indexed="10"/>
      <sz val="10"/>
    </font>
    <font>
      <name val="Arial"/>
      <charset val="204"/>
      <family val="2"/>
      <b val="1"/>
      <sz val="12"/>
    </font>
    <font>
      <name val="Arial"/>
      <charset val="204"/>
      <family val="2"/>
      <color indexed="25"/>
      <sz val="10"/>
    </font>
    <font>
      <name val="Arial"/>
      <charset val="204"/>
      <family val="2"/>
      <color indexed="53"/>
      <sz val="10"/>
    </font>
    <font>
      <name val="Arial"/>
      <charset val="204"/>
      <family val="2"/>
      <color indexed="60"/>
      <sz val="15"/>
    </font>
    <font>
      <name val="Arial"/>
      <charset val="204"/>
      <family val="2"/>
      <i val="1"/>
      <sz val="10"/>
    </font>
    <font>
      <name val="Arial"/>
      <charset val="204"/>
      <family val="2"/>
      <i val="1"/>
      <sz val="8"/>
    </font>
    <font>
      <name val="Arial"/>
      <charset val="204"/>
      <family val="2"/>
      <color indexed="8"/>
      <sz val="7"/>
    </font>
    <font>
      <name val="Arial"/>
      <charset val="204"/>
      <family val="2"/>
      <b val="1"/>
      <color indexed="8"/>
      <sz val="10"/>
    </font>
    <font>
      <name val="Arial"/>
      <charset val="204"/>
      <family val="2"/>
      <sz val="10"/>
    </font>
  </fonts>
  <fills count="21">
    <fill>
      <patternFill/>
    </fill>
    <fill>
      <patternFill patternType="gray125"/>
    </fill>
    <fill>
      <patternFill patternType="solid">
        <fgColor indexed="53"/>
        <bgColor indexed="25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45"/>
        <bgColor indexed="46"/>
      </patternFill>
    </fill>
    <fill>
      <patternFill patternType="solid">
        <fgColor indexed="49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13"/>
      </patternFill>
    </fill>
    <fill>
      <patternFill patternType="solid">
        <fgColor indexed="41"/>
        <bgColor indexed="27"/>
      </patternFill>
    </fill>
    <fill>
      <patternFill patternType="solid">
        <fgColor indexed="11"/>
        <bgColor indexed="4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60"/>
      </patternFill>
    </fill>
    <fill>
      <patternFill patternType="solid">
        <fgColor indexed="15"/>
        <bgColor indexed="35"/>
      </patternFill>
    </fill>
    <fill>
      <patternFill patternType="solid">
        <fgColor indexed="48"/>
        <bgColor indexed="54"/>
      </patternFill>
    </fill>
    <fill>
      <patternFill patternType="solid">
        <fgColor indexed="44"/>
        <bgColor indexed="24"/>
      </patternFill>
    </fill>
    <fill>
      <patternFill patternType="solid">
        <fgColor rgb="FFFFCCFF"/>
        <bgColor indexed="46"/>
      </patternFill>
    </fill>
    <fill>
      <patternFill patternType="solid">
        <fgColor rgb="FFFFCCFF"/>
        <bgColor indexed="45"/>
      </patternFill>
    </fill>
    <fill>
      <patternFill patternType="solid">
        <fgColor theme="0" tint="-0.1499984740745262"/>
        <bgColor indexed="3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2">
    <xf borderId="0" fillId="0" fontId="39" numFmtId="0"/>
    <xf borderId="0" fillId="0" fontId="39" numFmtId="0"/>
  </cellStyleXfs>
  <cellXfs count="554">
    <xf borderId="0" fillId="0" fontId="0" numFmtId="0" pivotButton="0" quotePrefix="0" xfId="0"/>
    <xf borderId="0" fillId="0" fontId="39" numFmtId="0" pivotButton="0" quotePrefix="0" xfId="1"/>
    <xf applyAlignment="1" borderId="0" fillId="0" fontId="2" numFmtId="1" pivotButton="0" quotePrefix="0" xfId="1">
      <alignment horizontal="center" vertical="center" wrapText="1"/>
    </xf>
    <xf applyAlignment="1" borderId="0" fillId="0" fontId="2" numFmtId="0" pivotButton="0" quotePrefix="0" xfId="1">
      <alignment horizontal="left"/>
    </xf>
    <xf applyAlignment="1" borderId="0" fillId="0" fontId="3" numFmtId="0" pivotButton="0" quotePrefix="0" xfId="1">
      <alignment horizontal="center"/>
    </xf>
    <xf borderId="0" fillId="0" fontId="2" numFmtId="0" pivotButton="0" quotePrefix="0" xfId="1"/>
    <xf applyAlignment="1" borderId="0" fillId="0" fontId="4" numFmtId="164" pivotButton="0" quotePrefix="0" xfId="1">
      <alignment horizontal="left"/>
    </xf>
    <xf applyAlignment="1" borderId="0" fillId="0" fontId="2" numFmtId="2" pivotButton="0" quotePrefix="0" xfId="1">
      <alignment horizontal="left"/>
    </xf>
    <xf applyAlignment="1" borderId="0" fillId="0" fontId="5" numFmtId="2" pivotButton="0" quotePrefix="0" xfId="1">
      <alignment horizontal="left"/>
    </xf>
    <xf applyAlignment="1" borderId="0" fillId="0" fontId="5" numFmtId="2" pivotButton="0" quotePrefix="0" xfId="0">
      <alignment horizontal="left"/>
    </xf>
    <xf borderId="0" fillId="0" fontId="39" numFmtId="0" pivotButton="0" quotePrefix="0" xfId="1"/>
    <xf borderId="0" fillId="0" fontId="2" numFmtId="165" pivotButton="0" quotePrefix="0" xfId="1"/>
    <xf borderId="0" fillId="0" fontId="2" numFmtId="0" pivotButton="0" quotePrefix="0" xfId="1"/>
    <xf borderId="0" fillId="0" fontId="39" numFmtId="166" pivotButton="0" quotePrefix="0" xfId="1"/>
    <xf borderId="0" fillId="0" fontId="0" numFmtId="0" pivotButton="0" quotePrefix="0" xfId="1"/>
    <xf applyAlignment="1" borderId="1" fillId="0" fontId="2" numFmtId="0" pivotButton="0" quotePrefix="0" xfId="1">
      <alignment horizontal="center" vertical="center" wrapText="1"/>
    </xf>
    <xf applyAlignment="1" borderId="1" fillId="0" fontId="2" numFmtId="0" pivotButton="0" quotePrefix="0" xfId="1">
      <alignment horizontal="center" textRotation="90" vertical="center" wrapText="1"/>
    </xf>
    <xf applyAlignment="1" borderId="1" fillId="0" fontId="2" numFmtId="0" pivotButton="0" quotePrefix="0" xfId="1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1" fillId="0" fontId="2" numFmtId="0" pivotButton="0" quotePrefix="0" xfId="1">
      <alignment horizontal="center" textRotation="90" vertical="center" wrapText="1"/>
    </xf>
    <xf applyAlignment="1" borderId="2" fillId="0" fontId="2" numFmtId="0" pivotButton="0" quotePrefix="0" xfId="1">
      <alignment horizontal="center" textRotation="90" vertical="center" wrapText="1"/>
    </xf>
    <xf applyAlignment="1" borderId="3" fillId="0" fontId="2" numFmtId="0" pivotButton="0" quotePrefix="0" xfId="1">
      <alignment horizontal="center" textRotation="90" vertical="center" wrapText="1"/>
    </xf>
    <xf applyAlignment="1" borderId="4" fillId="0" fontId="2" numFmtId="0" pivotButton="0" quotePrefix="0" xfId="1">
      <alignment horizontal="center" textRotation="90" vertical="center" wrapText="1"/>
    </xf>
    <xf applyAlignment="1" borderId="2" fillId="0" fontId="2" numFmtId="0" pivotButton="0" quotePrefix="0" xfId="1">
      <alignment horizontal="center" textRotation="90" vertical="center" wrapText="1"/>
    </xf>
    <xf applyAlignment="1" borderId="0" fillId="0" fontId="0" numFmtId="0" pivotButton="0" quotePrefix="0" xfId="1">
      <alignment horizontal="right"/>
    </xf>
    <xf applyAlignment="1" borderId="5" fillId="0" fontId="2" numFmtId="0" pivotButton="0" quotePrefix="0" xfId="1">
      <alignment horizontal="center" textRotation="90" vertical="center" wrapText="1"/>
    </xf>
    <xf applyAlignment="1" borderId="5" fillId="0" fontId="2" numFmtId="0" pivotButton="0" quotePrefix="0" xfId="1">
      <alignment horizontal="center" textRotation="90" vertical="center" wrapText="1"/>
    </xf>
    <xf applyAlignment="1" borderId="6" fillId="0" fontId="2" numFmtId="0" pivotButton="0" quotePrefix="0" xfId="1">
      <alignment horizontal="center" textRotation="90" vertical="center" wrapText="1"/>
    </xf>
    <xf applyAlignment="1" borderId="7" fillId="0" fontId="2" numFmtId="0" pivotButton="0" quotePrefix="0" xfId="1">
      <alignment horizontal="center" textRotation="90" vertical="center" wrapText="1"/>
    </xf>
    <xf borderId="0" fillId="0" fontId="0" numFmtId="0" pivotButton="0" quotePrefix="0" xfId="1"/>
    <xf applyAlignment="1" borderId="5" fillId="0" fontId="2" numFmtId="0" pivotButton="0" quotePrefix="0" xfId="1">
      <alignment horizontal="center" vertical="center" wrapText="1"/>
    </xf>
    <xf borderId="0" fillId="0" fontId="2" numFmtId="1" pivotButton="0" quotePrefix="0" xfId="1"/>
    <xf applyAlignment="1" borderId="1" fillId="0" fontId="2" numFmtId="0" pivotButton="0" quotePrefix="0" xfId="1">
      <alignment horizontal="center"/>
    </xf>
    <xf applyAlignment="1" borderId="0" fillId="0" fontId="2" numFmtId="1" pivotButton="0" quotePrefix="0" xfId="1">
      <alignment horizontal="center"/>
    </xf>
    <xf applyAlignment="1" borderId="8" fillId="0" fontId="2" numFmtId="0" pivotButton="0" quotePrefix="0" xfId="1">
      <alignment horizontal="center" vertical="center" wrapText="1"/>
    </xf>
    <xf applyAlignment="1" borderId="8" fillId="0" fontId="2" numFmtId="0" pivotButton="0" quotePrefix="0" xfId="1">
      <alignment horizontal="center" textRotation="90" vertical="center" wrapText="1"/>
    </xf>
    <xf applyAlignment="1" borderId="9" fillId="0" fontId="2" numFmtId="0" pivotButton="0" quotePrefix="0" xfId="1">
      <alignment horizontal="center" textRotation="90" vertical="center" wrapText="1"/>
    </xf>
    <xf applyAlignment="1" borderId="10" fillId="0" fontId="2" numFmtId="0" pivotButton="0" quotePrefix="0" xfId="1">
      <alignment horizontal="center" textRotation="90" vertical="center" wrapText="1"/>
    </xf>
    <xf applyAlignment="1" borderId="8" fillId="0" fontId="2" numFmtId="0" pivotButton="0" quotePrefix="0" xfId="1">
      <alignment horizontal="center" textRotation="90" vertical="center" wrapText="1"/>
    </xf>
    <xf borderId="0" fillId="0" fontId="2" numFmtId="164" pivotButton="0" quotePrefix="0" xfId="1"/>
    <xf applyAlignment="1" borderId="1" fillId="0" fontId="2" numFmtId="0" pivotButton="0" quotePrefix="0" xfId="0">
      <alignment horizontal="center"/>
    </xf>
    <xf applyAlignment="1" borderId="2" fillId="0" fontId="2" numFmtId="0" pivotButton="0" quotePrefix="0" xfId="1">
      <alignment horizontal="center"/>
    </xf>
    <xf applyAlignment="1" borderId="2" fillId="0" fontId="2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borderId="0" fillId="2" fontId="2" numFmtId="2" pivotButton="0" quotePrefix="0" xfId="1"/>
    <xf applyAlignment="1" borderId="1" fillId="0" fontId="7" numFmtId="0" pivotButton="0" quotePrefix="0" xfId="1">
      <alignment horizontal="center"/>
    </xf>
    <xf borderId="1" fillId="3" fontId="7" numFmtId="0" pivotButton="0" quotePrefix="0" xfId="1"/>
    <xf applyAlignment="1" borderId="1" fillId="0" fontId="8" numFmtId="166" pivotButton="0" quotePrefix="0" xfId="1">
      <alignment horizontal="right"/>
    </xf>
    <xf borderId="1" fillId="0" fontId="2" numFmtId="166" pivotButton="0" quotePrefix="0" xfId="1"/>
    <xf applyAlignment="1" borderId="11" fillId="0" fontId="6" numFmtId="0" pivotButton="0" quotePrefix="0" xfId="1">
      <alignment horizontal="center"/>
    </xf>
    <xf borderId="1" fillId="0" fontId="2" numFmtId="1" pivotButton="0" quotePrefix="0" xfId="0"/>
    <xf borderId="1" fillId="0" fontId="2" numFmtId="0" pivotButton="0" quotePrefix="0" xfId="1"/>
    <xf applyAlignment="1" borderId="1" fillId="0" fontId="9" numFmtId="1" pivotButton="0" quotePrefix="0" xfId="1">
      <alignment horizontal="right" vertical="center"/>
    </xf>
    <xf applyAlignment="1" borderId="1" fillId="0" fontId="2" numFmtId="1" pivotButton="0" quotePrefix="0" xfId="1">
      <alignment horizontal="right" vertical="center"/>
    </xf>
    <xf borderId="12" fillId="3" fontId="8" numFmtId="1" pivotButton="0" quotePrefix="0" xfId="1"/>
    <xf borderId="12" fillId="3" fontId="6" numFmtId="1" pivotButton="0" quotePrefix="0" xfId="1"/>
    <xf borderId="1" fillId="0" fontId="6" numFmtId="1" pivotButton="0" quotePrefix="0" xfId="1"/>
    <xf borderId="0" fillId="0" fontId="2" numFmtId="166" pivotButton="0" quotePrefix="0" xfId="1"/>
    <xf borderId="1" fillId="4" fontId="7" numFmtId="0" pivotButton="0" quotePrefix="0" xfId="1"/>
    <xf applyAlignment="1" borderId="1" fillId="0" fontId="9" numFmtId="1" pivotButton="0" quotePrefix="0" xfId="1">
      <alignment horizontal="right"/>
    </xf>
    <xf applyAlignment="1" borderId="1" fillId="0" fontId="2" numFmtId="1" pivotButton="0" quotePrefix="0" xfId="1">
      <alignment horizontal="right"/>
    </xf>
    <xf borderId="0" fillId="0" fontId="0" numFmtId="1" pivotButton="0" quotePrefix="0" xfId="1"/>
    <xf borderId="1" fillId="0" fontId="7" numFmtId="0" pivotButton="0" quotePrefix="0" xfId="1"/>
    <xf applyAlignment="1" borderId="1" fillId="0" fontId="10" numFmtId="1" pivotButton="0" quotePrefix="0" xfId="1">
      <alignment horizontal="right"/>
    </xf>
    <xf borderId="0" fillId="0" fontId="11" numFmtId="0" pivotButton="0" quotePrefix="0" xfId="1"/>
    <xf borderId="0" fillId="0" fontId="2" numFmtId="0" pivotButton="0" quotePrefix="0" xfId="1"/>
    <xf borderId="1" fillId="0" fontId="10" numFmtId="0" pivotButton="0" quotePrefix="0" xfId="1"/>
    <xf borderId="0" fillId="0" fontId="3" numFmtId="1" pivotButton="0" quotePrefix="0" xfId="1"/>
    <xf applyAlignment="1" borderId="1" fillId="0" fontId="12" numFmtId="0" pivotButton="0" quotePrefix="0" xfId="1">
      <alignment horizontal="center" vertical="center"/>
    </xf>
    <xf borderId="1" fillId="0" fontId="6" numFmtId="0" pivotButton="0" quotePrefix="0" xfId="1"/>
    <xf borderId="8" fillId="0" fontId="6" numFmtId="1" pivotButton="0" quotePrefix="0" xfId="1"/>
    <xf borderId="8" fillId="0" fontId="6" numFmtId="0" pivotButton="0" quotePrefix="0" xfId="1"/>
    <xf borderId="8" fillId="0" fontId="9" numFmtId="1" pivotButton="0" quotePrefix="0" xfId="1"/>
    <xf borderId="8" fillId="0" fontId="2" numFmtId="1" pivotButton="0" quotePrefix="0" xfId="1"/>
    <xf borderId="1" fillId="5" fontId="8" numFmtId="0" pivotButton="0" quotePrefix="0" xfId="1"/>
    <xf borderId="1" fillId="5" fontId="6" numFmtId="0" pivotButton="0" quotePrefix="0" xfId="1"/>
    <xf applyAlignment="1" borderId="1" fillId="3" fontId="7" numFmtId="0" pivotButton="0" quotePrefix="0" xfId="1">
      <alignment vertical="center"/>
    </xf>
    <xf applyAlignment="1" borderId="0" fillId="3" fontId="7" numFmtId="0" pivotButton="0" quotePrefix="0" xfId="1">
      <alignment vertical="center"/>
    </xf>
    <xf applyAlignment="1" borderId="13" fillId="0" fontId="13" numFmtId="0" pivotButton="0" quotePrefix="0" xfId="1">
      <alignment horizontal="right"/>
    </xf>
    <xf applyAlignment="1" borderId="1" fillId="0" fontId="2" numFmtId="166" pivotButton="0" quotePrefix="0" xfId="1">
      <alignment horizontal="right"/>
    </xf>
    <xf borderId="11" fillId="0" fontId="6" numFmtId="1" pivotButton="0" quotePrefix="0" xfId="1"/>
    <xf borderId="1" fillId="0" fontId="9" numFmtId="1" pivotButton="0" quotePrefix="0" xfId="1"/>
    <xf borderId="1" fillId="5" fontId="2" numFmtId="0" pivotButton="0" quotePrefix="0" xfId="1"/>
    <xf applyAlignment="1" borderId="1" fillId="0" fontId="14" numFmtId="2" pivotButton="0" quotePrefix="0" xfId="1">
      <alignment horizontal="right"/>
    </xf>
    <xf borderId="0" fillId="0" fontId="11" numFmtId="1" pivotButton="0" quotePrefix="0" xfId="1"/>
    <xf borderId="0" fillId="0" fontId="2" numFmtId="1" pivotButton="0" quotePrefix="0" xfId="1"/>
    <xf applyAlignment="1" borderId="1" fillId="0" fontId="13" numFmtId="0" pivotButton="0" quotePrefix="0" xfId="1">
      <alignment horizontal="right"/>
    </xf>
    <xf applyAlignment="1" borderId="12" fillId="0" fontId="2" numFmtId="166" pivotButton="0" quotePrefix="0" xfId="1">
      <alignment horizontal="right"/>
    </xf>
    <xf borderId="0" fillId="0" fontId="3" numFmtId="2" pivotButton="0" quotePrefix="0" xfId="1"/>
    <xf applyAlignment="1" borderId="1" fillId="0" fontId="2" numFmtId="0" pivotButton="0" quotePrefix="0" xfId="1">
      <alignment horizontal="center"/>
    </xf>
    <xf borderId="11" fillId="4" fontId="7" numFmtId="0" pivotButton="0" quotePrefix="0" xfId="1"/>
    <xf applyAlignment="1" borderId="1" fillId="0" fontId="13" numFmtId="0" pivotButton="0" quotePrefix="0" xfId="1">
      <alignment horizontal="right"/>
    </xf>
    <xf applyAlignment="1" borderId="12" fillId="0" fontId="2" numFmtId="166" pivotButton="0" quotePrefix="0" xfId="1">
      <alignment horizontal="right"/>
    </xf>
    <xf applyAlignment="1" borderId="1" fillId="0" fontId="6" numFmtId="0" pivotButton="0" quotePrefix="0" xfId="1">
      <alignment horizontal="center"/>
    </xf>
    <xf borderId="1" fillId="0" fontId="9" numFmtId="1" pivotButton="0" quotePrefix="0" xfId="1"/>
    <xf applyAlignment="1" borderId="0" fillId="0" fontId="7" numFmtId="0" pivotButton="0" quotePrefix="0" xfId="1">
      <alignment horizontal="center"/>
    </xf>
    <xf borderId="11" fillId="3" fontId="7" numFmtId="0" pivotButton="0" quotePrefix="0" xfId="1"/>
    <xf applyAlignment="1" borderId="0" fillId="0" fontId="2" numFmtId="166" pivotButton="0" quotePrefix="0" xfId="1">
      <alignment horizontal="right"/>
    </xf>
    <xf applyAlignment="1" borderId="12" fillId="0" fontId="2" numFmtId="166" pivotButton="0" quotePrefix="0" xfId="0">
      <alignment horizontal="right"/>
    </xf>
    <xf borderId="8" fillId="4" fontId="7" numFmtId="0" pivotButton="0" quotePrefix="0" xfId="1"/>
    <xf applyAlignment="1" borderId="8" fillId="0" fontId="8" numFmtId="0" pivotButton="0" quotePrefix="0" xfId="1">
      <alignment horizontal="right"/>
    </xf>
    <xf borderId="1" fillId="0" fontId="2" numFmtId="166" pivotButton="0" quotePrefix="0" xfId="0"/>
    <xf applyAlignment="1" borderId="1" fillId="0" fontId="8" numFmtId="0" pivotButton="0" quotePrefix="0" xfId="1">
      <alignment horizontal="right"/>
    </xf>
    <xf applyAlignment="1" borderId="1" fillId="0" fontId="8" numFmtId="167" pivotButton="0" quotePrefix="0" xfId="1">
      <alignment horizontal="right"/>
    </xf>
    <xf applyAlignment="1" borderId="0" fillId="0" fontId="6" numFmtId="166" pivotButton="0" quotePrefix="0" xfId="1">
      <alignment horizontal="center"/>
    </xf>
    <xf borderId="9" fillId="0" fontId="6" numFmtId="1" pivotButton="0" quotePrefix="0" xfId="1"/>
    <xf applyAlignment="1" borderId="1" fillId="6" fontId="2" numFmtId="0" pivotButton="0" quotePrefix="0" xfId="1">
      <alignment horizontal="center"/>
    </xf>
    <xf applyAlignment="1" borderId="1" fillId="6" fontId="7" numFmtId="0" pivotButton="0" quotePrefix="0" xfId="1">
      <alignment horizontal="center"/>
    </xf>
    <xf borderId="1" fillId="6" fontId="7" numFmtId="0" pivotButton="0" quotePrefix="0" xfId="1"/>
    <xf applyAlignment="1" borderId="1" fillId="6" fontId="6" numFmtId="167" pivotButton="0" quotePrefix="0" xfId="1">
      <alignment horizontal="right"/>
    </xf>
    <xf applyAlignment="1" borderId="0" fillId="6" fontId="6" numFmtId="2" pivotButton="0" quotePrefix="0" xfId="1">
      <alignment horizontal="center"/>
    </xf>
    <xf applyAlignment="1" borderId="1" fillId="6" fontId="6" numFmtId="0" pivotButton="0" quotePrefix="0" xfId="1">
      <alignment horizontal="center"/>
    </xf>
    <xf borderId="12" fillId="6" fontId="6" numFmtId="1" pivotButton="0" quotePrefix="0" xfId="1"/>
    <xf borderId="10" fillId="6" fontId="6" numFmtId="1" pivotButton="0" quotePrefix="0" xfId="1"/>
    <xf borderId="8" fillId="6" fontId="2" numFmtId="1" pivotButton="0" quotePrefix="0" xfId="1"/>
    <xf borderId="1" fillId="6" fontId="2" numFmtId="1" pivotButton="0" quotePrefix="0" xfId="1"/>
    <xf borderId="1" fillId="6" fontId="2" numFmtId="0" pivotButton="0" quotePrefix="0" xfId="1"/>
    <xf borderId="1" fillId="7" fontId="15" numFmtId="1" pivotButton="0" quotePrefix="0" xfId="1"/>
    <xf applyAlignment="1" borderId="1" fillId="6" fontId="14" numFmtId="2" pivotButton="0" quotePrefix="0" xfId="1">
      <alignment horizontal="right"/>
    </xf>
    <xf borderId="1" fillId="0" fontId="7" numFmtId="0" pivotButton="0" quotePrefix="0" xfId="1"/>
    <xf borderId="1" fillId="5" fontId="6" numFmtId="167" pivotButton="0" quotePrefix="0" xfId="1"/>
    <xf applyAlignment="1" borderId="0" fillId="0" fontId="6" numFmtId="0" pivotButton="0" quotePrefix="0" xfId="1">
      <alignment horizontal="center"/>
    </xf>
    <xf applyAlignment="1" borderId="1" fillId="5" fontId="6" numFmtId="0" pivotButton="0" quotePrefix="0" xfId="1">
      <alignment horizontal="center"/>
    </xf>
    <xf borderId="1" fillId="0" fontId="6" numFmtId="1" pivotButton="0" quotePrefix="0" xfId="1"/>
    <xf borderId="0" fillId="0" fontId="39" numFmtId="168" pivotButton="0" quotePrefix="0" xfId="1"/>
    <xf borderId="0" fillId="0" fontId="7" numFmtId="0" pivotButton="0" quotePrefix="0" xfId="1"/>
    <xf applyAlignment="1" borderId="14" fillId="0" fontId="6" numFmtId="0" pivotButton="0" quotePrefix="0" xfId="1">
      <alignment horizontal="center"/>
    </xf>
    <xf borderId="2" fillId="0" fontId="7" numFmtId="0" pivotButton="0" quotePrefix="0" xfId="1"/>
    <xf applyAlignment="1" borderId="15" fillId="0" fontId="6" numFmtId="0" pivotButton="0" quotePrefix="0" xfId="1">
      <alignment horizontal="center"/>
    </xf>
    <xf applyAlignment="1" borderId="2" fillId="0" fontId="6" numFmtId="0" pivotButton="0" quotePrefix="0" xfId="1">
      <alignment horizontal="center"/>
    </xf>
    <xf applyAlignment="1" borderId="2" fillId="0" fontId="6" numFmtId="1" pivotButton="0" quotePrefix="0" xfId="1">
      <alignment horizontal="right"/>
    </xf>
    <xf applyAlignment="1" borderId="5" fillId="0" fontId="6" numFmtId="1" pivotButton="0" quotePrefix="0" xfId="1">
      <alignment horizontal="right"/>
    </xf>
    <xf borderId="0" fillId="0" fontId="0" numFmtId="168" pivotButton="0" quotePrefix="0" xfId="1"/>
    <xf applyAlignment="1" borderId="1" fillId="0" fontId="6" numFmtId="167" pivotButton="0" quotePrefix="0" xfId="1">
      <alignment horizontal="right"/>
    </xf>
    <xf borderId="1" fillId="0" fontId="6" numFmtId="2" pivotButton="0" quotePrefix="0" xfId="1"/>
    <xf applyAlignment="1" borderId="1" fillId="0" fontId="6" numFmtId="1" pivotButton="0" quotePrefix="0" xfId="1">
      <alignment horizontal="right"/>
    </xf>
    <xf applyAlignment="1" borderId="8" fillId="0" fontId="6" numFmtId="1" pivotButton="0" quotePrefix="0" xfId="1">
      <alignment horizontal="right"/>
    </xf>
    <xf borderId="1" fillId="0" fontId="6" numFmtId="0" pivotButton="0" quotePrefix="0" xfId="0"/>
    <xf applyAlignment="1" borderId="1" fillId="0" fontId="6" numFmtId="1" pivotButton="0" quotePrefix="0" xfId="1">
      <alignment horizontal="right"/>
    </xf>
    <xf applyAlignment="1" borderId="1" fillId="7" fontId="6" numFmtId="1" pivotButton="0" quotePrefix="0" xfId="1">
      <alignment horizontal="right"/>
    </xf>
    <xf applyAlignment="1" borderId="8" fillId="7" fontId="6" numFmtId="1" pivotButton="0" quotePrefix="0" xfId="1">
      <alignment horizontal="right"/>
    </xf>
    <xf borderId="12" fillId="3" fontId="0" numFmtId="1" pivotButton="0" quotePrefix="0" xfId="1"/>
    <xf applyAlignment="1" borderId="1" fillId="0" fontId="0" numFmtId="1" pivotButton="0" quotePrefix="0" xfId="1">
      <alignment horizontal="right"/>
    </xf>
    <xf applyAlignment="1" borderId="1" fillId="0" fontId="0" numFmtId="1" pivotButton="0" quotePrefix="0" xfId="0">
      <alignment horizontal="right"/>
    </xf>
    <xf applyAlignment="1" borderId="1" fillId="0" fontId="0" numFmtId="1" pivotButton="0" quotePrefix="0" xfId="1">
      <alignment horizontal="right"/>
    </xf>
    <xf applyAlignment="1" borderId="0" fillId="0" fontId="0" numFmtId="1" pivotButton="0" quotePrefix="0" xfId="1">
      <alignment horizontal="right"/>
    </xf>
    <xf borderId="0" fillId="0" fontId="2" numFmtId="1" pivotButton="0" quotePrefix="0" xfId="1"/>
    <xf borderId="1" fillId="0" fontId="0" numFmtId="0" pivotButton="0" quotePrefix="0" xfId="1"/>
    <xf borderId="2" fillId="0" fontId="2" numFmtId="0" pivotButton="0" quotePrefix="0" xfId="1"/>
    <xf borderId="2" fillId="0" fontId="6" numFmtId="0" pivotButton="0" quotePrefix="0" xfId="1"/>
    <xf borderId="1" fillId="0" fontId="0" numFmtId="1" pivotButton="0" quotePrefix="0" xfId="1"/>
    <xf borderId="1" fillId="0" fontId="0" numFmtId="0" pivotButton="0" quotePrefix="0" xfId="0"/>
    <xf borderId="1" fillId="0" fontId="0" numFmtId="1" pivotButton="0" quotePrefix="0" xfId="1"/>
    <xf borderId="0" fillId="0" fontId="0" numFmtId="1" pivotButton="0" quotePrefix="0" xfId="1"/>
    <xf borderId="1" fillId="7" fontId="16" numFmtId="1" pivotButton="0" quotePrefix="0" xfId="1"/>
    <xf borderId="1" fillId="0" fontId="39" numFmtId="0" pivotButton="0" quotePrefix="0" xfId="1"/>
    <xf applyAlignment="1" borderId="1" fillId="0" fontId="1" numFmtId="0" pivotButton="0" quotePrefix="0" xfId="1">
      <alignment horizontal="center" vertical="center"/>
    </xf>
    <xf borderId="0" fillId="0" fontId="17" numFmtId="0" pivotButton="0" quotePrefix="0" xfId="1"/>
    <xf borderId="0" fillId="8" fontId="17" numFmtId="0" pivotButton="0" quotePrefix="0" xfId="1"/>
    <xf borderId="1" fillId="0" fontId="39" numFmtId="0" pivotButton="0" quotePrefix="0" xfId="1"/>
    <xf applyAlignment="1" borderId="0" fillId="8" fontId="9" numFmtId="0" pivotButton="0" quotePrefix="0" xfId="1">
      <alignment horizontal="center" wrapText="1"/>
    </xf>
    <xf applyAlignment="1" borderId="0" fillId="8" fontId="9" numFmtId="0" pivotButton="0" quotePrefix="0" xfId="1">
      <alignment horizontal="center" vertical="top"/>
    </xf>
    <xf borderId="0" fillId="8" fontId="17" numFmtId="2" pivotButton="0" quotePrefix="0" xfId="1"/>
    <xf borderId="0" fillId="8" fontId="17" numFmtId="164" pivotButton="0" quotePrefix="0" xfId="1"/>
    <xf applyAlignment="1" borderId="1" fillId="9" fontId="2" numFmtId="0" pivotButton="0" quotePrefix="0" xfId="1">
      <alignment horizontal="center"/>
    </xf>
    <xf applyAlignment="1" borderId="1" fillId="9" fontId="1" numFmtId="0" pivotButton="0" quotePrefix="0" xfId="1">
      <alignment horizontal="center"/>
    </xf>
    <xf applyAlignment="1" borderId="1" fillId="9" fontId="1" numFmtId="0" pivotButton="0" quotePrefix="0" xfId="1">
      <alignment horizontal="center" vertical="center"/>
    </xf>
    <xf borderId="1" fillId="9" fontId="2" numFmtId="0" pivotButton="0" quotePrefix="0" xfId="1"/>
    <xf borderId="1" fillId="9" fontId="2" numFmtId="2" pivotButton="0" quotePrefix="0" xfId="1"/>
    <xf borderId="0" fillId="8" fontId="9" numFmtId="0" pivotButton="0" quotePrefix="0" xfId="1"/>
    <xf applyAlignment="1" borderId="0" fillId="8" fontId="9" numFmtId="0" pivotButton="0" quotePrefix="0" xfId="1">
      <alignment horizontal="center"/>
    </xf>
    <xf applyAlignment="1" borderId="1" fillId="0" fontId="2" numFmtId="0" pivotButton="0" quotePrefix="0" xfId="1">
      <alignment horizontal="right"/>
    </xf>
    <xf borderId="1" fillId="10" fontId="2" numFmtId="0" pivotButton="0" quotePrefix="0" xfId="1"/>
    <xf borderId="1" fillId="10" fontId="2" numFmtId="167" pivotButton="0" quotePrefix="0" xfId="1"/>
    <xf borderId="1" fillId="0" fontId="2" numFmtId="2" pivotButton="0" quotePrefix="0" xfId="0"/>
    <xf applyAlignment="1" borderId="1" fillId="10" fontId="2" numFmtId="0" pivotButton="0" quotePrefix="0" xfId="1">
      <alignment horizontal="center"/>
    </xf>
    <xf borderId="1" fillId="10" fontId="2" numFmtId="166" pivotButton="0" quotePrefix="0" xfId="1"/>
    <xf borderId="1" fillId="10" fontId="2" numFmtId="2" pivotButton="0" quotePrefix="0" xfId="1"/>
    <xf borderId="1" fillId="3" fontId="2" numFmtId="2" pivotButton="0" quotePrefix="0" xfId="1"/>
    <xf borderId="1" fillId="10" fontId="18" numFmtId="1" pivotButton="0" quotePrefix="0" xfId="1"/>
    <xf borderId="1" fillId="6" fontId="18" numFmtId="1" pivotButton="0" quotePrefix="0" xfId="1"/>
    <xf applyAlignment="1" borderId="1" fillId="5" fontId="2" numFmtId="0" pivotButton="0" quotePrefix="0" xfId="1">
      <alignment horizontal="right"/>
    </xf>
    <xf applyAlignment="1" borderId="1" fillId="11" fontId="2" numFmtId="0" pivotButton="0" quotePrefix="0" xfId="1">
      <alignment vertical="center"/>
    </xf>
    <xf borderId="1" fillId="0" fontId="2" numFmtId="167" pivotButton="0" quotePrefix="0" xfId="1"/>
    <xf borderId="1" fillId="0" fontId="2" numFmtId="1" pivotButton="0" quotePrefix="0" xfId="0"/>
    <xf borderId="1" fillId="3" fontId="2" numFmtId="166" pivotButton="0" quotePrefix="0" xfId="1"/>
    <xf borderId="0" fillId="0" fontId="11" numFmtId="2" pivotButton="0" quotePrefix="0" xfId="1"/>
    <xf applyAlignment="1" borderId="0" fillId="8" fontId="13" numFmtId="0" pivotButton="0" quotePrefix="0" xfId="1">
      <alignment horizontal="center"/>
    </xf>
    <xf applyAlignment="1" borderId="0" fillId="8" fontId="19" numFmtId="2" pivotButton="0" quotePrefix="0" xfId="1">
      <alignment horizontal="center"/>
    </xf>
    <xf applyAlignment="1" borderId="1" fillId="0" fontId="2" numFmtId="0" pivotButton="0" quotePrefix="0" xfId="1">
      <alignment horizontal="right"/>
    </xf>
    <xf borderId="0" fillId="8" fontId="39" numFmtId="0" pivotButton="0" quotePrefix="0" xfId="1"/>
    <xf applyAlignment="1" borderId="1" fillId="0" fontId="2" numFmtId="0" pivotButton="0" quotePrefix="0" xfId="1">
      <alignment vertical="center"/>
    </xf>
    <xf applyAlignment="1" borderId="1" fillId="9" fontId="1" numFmtId="0" pivotButton="0" quotePrefix="0" xfId="1">
      <alignment horizontal="left"/>
    </xf>
    <xf applyAlignment="1" borderId="1" fillId="0" fontId="1" numFmtId="0" pivotButton="0" quotePrefix="0" xfId="1">
      <alignment horizontal="left"/>
    </xf>
    <xf borderId="11" fillId="6" fontId="18" numFmtId="1" pivotButton="0" quotePrefix="0" xfId="1"/>
    <xf borderId="1" fillId="0" fontId="2" numFmtId="0" pivotButton="0" quotePrefix="0" xfId="1"/>
    <xf borderId="1" fillId="0" fontId="2" numFmtId="0" pivotButton="0" quotePrefix="0" xfId="1"/>
    <xf applyAlignment="1" borderId="1" fillId="0" fontId="2" numFmtId="167" pivotButton="0" quotePrefix="0" xfId="1">
      <alignment horizontal="right"/>
    </xf>
    <xf borderId="1" fillId="3" fontId="2" numFmtId="1" pivotButton="0" quotePrefix="0" xfId="1"/>
    <xf borderId="11" fillId="0" fontId="20" numFmtId="1" pivotButton="0" quotePrefix="0" xfId="1"/>
    <xf borderId="1" fillId="0" fontId="0" numFmtId="0" pivotButton="0" quotePrefix="0" xfId="1"/>
    <xf borderId="1" fillId="0" fontId="8" numFmtId="0" pivotButton="0" quotePrefix="0" xfId="1"/>
    <xf borderId="0" fillId="0" fontId="8" numFmtId="0" pivotButton="0" quotePrefix="0" xfId="1"/>
    <xf applyAlignment="1" borderId="1" fillId="9" fontId="2" numFmtId="0" pivotButton="0" quotePrefix="0" xfId="1">
      <alignment horizontal="right"/>
    </xf>
    <xf borderId="1" fillId="9" fontId="2" numFmtId="167" pivotButton="0" quotePrefix="0" xfId="1"/>
    <xf borderId="1" fillId="9" fontId="2" numFmtId="1" pivotButton="0" quotePrefix="0" xfId="1"/>
    <xf borderId="1" fillId="9" fontId="2" numFmtId="1" pivotButton="0" quotePrefix="0" xfId="0"/>
    <xf borderId="1" fillId="9" fontId="1" numFmtId="166" pivotButton="0" quotePrefix="0" xfId="1"/>
    <xf borderId="1" fillId="9" fontId="2" numFmtId="2" pivotButton="0" quotePrefix="0" xfId="0"/>
    <xf borderId="1" fillId="9" fontId="18" numFmtId="1" pivotButton="0" quotePrefix="0" xfId="1"/>
    <xf borderId="1" fillId="11" fontId="2" numFmtId="0" pivotButton="0" quotePrefix="0" xfId="1"/>
    <xf borderId="1" fillId="0" fontId="2" numFmtId="1" pivotButton="0" quotePrefix="0" xfId="1"/>
    <xf applyAlignment="1" borderId="1" fillId="11" fontId="2" numFmtId="0" pivotButton="0" quotePrefix="0" xfId="1">
      <alignment horizontal="left"/>
    </xf>
    <xf applyAlignment="1" borderId="1" fillId="11" fontId="9" numFmtId="0" pivotButton="0" quotePrefix="0" xfId="1">
      <alignment horizontal="left" vertical="center"/>
    </xf>
    <xf applyAlignment="1" borderId="1" fillId="6" fontId="2" numFmtId="0" pivotButton="0" quotePrefix="0" xfId="1">
      <alignment horizontal="right"/>
    </xf>
    <xf borderId="1" fillId="6" fontId="2" numFmtId="166" pivotButton="0" quotePrefix="0" xfId="1"/>
    <xf applyAlignment="1" borderId="1" fillId="5" fontId="2" numFmtId="0" pivotButton="0" quotePrefix="0" xfId="1">
      <alignment horizontal="center"/>
    </xf>
    <xf borderId="1" fillId="5" fontId="2" numFmtId="2" pivotButton="0" quotePrefix="0" xfId="0"/>
    <xf applyAlignment="1" borderId="1" fillId="0" fontId="7" numFmtId="0" pivotButton="0" quotePrefix="0" xfId="1">
      <alignment horizontal="left"/>
    </xf>
    <xf borderId="1" fillId="0" fontId="7" numFmtId="167" pivotButton="0" quotePrefix="0" xfId="1"/>
    <xf borderId="1" fillId="0" fontId="7" numFmtId="2" pivotButton="0" quotePrefix="0" xfId="1"/>
    <xf borderId="1" fillId="3" fontId="7" numFmtId="1" pivotButton="0" quotePrefix="0" xfId="1"/>
    <xf applyAlignment="1" borderId="1" fillId="5" fontId="1" numFmtId="0" pivotButton="0" quotePrefix="0" xfId="1">
      <alignment horizontal="left"/>
    </xf>
    <xf borderId="1" fillId="5" fontId="2" numFmtId="1" pivotButton="0" quotePrefix="0" xfId="0"/>
    <xf borderId="1" fillId="5" fontId="18" numFmtId="1" pivotButton="0" quotePrefix="0" xfId="1"/>
    <xf applyAlignment="1" borderId="2" fillId="9" fontId="1" numFmtId="0" pivotButton="0" quotePrefix="0" xfId="1">
      <alignment horizontal="center" vertical="center"/>
    </xf>
    <xf borderId="2" fillId="9" fontId="2" numFmtId="167" pivotButton="0" quotePrefix="0" xfId="1"/>
    <xf borderId="1" fillId="9" fontId="7" numFmtId="166" pivotButton="0" quotePrefix="0" xfId="1"/>
    <xf borderId="11" fillId="11" fontId="2" numFmtId="0" pivotButton="0" quotePrefix="0" xfId="1"/>
    <xf borderId="12" fillId="0" fontId="2" numFmtId="2" pivotButton="0" quotePrefix="0" xfId="0"/>
    <xf applyAlignment="1" borderId="1" fillId="0" fontId="2" numFmtId="1" pivotButton="0" quotePrefix="0" xfId="1">
      <alignment horizontal="center"/>
    </xf>
    <xf borderId="1" fillId="0" fontId="2" numFmtId="2" pivotButton="0" quotePrefix="0" xfId="0"/>
    <xf borderId="1" fillId="3" fontId="0" numFmtId="2" pivotButton="0" quotePrefix="0" xfId="1"/>
    <xf borderId="12" fillId="0" fontId="2" numFmtId="0" pivotButton="0" quotePrefix="0" xfId="1"/>
    <xf borderId="10" fillId="0" fontId="2" numFmtId="2" pivotButton="0" quotePrefix="0" xfId="1"/>
    <xf borderId="12" fillId="0" fontId="2" numFmtId="2" pivotButton="0" quotePrefix="0" xfId="1"/>
    <xf borderId="1" fillId="0" fontId="2" numFmtId="2" pivotButton="0" quotePrefix="0" xfId="1"/>
    <xf borderId="1" fillId="0" fontId="2" numFmtId="2" pivotButton="0" quotePrefix="0" xfId="1"/>
    <xf applyAlignment="1" borderId="1" fillId="0" fontId="11" numFmtId="0" pivotButton="0" quotePrefix="0" xfId="1">
      <alignment horizontal="right"/>
    </xf>
    <xf borderId="1" fillId="12" fontId="2" numFmtId="0" pivotButton="0" quotePrefix="0" xfId="1"/>
    <xf applyAlignment="1" borderId="1" fillId="12" fontId="2" numFmtId="0" pivotButton="0" quotePrefix="0" xfId="1">
      <alignment horizontal="center" vertical="center"/>
    </xf>
    <xf borderId="1" fillId="12" fontId="2" numFmtId="2" pivotButton="0" quotePrefix="0" xfId="1"/>
    <xf borderId="1" fillId="12" fontId="2" numFmtId="2" pivotButton="0" quotePrefix="0" xfId="0"/>
    <xf applyAlignment="1" borderId="1" fillId="12" fontId="2" numFmtId="1" pivotButton="0" quotePrefix="0" xfId="1">
      <alignment horizontal="center"/>
    </xf>
    <xf borderId="1" fillId="12" fontId="0" numFmtId="2" pivotButton="0" quotePrefix="0" xfId="1"/>
    <xf borderId="1" fillId="12" fontId="18" numFmtId="1" pivotButton="0" quotePrefix="0" xfId="1"/>
    <xf applyAlignment="1" borderId="1" fillId="5" fontId="2" numFmtId="0" pivotButton="0" quotePrefix="0" xfId="1">
      <alignment vertical="center"/>
    </xf>
    <xf applyAlignment="1" borderId="1" fillId="5" fontId="2" numFmtId="0" pivotButton="0" quotePrefix="0" xfId="1">
      <alignment horizontal="center" vertical="center"/>
    </xf>
    <xf borderId="1" fillId="5" fontId="2" numFmtId="167" pivotButton="0" quotePrefix="0" xfId="1"/>
    <xf borderId="1" fillId="5" fontId="2" numFmtId="2" pivotButton="0" quotePrefix="0" xfId="1"/>
    <xf borderId="0" fillId="5" fontId="11" numFmtId="2" pivotButton="0" quotePrefix="0" xfId="1"/>
    <xf borderId="1" fillId="5" fontId="39" numFmtId="0" pivotButton="0" quotePrefix="0" xfId="1"/>
    <xf borderId="0" fillId="5" fontId="39" numFmtId="0" pivotButton="0" quotePrefix="0" xfId="1"/>
    <xf borderId="1" fillId="0" fontId="7" numFmtId="2" pivotButton="0" quotePrefix="0" xfId="0"/>
    <xf borderId="1" fillId="9" fontId="2" numFmtId="166" pivotButton="0" quotePrefix="0" xfId="1"/>
    <xf borderId="1" fillId="0" fontId="2" numFmtId="0" pivotButton="0" quotePrefix="0" xfId="1"/>
    <xf borderId="12" fillId="0" fontId="2" numFmtId="167" pivotButton="0" quotePrefix="0" xfId="1"/>
    <xf borderId="1" fillId="4" fontId="2" numFmtId="0" pivotButton="0" quotePrefix="0" xfId="1"/>
    <xf borderId="2" fillId="0" fontId="2" numFmtId="0" pivotButton="0" quotePrefix="0" xfId="1"/>
    <xf applyAlignment="1" borderId="11" fillId="0" fontId="2" numFmtId="0" pivotButton="0" quotePrefix="0" xfId="1">
      <alignment horizontal="center"/>
    </xf>
    <xf borderId="12" fillId="0" fontId="2" numFmtId="0" pivotButton="0" quotePrefix="0" xfId="1"/>
    <xf borderId="8" fillId="0" fontId="2" numFmtId="0" pivotButton="0" quotePrefix="0" xfId="1"/>
    <xf borderId="1" fillId="5" fontId="2" numFmtId="0" pivotButton="0" quotePrefix="0" xfId="1"/>
    <xf applyAlignment="1" borderId="1" fillId="9" fontId="1" numFmtId="0" pivotButton="0" quotePrefix="0" xfId="1">
      <alignment horizontal="left" wrapText="1"/>
    </xf>
    <xf borderId="1" fillId="13" fontId="2" numFmtId="0" pivotButton="0" quotePrefix="0" xfId="1"/>
    <xf applyAlignment="1" borderId="1" fillId="13" fontId="7" numFmtId="0" pivotButton="0" quotePrefix="0" xfId="1">
      <alignment horizontal="left"/>
    </xf>
    <xf borderId="1" fillId="13" fontId="2" numFmtId="0" pivotButton="0" quotePrefix="0" xfId="1"/>
    <xf borderId="1" fillId="13" fontId="2" numFmtId="167" pivotButton="0" quotePrefix="0" xfId="1"/>
    <xf borderId="1" fillId="13" fontId="2" numFmtId="2" pivotButton="0" quotePrefix="0" xfId="1"/>
    <xf applyAlignment="1" borderId="1" fillId="13" fontId="2" numFmtId="0" pivotButton="0" quotePrefix="0" xfId="1">
      <alignment horizontal="center"/>
    </xf>
    <xf borderId="1" fillId="13" fontId="2" numFmtId="1" pivotButton="0" quotePrefix="0" xfId="1"/>
    <xf borderId="1" fillId="13" fontId="18" numFmtId="1" pivotButton="0" quotePrefix="0" xfId="1"/>
    <xf borderId="11" fillId="13" fontId="18" numFmtId="1" pivotButton="0" quotePrefix="0" xfId="1"/>
    <xf applyAlignment="1" borderId="1" fillId="0" fontId="11" numFmtId="0" pivotButton="0" quotePrefix="0" xfId="1">
      <alignment horizontal="center"/>
    </xf>
    <xf borderId="1" fillId="13" fontId="2" numFmtId="2" pivotButton="0" quotePrefix="0" xfId="0"/>
    <xf applyAlignment="1" borderId="0" fillId="0" fontId="14" numFmtId="164" pivotButton="0" quotePrefix="0" xfId="1">
      <alignment horizontal="right"/>
    </xf>
    <xf borderId="1" fillId="9" fontId="2" numFmtId="169" pivotButton="0" quotePrefix="0" xfId="1"/>
    <xf borderId="1" fillId="9" fontId="24" numFmtId="0" pivotButton="0" quotePrefix="0" xfId="1"/>
    <xf borderId="11" fillId="9" fontId="24" numFmtId="0" pivotButton="0" quotePrefix="0" xfId="1"/>
    <xf borderId="11" fillId="0" fontId="11" numFmtId="1" pivotButton="0" quotePrefix="0" xfId="1"/>
    <xf borderId="1" fillId="0" fontId="2" numFmtId="169" pivotButton="0" quotePrefix="0" xfId="1"/>
    <xf borderId="1" fillId="5" fontId="2" numFmtId="166" pivotButton="0" quotePrefix="0" xfId="1"/>
    <xf borderId="1" fillId="5" fontId="24" numFmtId="0" pivotButton="0" quotePrefix="0" xfId="1"/>
    <xf borderId="11" fillId="5" fontId="24" numFmtId="0" pivotButton="0" quotePrefix="0" xfId="1"/>
    <xf borderId="1" fillId="0" fontId="2" numFmtId="167" pivotButton="0" quotePrefix="0" xfId="1"/>
    <xf borderId="1" fillId="0" fontId="2" numFmtId="1" pivotButton="0" quotePrefix="0" xfId="1"/>
    <xf applyAlignment="1" borderId="1" fillId="6" fontId="2" numFmtId="0" pivotButton="0" quotePrefix="0" xfId="1">
      <alignment vertical="center"/>
    </xf>
    <xf borderId="11" fillId="0" fontId="11" numFmtId="0" pivotButton="0" quotePrefix="0" xfId="1"/>
    <xf borderId="11" fillId="5" fontId="18" numFmtId="1" pivotButton="0" quotePrefix="0" xfId="1"/>
    <xf borderId="1" fillId="3" fontId="2" numFmtId="0" pivotButton="0" quotePrefix="0" xfId="1"/>
    <xf borderId="11" fillId="6" fontId="25" numFmtId="38" pivotButton="0" quotePrefix="0" xfId="1"/>
    <xf applyAlignment="1" borderId="1" fillId="9" fontId="2" numFmtId="0" pivotButton="0" quotePrefix="0" xfId="0">
      <alignment horizontal="center"/>
    </xf>
    <xf applyAlignment="1" borderId="1" fillId="9" fontId="2" numFmtId="166" pivotButton="0" quotePrefix="0" xfId="1">
      <alignment horizontal="right"/>
    </xf>
    <xf applyAlignment="1" borderId="1" fillId="9" fontId="24" numFmtId="1" pivotButton="0" quotePrefix="0" xfId="1">
      <alignment horizontal="center"/>
    </xf>
    <xf applyAlignment="1" borderId="11" fillId="9" fontId="24" numFmtId="1" pivotButton="0" quotePrefix="0" xfId="1">
      <alignment horizontal="center"/>
    </xf>
    <xf applyAlignment="1" borderId="11" fillId="0" fontId="11" numFmtId="0" pivotButton="0" quotePrefix="0" xfId="1">
      <alignment horizontal="center"/>
    </xf>
    <xf applyAlignment="1" borderId="1" fillId="0" fontId="2" numFmtId="167" pivotButton="0" quotePrefix="0" xfId="1">
      <alignment horizontal="center"/>
    </xf>
    <xf borderId="1" fillId="5" fontId="2" numFmtId="1" pivotButton="0" quotePrefix="0" xfId="1"/>
    <xf applyAlignment="1" borderId="1" fillId="9" fontId="12" numFmtId="0" pivotButton="0" quotePrefix="0" xfId="1">
      <alignment horizontal="center" vertical="center"/>
    </xf>
    <xf borderId="1" fillId="9" fontId="18" numFmtId="0" pivotButton="0" quotePrefix="0" xfId="1"/>
    <xf borderId="11" fillId="9" fontId="18" numFmtId="0" pivotButton="0" quotePrefix="0" xfId="1"/>
    <xf applyAlignment="1" borderId="1" fillId="11" fontId="2" numFmtId="0" pivotButton="0" quotePrefix="0" xfId="1">
      <alignment horizontal="left" wrapText="1"/>
    </xf>
    <xf borderId="2" fillId="0" fontId="2" numFmtId="2" pivotButton="0" quotePrefix="0" xfId="1"/>
    <xf borderId="0" fillId="0" fontId="2" numFmtId="169" pivotButton="0" quotePrefix="0" xfId="1"/>
    <xf borderId="13" fillId="3" fontId="2" numFmtId="1" pivotButton="0" quotePrefix="0" xfId="1"/>
    <xf borderId="11" fillId="0" fontId="26" numFmtId="1" pivotButton="0" quotePrefix="0" xfId="1"/>
    <xf borderId="2" fillId="5" fontId="2" numFmtId="2" pivotButton="0" quotePrefix="0" xfId="1"/>
    <xf borderId="1" fillId="5" fontId="2" numFmtId="169" pivotButton="0" quotePrefix="0" xfId="1"/>
    <xf borderId="0" fillId="5" fontId="2" numFmtId="169" pivotButton="0" quotePrefix="0" xfId="1"/>
    <xf borderId="13" fillId="5" fontId="2" numFmtId="1" pivotButton="0" quotePrefix="0" xfId="1"/>
    <xf applyAlignment="1" borderId="1" fillId="9" fontId="18" numFmtId="0" pivotButton="0" quotePrefix="0" xfId="1">
      <alignment horizontal="center"/>
    </xf>
    <xf applyAlignment="1" borderId="11" fillId="9" fontId="18" numFmtId="0" pivotButton="0" quotePrefix="0" xfId="1">
      <alignment horizontal="center"/>
    </xf>
    <xf applyAlignment="1" borderId="1" fillId="11" fontId="2" numFmtId="0" pivotButton="0" quotePrefix="0" xfId="1">
      <alignment wrapText="1"/>
    </xf>
    <xf applyAlignment="1" borderId="1" fillId="6" fontId="2" numFmtId="0" pivotButton="0" quotePrefix="0" xfId="1">
      <alignment wrapText="1"/>
    </xf>
    <xf borderId="1" fillId="11" fontId="9" numFmtId="0" pivotButton="0" quotePrefix="0" xfId="1"/>
    <xf borderId="1" fillId="0" fontId="2" numFmtId="0" pivotButton="0" quotePrefix="0" xfId="0"/>
    <xf borderId="1" fillId="0" fontId="2" numFmtId="170" pivotButton="0" quotePrefix="0" xfId="1"/>
    <xf borderId="11" fillId="5" fontId="11" numFmtId="0" pivotButton="0" quotePrefix="0" xfId="1"/>
    <xf applyAlignment="1" borderId="1" fillId="0" fontId="1" numFmtId="167" pivotButton="0" quotePrefix="0" xfId="1">
      <alignment horizontal="left"/>
    </xf>
    <xf applyAlignment="1" borderId="11" fillId="0" fontId="11" numFmtId="1" pivotButton="0" quotePrefix="0" xfId="1">
      <alignment horizontal="right"/>
    </xf>
    <xf borderId="11" fillId="0" fontId="14" numFmtId="0" pivotButton="0" quotePrefix="0" xfId="1"/>
    <xf borderId="12" fillId="0" fontId="2" numFmtId="1" pivotButton="0" quotePrefix="0" xfId="1"/>
    <xf borderId="12" fillId="5" fontId="2" numFmtId="1" pivotButton="0" quotePrefix="0" xfId="1"/>
    <xf borderId="1" fillId="9" fontId="1" numFmtId="0" pivotButton="0" quotePrefix="0" xfId="1"/>
    <xf borderId="1" fillId="9" fontId="2" numFmtId="0" pivotButton="0" quotePrefix="0" xfId="0"/>
    <xf borderId="11" fillId="9" fontId="18" numFmtId="1" pivotButton="0" quotePrefix="0" xfId="1"/>
    <xf borderId="11" fillId="0" fontId="14" numFmtId="1" pivotButton="0" quotePrefix="0" xfId="1"/>
    <xf applyAlignment="1" borderId="1" fillId="0" fontId="2" numFmtId="49" pivotButton="0" quotePrefix="0" xfId="1">
      <alignment horizontal="right"/>
    </xf>
    <xf applyAlignment="1" borderId="1" fillId="0" fontId="2" numFmtId="49" pivotButton="0" quotePrefix="0" xfId="1">
      <alignment horizontal="right"/>
    </xf>
    <xf applyAlignment="1" borderId="1" fillId="0" fontId="2" numFmtId="0" pivotButton="0" quotePrefix="0" xfId="1">
      <alignment horizontal="center" vertical="center"/>
    </xf>
    <xf applyAlignment="1" borderId="1" fillId="9" fontId="2" numFmtId="1" pivotButton="0" quotePrefix="0" xfId="1">
      <alignment horizontal="center"/>
    </xf>
    <xf applyAlignment="1" borderId="1" fillId="9" fontId="1" numFmtId="166" pivotButton="0" quotePrefix="0" xfId="1">
      <alignment horizontal="right"/>
    </xf>
    <xf applyAlignment="1" borderId="1" fillId="9" fontId="11" numFmtId="1" pivotButton="0" quotePrefix="0" xfId="1">
      <alignment horizontal="center"/>
    </xf>
    <xf applyAlignment="1" borderId="11" fillId="9" fontId="11" numFmtId="1" pivotButton="0" quotePrefix="0" xfId="1">
      <alignment horizontal="center"/>
    </xf>
    <xf applyAlignment="1" borderId="11" fillId="0" fontId="14" numFmtId="1" pivotButton="0" quotePrefix="0" xfId="1">
      <alignment horizontal="right"/>
    </xf>
    <xf applyAlignment="1" borderId="2" fillId="9" fontId="1" numFmtId="0" pivotButton="0" quotePrefix="0" xfId="1">
      <alignment horizontal="left"/>
    </xf>
    <xf applyAlignment="1" borderId="2" fillId="0" fontId="1" numFmtId="167" pivotButton="0" quotePrefix="0" xfId="1">
      <alignment horizontal="left"/>
    </xf>
    <xf applyAlignment="1" borderId="1" fillId="9" fontId="1" numFmtId="167" pivotButton="0" quotePrefix="0" xfId="1">
      <alignment horizontal="left"/>
    </xf>
    <xf borderId="2" fillId="9" fontId="7" numFmtId="2" pivotButton="0" quotePrefix="0" xfId="1"/>
    <xf borderId="11" fillId="9" fontId="2" numFmtId="1" pivotButton="0" quotePrefix="0" xfId="1"/>
    <xf borderId="11" fillId="0" fontId="11" numFmtId="2" pivotButton="0" quotePrefix="0" xfId="1"/>
    <xf borderId="2" fillId="0" fontId="7" numFmtId="2" pivotButton="0" quotePrefix="0" xfId="1"/>
    <xf borderId="11" fillId="0" fontId="2" numFmtId="1" pivotButton="0" quotePrefix="0" xfId="1"/>
    <xf borderId="1" fillId="0" fontId="1" numFmtId="0" pivotButton="0" quotePrefix="0" xfId="1"/>
    <xf borderId="1" fillId="0" fontId="2" numFmtId="170" pivotButton="0" quotePrefix="0" xfId="1"/>
    <xf borderId="1" fillId="5" fontId="1" numFmtId="0" pivotButton="0" quotePrefix="0" xfId="1"/>
    <xf applyAlignment="1" borderId="1" fillId="5" fontId="1" numFmtId="167" pivotButton="0" quotePrefix="0" xfId="1">
      <alignment horizontal="left"/>
    </xf>
    <xf borderId="1" fillId="5" fontId="7" numFmtId="2" pivotButton="0" quotePrefix="0" xfId="1"/>
    <xf borderId="1" fillId="5" fontId="27" numFmtId="1" pivotButton="0" quotePrefix="0" xfId="1"/>
    <xf borderId="11" fillId="5" fontId="2" numFmtId="1" pivotButton="0" quotePrefix="0" xfId="1"/>
    <xf applyAlignment="1" borderId="1" fillId="5" fontId="2" numFmtId="167" pivotButton="0" quotePrefix="0" xfId="1">
      <alignment horizontal="right"/>
    </xf>
    <xf borderId="11" fillId="0" fontId="0" numFmtId="0" pivotButton="0" quotePrefix="0" xfId="1"/>
    <xf borderId="1" fillId="9" fontId="7" numFmtId="2" pivotButton="0" quotePrefix="0" xfId="1"/>
    <xf borderId="1" fillId="9" fontId="28" numFmtId="1" pivotButton="0" quotePrefix="0" xfId="1"/>
    <xf borderId="11" fillId="9" fontId="28" numFmtId="1" pivotButton="0" quotePrefix="0" xfId="1"/>
    <xf borderId="11" fillId="0" fontId="14" numFmtId="2" pivotButton="0" quotePrefix="0" xfId="1"/>
    <xf applyAlignment="1" borderId="1" fillId="0" fontId="1" numFmtId="0" pivotButton="0" quotePrefix="0" xfId="1">
      <alignment horizontal="left"/>
    </xf>
    <xf applyAlignment="1" borderId="1" fillId="0" fontId="2" numFmtId="0" pivotButton="0" quotePrefix="0" xfId="1">
      <alignment horizontal="left"/>
    </xf>
    <xf applyAlignment="1" borderId="1" fillId="4" fontId="2" numFmtId="0" pivotButton="0" quotePrefix="0" xfId="1">
      <alignment horizontal="left"/>
    </xf>
    <xf applyAlignment="1" borderId="1" fillId="5" fontId="2" numFmtId="0" pivotButton="0" quotePrefix="0" xfId="1">
      <alignment horizontal="left"/>
    </xf>
    <xf borderId="1" fillId="9" fontId="7" numFmtId="2" pivotButton="0" quotePrefix="0" xfId="0"/>
    <xf applyAlignment="1" borderId="1" fillId="4" fontId="1" numFmtId="0" pivotButton="0" quotePrefix="0" xfId="1">
      <alignment horizontal="left"/>
    </xf>
    <xf applyAlignment="1" borderId="1" fillId="0" fontId="1" numFmtId="167" pivotButton="0" quotePrefix="0" xfId="1">
      <alignment horizontal="left"/>
    </xf>
    <xf borderId="0" fillId="6" fontId="18" numFmtId="1" pivotButton="0" quotePrefix="0" xfId="1"/>
    <xf applyAlignment="1" borderId="14" fillId="3" fontId="1" numFmtId="166" pivotButton="0" quotePrefix="0" xfId="1">
      <alignment horizontal="center"/>
    </xf>
    <xf applyAlignment="1" borderId="14" fillId="3" fontId="1" numFmtId="2" pivotButton="0" quotePrefix="0" xfId="1">
      <alignment horizontal="center"/>
    </xf>
    <xf applyAlignment="1" borderId="1" fillId="14" fontId="2" numFmtId="0" pivotButton="0" quotePrefix="0" xfId="1">
      <alignment horizontal="center"/>
    </xf>
    <xf borderId="1" fillId="9" fontId="1" numFmtId="2" pivotButton="0" quotePrefix="0" xfId="1"/>
    <xf applyAlignment="1" borderId="5" fillId="5" fontId="1" numFmtId="0" pivotButton="0" quotePrefix="0" xfId="1">
      <alignment horizontal="left"/>
    </xf>
    <xf applyAlignment="1" borderId="5" fillId="5" fontId="2" numFmtId="0" pivotButton="0" quotePrefix="0" xfId="1">
      <alignment horizontal="left"/>
    </xf>
    <xf borderId="5" fillId="5" fontId="2" numFmtId="167" pivotButton="0" quotePrefix="0" xfId="1"/>
    <xf applyAlignment="1" borderId="5" fillId="5" fontId="2" numFmtId="0" pivotButton="0" quotePrefix="0" xfId="1">
      <alignment horizontal="center"/>
    </xf>
    <xf borderId="5" fillId="5" fontId="2" numFmtId="1" pivotButton="0" quotePrefix="0" xfId="1"/>
    <xf applyAlignment="1" borderId="5" fillId="5" fontId="1" numFmtId="2" pivotButton="0" quotePrefix="0" xfId="1">
      <alignment horizontal="center"/>
    </xf>
    <xf borderId="5" fillId="5" fontId="18" numFmtId="1" pivotButton="0" quotePrefix="0" xfId="1"/>
    <xf borderId="6" fillId="5" fontId="18" numFmtId="1" pivotButton="0" quotePrefix="0" xfId="1"/>
    <xf applyAlignment="1" borderId="11" fillId="9" fontId="2" numFmtId="0" pivotButton="0" quotePrefix="0" xfId="1">
      <alignment horizontal="right"/>
    </xf>
    <xf applyAlignment="1" borderId="1" fillId="9" fontId="1" numFmtId="166" pivotButton="0" quotePrefix="0" xfId="1">
      <alignment horizontal="center"/>
    </xf>
    <xf applyAlignment="1" borderId="16" fillId="9" fontId="11" numFmtId="1" pivotButton="0" quotePrefix="0" xfId="1">
      <alignment horizontal="center"/>
    </xf>
    <xf applyAlignment="1" borderId="8" fillId="11" fontId="2" numFmtId="0" pivotButton="0" quotePrefix="0" xfId="1">
      <alignment horizontal="left"/>
    </xf>
    <xf borderId="8" fillId="0" fontId="2" numFmtId="167" pivotButton="0" quotePrefix="0" xfId="1"/>
    <xf borderId="8" fillId="0" fontId="2" numFmtId="2" pivotButton="0" quotePrefix="0" xfId="1"/>
    <xf applyAlignment="1" borderId="8" fillId="0" fontId="2" numFmtId="0" pivotButton="0" quotePrefix="0" xfId="1">
      <alignment horizontal="center"/>
    </xf>
    <xf borderId="8" fillId="3" fontId="2" numFmtId="0" pivotButton="0" quotePrefix="0" xfId="1"/>
    <xf applyAlignment="1" borderId="1" fillId="3" fontId="1" numFmtId="2" pivotButton="0" quotePrefix="0" xfId="1">
      <alignment horizontal="center"/>
    </xf>
    <xf borderId="11" fillId="15" fontId="18" numFmtId="1" pivotButton="0" quotePrefix="0" xfId="1"/>
    <xf applyAlignment="1" borderId="1" fillId="11" fontId="1" numFmtId="0" pivotButton="0" quotePrefix="0" xfId="1">
      <alignment horizontal="left"/>
    </xf>
    <xf borderId="5" fillId="5" fontId="2" numFmtId="2" pivotButton="0" quotePrefix="0" xfId="0"/>
    <xf borderId="0" fillId="15" fontId="16" numFmtId="1" pivotButton="0" quotePrefix="0" xfId="1"/>
    <xf borderId="1" fillId="0" fontId="2" numFmtId="171" pivotButton="0" quotePrefix="0" xfId="1"/>
    <xf borderId="0" fillId="0" fontId="13" numFmtId="0" pivotButton="0" quotePrefix="0" xfId="1"/>
    <xf borderId="0" fillId="0" fontId="17" numFmtId="0" pivotButton="0" quotePrefix="0" xfId="1"/>
    <xf borderId="1" fillId="5" fontId="0" numFmtId="0" pivotButton="0" quotePrefix="0" xfId="1"/>
    <xf borderId="8" fillId="5" fontId="0" numFmtId="0" pivotButton="0" quotePrefix="0" xfId="1"/>
    <xf borderId="8" fillId="5" fontId="8" numFmtId="0" pivotButton="0" quotePrefix="0" xfId="1"/>
    <xf borderId="0" fillId="5" fontId="13" numFmtId="0" pivotButton="0" quotePrefix="0" xfId="1"/>
    <xf borderId="0" fillId="5" fontId="17" numFmtId="0" pivotButton="0" quotePrefix="0" xfId="1"/>
    <xf borderId="0" fillId="5" fontId="0" numFmtId="0" pivotButton="0" quotePrefix="0" xfId="1"/>
    <xf borderId="0" fillId="5" fontId="8" numFmtId="0" pivotButton="0" quotePrefix="0" xfId="1"/>
    <xf borderId="1" fillId="0" fontId="11" numFmtId="2" pivotButton="0" quotePrefix="0" xfId="1"/>
    <xf borderId="1" fillId="0" fontId="11" numFmtId="1" pivotButton="0" quotePrefix="0" xfId="1"/>
    <xf borderId="1" fillId="13" fontId="1" numFmtId="0" pivotButton="0" quotePrefix="0" xfId="1"/>
    <xf applyAlignment="1" borderId="1" fillId="13" fontId="6" numFmtId="0" pivotButton="0" quotePrefix="0" xfId="1">
      <alignment horizontal="center"/>
    </xf>
    <xf borderId="2" fillId="13" fontId="1" numFmtId="0" pivotButton="0" quotePrefix="0" xfId="1"/>
    <xf borderId="1" fillId="10" fontId="18" numFmtId="0" pivotButton="0" quotePrefix="0" xfId="1"/>
    <xf borderId="11" fillId="10" fontId="18" numFmtId="0" pivotButton="0" quotePrefix="0" xfId="1"/>
    <xf borderId="1" fillId="5" fontId="18" numFmtId="0" pivotButton="0" quotePrefix="0" xfId="1"/>
    <xf borderId="0" fillId="16" fontId="29" numFmtId="0" pivotButton="0" quotePrefix="0" xfId="1"/>
    <xf applyAlignment="1" borderId="1" fillId="0" fontId="24" numFmtId="0" pivotButton="0" quotePrefix="0" xfId="1">
      <alignment horizontal="center"/>
    </xf>
    <xf applyAlignment="1" borderId="8" fillId="9" fontId="1" numFmtId="0" pivotButton="0" quotePrefix="0" xfId="1">
      <alignment horizontal="center"/>
    </xf>
    <xf applyAlignment="1" borderId="8" fillId="9" fontId="1" numFmtId="0" pivotButton="0" quotePrefix="0" xfId="0">
      <alignment horizontal="center"/>
    </xf>
    <xf applyAlignment="1" borderId="1" fillId="0" fontId="7" numFmtId="167" pivotButton="0" quotePrefix="0" xfId="1">
      <alignment horizontal="center"/>
    </xf>
    <xf applyAlignment="1" borderId="1" fillId="0" fontId="7" numFmtId="2" pivotButton="0" quotePrefix="0" xfId="1">
      <alignment horizontal="center"/>
    </xf>
    <xf borderId="1" fillId="6" fontId="0" numFmtId="38" pivotButton="0" quotePrefix="0" xfId="1"/>
    <xf applyAlignment="1" borderId="1" fillId="0" fontId="7" numFmtId="1" pivotButton="0" quotePrefix="0" xfId="1">
      <alignment horizontal="center"/>
    </xf>
    <xf applyAlignment="1" borderId="0" fillId="0" fontId="7" numFmtId="1" pivotButton="0" quotePrefix="0" xfId="1">
      <alignment horizontal="center"/>
    </xf>
    <xf borderId="1" fillId="6" fontId="30" numFmtId="37" pivotButton="0" quotePrefix="0" xfId="1"/>
    <xf applyAlignment="1" borderId="1" fillId="0" fontId="7" numFmtId="2" pivotButton="0" quotePrefix="0" xfId="0">
      <alignment horizontal="center"/>
    </xf>
    <xf applyAlignment="1" borderId="1" fillId="0" fontId="7" numFmtId="0" pivotButton="0" quotePrefix="0" xfId="1">
      <alignment horizontal="center"/>
    </xf>
    <xf applyAlignment="1" borderId="0" fillId="0" fontId="7" numFmtId="0" pivotButton="0" quotePrefix="0" xfId="1">
      <alignment horizontal="center"/>
    </xf>
    <xf applyAlignment="1" borderId="1" fillId="0" fontId="7" numFmtId="167" pivotButton="0" quotePrefix="0" xfId="1">
      <alignment horizontal="center"/>
    </xf>
    <xf applyAlignment="1" borderId="1" fillId="0" fontId="2" numFmtId="0" pivotButton="0" quotePrefix="0" xfId="1">
      <alignment horizontal="left"/>
    </xf>
    <xf borderId="0" fillId="0" fontId="39" numFmtId="2" pivotButton="0" quotePrefix="0" xfId="1"/>
    <xf borderId="0" fillId="0" fontId="39" numFmtId="10" pivotButton="0" quotePrefix="0" xfId="1"/>
    <xf borderId="0" fillId="0" fontId="31" numFmtId="0" pivotButton="0" quotePrefix="0" xfId="1"/>
    <xf borderId="0" fillId="0" fontId="39" numFmtId="1" pivotButton="0" quotePrefix="0" xfId="1"/>
    <xf borderId="0" fillId="0" fontId="19" numFmtId="0" pivotButton="0" quotePrefix="0" xfId="1"/>
    <xf borderId="0" fillId="0" fontId="0" numFmtId="0" pivotButton="0" quotePrefix="0" xfId="1"/>
    <xf borderId="0" fillId="0" fontId="16" numFmtId="0" pivotButton="0" quotePrefix="0" xfId="1"/>
    <xf borderId="0" fillId="0" fontId="16" numFmtId="1" pivotButton="0" quotePrefix="0" xfId="1"/>
    <xf borderId="0" fillId="10" fontId="0" numFmtId="0" pivotButton="0" quotePrefix="0" xfId="1"/>
    <xf borderId="0" fillId="0" fontId="31" numFmtId="3" pivotButton="0" quotePrefix="0" xfId="1"/>
    <xf applyAlignment="1" borderId="0" fillId="0" fontId="39" numFmtId="0" pivotButton="0" quotePrefix="0" xfId="1">
      <alignment horizontal="right"/>
    </xf>
    <xf applyAlignment="1" borderId="0" fillId="10" fontId="39" numFmtId="0" pivotButton="0" quotePrefix="0" xfId="1">
      <alignment horizontal="left"/>
    </xf>
    <xf borderId="0" fillId="0" fontId="32" numFmtId="0" pivotButton="0" quotePrefix="0" xfId="1"/>
    <xf borderId="0" fillId="0" fontId="16" numFmtId="40" pivotButton="0" quotePrefix="0" xfId="1"/>
    <xf borderId="0" fillId="0" fontId="33" numFmtId="0" pivotButton="0" quotePrefix="0" xfId="1"/>
    <xf borderId="0" fillId="10" fontId="34" numFmtId="3" pivotButton="0" quotePrefix="0" xfId="1"/>
    <xf borderId="0" fillId="9" fontId="16" numFmtId="0" pivotButton="0" quotePrefix="0" xfId="1"/>
    <xf borderId="0" fillId="0" fontId="16" numFmtId="0" pivotButton="0" quotePrefix="0" xfId="1"/>
    <xf applyAlignment="1" borderId="0" fillId="0" fontId="39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0" fillId="0" fontId="39" numFmtId="0" pivotButton="0" quotePrefix="0" xfId="1">
      <alignment horizontal="center"/>
    </xf>
    <xf applyAlignment="1" borderId="0" fillId="0" fontId="39" numFmtId="0" pivotButton="0" quotePrefix="0" xfId="1">
      <alignment horizontal="center" vertical="center"/>
    </xf>
    <xf applyAlignment="1" borderId="0" fillId="0" fontId="39" numFmtId="0" pivotButton="0" quotePrefix="0" xfId="1">
      <alignment horizontal="center"/>
    </xf>
    <xf applyAlignment="1" borderId="0" fillId="0" fontId="0" numFmtId="0" pivotButton="0" quotePrefix="0" xfId="1">
      <alignment horizontal="center" wrapText="1"/>
    </xf>
    <xf applyAlignment="1" borderId="0" fillId="0" fontId="0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49" pivotButton="0" quotePrefix="0" xfId="1">
      <alignment horizontal="center"/>
    </xf>
    <xf applyAlignment="1" borderId="0" fillId="0" fontId="39" numFmtId="2" pivotButton="0" quotePrefix="0" xfId="1">
      <alignment horizontal="center"/>
    </xf>
    <xf borderId="0" fillId="0" fontId="39" numFmtId="0" pivotButton="0" quotePrefix="0" xfId="1"/>
    <xf applyAlignment="1" borderId="0" fillId="0" fontId="7" numFmtId="164" pivotButton="0" quotePrefix="0" xfId="1">
      <alignment horizontal="right"/>
    </xf>
    <xf borderId="0" fillId="0" fontId="2" numFmtId="0" pivotButton="0" quotePrefix="0" xfId="1"/>
    <xf borderId="0" fillId="17" fontId="39" numFmtId="0" pivotButton="0" quotePrefix="0" xfId="1"/>
    <xf borderId="0" fillId="17" fontId="39" numFmtId="0" pivotButton="0" quotePrefix="0" xfId="1"/>
    <xf applyAlignment="1" borderId="1" fillId="0" fontId="35" numFmtId="0" pivotButton="0" quotePrefix="0" xfId="1">
      <alignment horizontal="center"/>
    </xf>
    <xf borderId="0" fillId="0" fontId="39" numFmtId="164" pivotButton="0" quotePrefix="0" xfId="1"/>
    <xf applyAlignment="1" borderId="1" fillId="0" fontId="6" numFmtId="166" pivotButton="0" quotePrefix="0" xfId="1">
      <alignment horizontal="right"/>
    </xf>
    <xf borderId="1" fillId="0" fontId="6" numFmtId="168" pivotButton="0" quotePrefix="0" xfId="1"/>
    <xf applyAlignment="1" borderId="1" fillId="4" fontId="35" numFmtId="0" pivotButton="0" quotePrefix="0" xfId="1">
      <alignment horizontal="center"/>
    </xf>
    <xf borderId="1" fillId="17" fontId="2" numFmtId="2" pivotButton="0" quotePrefix="0" xfId="1"/>
    <xf borderId="1" fillId="0" fontId="6" numFmtId="4" pivotButton="0" quotePrefix="0" xfId="1"/>
    <xf borderId="1" fillId="5" fontId="6" numFmtId="1" pivotButton="0" quotePrefix="0" xfId="1"/>
    <xf applyAlignment="1" borderId="1" fillId="5" fontId="7" numFmtId="0" pivotButton="0" quotePrefix="0" xfId="1">
      <alignment vertical="center"/>
    </xf>
    <xf applyAlignment="1" borderId="13" fillId="0" fontId="9" numFmtId="0" pivotButton="0" quotePrefix="0" xfId="1">
      <alignment horizontal="right"/>
    </xf>
    <xf borderId="1" fillId="0" fontId="7" numFmtId="168" pivotButton="0" quotePrefix="0" xfId="1"/>
    <xf borderId="1" fillId="5" fontId="7" numFmtId="0" pivotButton="0" quotePrefix="0" xfId="1"/>
    <xf applyAlignment="1" borderId="13" fillId="0" fontId="9" numFmtId="2" pivotButton="0" quotePrefix="0" xfId="1">
      <alignment horizontal="right"/>
    </xf>
    <xf applyAlignment="1" borderId="0" fillId="0" fontId="6" numFmtId="166" pivotButton="0" quotePrefix="0" xfId="1">
      <alignment horizontal="right"/>
    </xf>
    <xf borderId="12" fillId="3" fontId="15" numFmtId="1" pivotButton="0" quotePrefix="0" xfId="1"/>
    <xf borderId="1" fillId="0" fontId="36" numFmtId="2" pivotButton="0" quotePrefix="0" xfId="1"/>
    <xf applyAlignment="1" borderId="1" fillId="5" fontId="35" numFmtId="0" pivotButton="0" quotePrefix="0" xfId="1">
      <alignment horizontal="center"/>
    </xf>
    <xf applyAlignment="1" borderId="0" fillId="6" fontId="6" numFmtId="2" pivotButton="0" quotePrefix="0" xfId="0">
      <alignment horizontal="center"/>
    </xf>
    <xf applyAlignment="1" borderId="0" fillId="0" fontId="6" numFmtId="0" pivotButton="0" quotePrefix="0" xfId="0">
      <alignment horizontal="center"/>
    </xf>
    <xf borderId="12" fillId="3" fontId="7" numFmtId="1" pivotButton="0" quotePrefix="0" xfId="1"/>
    <xf borderId="1" fillId="0" fontId="37" numFmtId="1" pivotButton="0" quotePrefix="0" xfId="1"/>
    <xf borderId="0" fillId="0" fontId="7" numFmtId="3" pivotButton="0" quotePrefix="0" xfId="1"/>
    <xf borderId="1" fillId="0" fontId="37" numFmtId="0" pivotButton="0" quotePrefix="0" xfId="1"/>
    <xf borderId="0" fillId="0" fontId="17" numFmtId="0" pivotButton="0" quotePrefix="0" xfId="1"/>
    <xf borderId="0" fillId="0" fontId="17" numFmtId="2" pivotButton="0" quotePrefix="0" xfId="1"/>
    <xf borderId="1" fillId="0" fontId="6" numFmtId="2" pivotButton="0" quotePrefix="0" xfId="0"/>
    <xf applyAlignment="1" borderId="1" fillId="0" fontId="37" numFmtId="1" pivotButton="0" quotePrefix="0" xfId="1">
      <alignment horizontal="right"/>
    </xf>
    <xf applyAlignment="1" borderId="1" fillId="7" fontId="37" numFmtId="1" pivotButton="0" quotePrefix="0" xfId="1">
      <alignment horizontal="right"/>
    </xf>
    <xf applyAlignment="1" borderId="1" fillId="17" fontId="0" numFmtId="1" pivotButton="0" quotePrefix="0" xfId="1">
      <alignment horizontal="right"/>
    </xf>
    <xf borderId="13" fillId="0" fontId="2" numFmtId="1" pivotButton="0" quotePrefix="0" xfId="1"/>
    <xf borderId="2" fillId="0" fontId="37" numFmtId="0" pivotButton="0" quotePrefix="0" xfId="1"/>
    <xf borderId="1" fillId="7" fontId="38" numFmtId="1" pivotButton="0" quotePrefix="0" xfId="1"/>
    <xf borderId="5" fillId="0" fontId="2" numFmtId="0" pivotButton="0" quotePrefix="0" xfId="1"/>
    <xf applyAlignment="1" borderId="13" fillId="0" fontId="0" numFmtId="0" pivotButton="0" quotePrefix="0" xfId="1">
      <alignment horizontal="center" vertical="center"/>
    </xf>
    <xf applyAlignment="1" borderId="13" fillId="0" fontId="17" numFmtId="0" pivotButton="0" quotePrefix="0" xfId="1">
      <alignment horizontal="center" vertical="center"/>
    </xf>
    <xf applyAlignment="1" borderId="13" fillId="0" fontId="17" numFmtId="0" pivotButton="0" quotePrefix="0" xfId="1">
      <alignment horizontal="center" vertical="center" wrapText="1"/>
    </xf>
    <xf borderId="13" fillId="0" fontId="0" numFmtId="0" pivotButton="0" quotePrefix="0" xfId="1"/>
    <xf borderId="13" fillId="0" fontId="0" numFmtId="2" pivotButton="0" quotePrefix="0" xfId="1"/>
    <xf borderId="13" fillId="0" fontId="17" numFmtId="0" pivotButton="0" quotePrefix="0" xfId="1"/>
    <xf borderId="0" fillId="0" fontId="17" numFmtId="166" pivotButton="0" quotePrefix="0" xfId="1"/>
    <xf borderId="13" fillId="0" fontId="17" numFmtId="2" pivotButton="0" quotePrefix="0" xfId="1"/>
    <xf applyAlignment="1" borderId="13" fillId="0" fontId="17" numFmtId="0" pivotButton="0" quotePrefix="0" xfId="1">
      <alignment wrapText="1"/>
    </xf>
    <xf borderId="13" fillId="0" fontId="17" numFmtId="1" pivotButton="0" quotePrefix="0" xfId="1"/>
    <xf applyAlignment="1" borderId="0" fillId="0" fontId="30" numFmtId="0" pivotButton="0" quotePrefix="0" xfId="1">
      <alignment horizontal="center"/>
    </xf>
    <xf borderId="0" fillId="0" fontId="30" numFmtId="0" pivotButton="0" quotePrefix="0" xfId="1"/>
    <xf applyAlignment="1" borderId="0" fillId="0" fontId="17" numFmtId="0" pivotButton="0" quotePrefix="0" xfId="1">
      <alignment horizontal="center"/>
    </xf>
    <xf borderId="17" fillId="0" fontId="0" numFmtId="0" pivotButton="0" quotePrefix="0" xfId="1"/>
    <xf borderId="18" fillId="0" fontId="17" numFmtId="2" pivotButton="0" quotePrefix="0" xfId="1"/>
    <xf applyAlignment="1" borderId="0" fillId="0" fontId="39" numFmtId="166" pivotButton="0" quotePrefix="0" xfId="1">
      <alignment horizontal="center"/>
    </xf>
    <xf applyAlignment="1" borderId="1" fillId="9" fontId="2" numFmtId="0" pivotButton="0" quotePrefix="0" xfId="1">
      <alignment horizontal="center" textRotation="90"/>
    </xf>
    <xf applyAlignment="1" borderId="1" fillId="0" fontId="1" numFmtId="0" pivotButton="0" quotePrefix="0" xfId="1">
      <alignment horizontal="center" vertical="center" wrapText="1"/>
    </xf>
    <xf applyAlignment="1" borderId="1" fillId="0" fontId="1" numFmtId="0" pivotButton="0" quotePrefix="0" xfId="1">
      <alignment horizontal="center" textRotation="90" vertical="center" wrapText="1"/>
    </xf>
    <xf borderId="0" fillId="0" fontId="39" numFmtId="0" pivotButton="0" quotePrefix="0" xfId="1"/>
    <xf applyAlignment="1" borderId="1" fillId="18" fontId="2" numFmtId="0" pivotButton="0" quotePrefix="0" xfId="1">
      <alignment horizontal="center"/>
    </xf>
    <xf applyAlignment="1" borderId="1" fillId="19" fontId="2" numFmtId="0" pivotButton="0" quotePrefix="0" xfId="1">
      <alignment horizontal="center"/>
    </xf>
    <xf applyAlignment="1" borderId="1" fillId="19" fontId="2" numFmtId="0" pivotButton="0" quotePrefix="0" xfId="1">
      <alignment horizontal="center" vertical="center"/>
    </xf>
    <xf applyAlignment="1" borderId="1" fillId="18" fontId="2" numFmtId="0" pivotButton="0" quotePrefix="0" xfId="1">
      <alignment horizontal="center" vertical="center"/>
    </xf>
    <xf applyAlignment="1" borderId="1" fillId="19" fontId="2" numFmtId="0" pivotButton="0" quotePrefix="0" xfId="1">
      <alignment horizontal="left"/>
    </xf>
    <xf applyAlignment="1" borderId="1" fillId="19" fontId="1" numFmtId="0" pivotButton="0" quotePrefix="0" xfId="1">
      <alignment horizontal="left"/>
    </xf>
    <xf applyAlignment="1" borderId="8" fillId="18" fontId="2" numFmtId="0" pivotButton="0" quotePrefix="0" xfId="1">
      <alignment horizontal="center"/>
    </xf>
    <xf applyAlignment="1" borderId="1" fillId="20" fontId="2" numFmtId="0" pivotButton="0" quotePrefix="0" xfId="1">
      <alignment horizontal="center" vertical="center"/>
    </xf>
    <xf applyAlignment="1" borderId="1" fillId="20" fontId="9" numFmtId="0" pivotButton="0" quotePrefix="0" xfId="1">
      <alignment horizontal="center" vertical="center"/>
    </xf>
    <xf applyAlignment="1" borderId="0" fillId="20" fontId="21" numFmtId="0" pivotButton="0" quotePrefix="0" xfId="1">
      <alignment horizontal="center"/>
    </xf>
    <xf applyAlignment="1" borderId="2" fillId="20" fontId="2" numFmtId="0" pivotButton="0" quotePrefix="0" xfId="1">
      <alignment horizontal="center" vertical="center"/>
    </xf>
    <xf applyAlignment="1" borderId="1" fillId="20" fontId="22" numFmtId="0" pivotButton="0" quotePrefix="0" xfId="1">
      <alignment horizontal="center"/>
    </xf>
    <xf applyAlignment="1" borderId="0" fillId="20" fontId="13" numFmtId="0" pivotButton="0" quotePrefix="0" xfId="1">
      <alignment horizontal="center" vertical="center"/>
    </xf>
    <xf applyAlignment="1" borderId="0" fillId="20" fontId="23" numFmtId="0" pivotButton="0" quotePrefix="0" xfId="1">
      <alignment horizontal="center" vertical="center"/>
    </xf>
    <xf applyAlignment="1" borderId="1" fillId="20" fontId="2" numFmtId="0" pivotButton="0" quotePrefix="0" xfId="1">
      <alignment horizontal="center" vertical="center" wrapText="1"/>
    </xf>
    <xf applyAlignment="1" borderId="1" fillId="20" fontId="2" numFmtId="49" pivotButton="0" quotePrefix="0" xfId="1">
      <alignment horizontal="center" vertical="center"/>
    </xf>
    <xf applyAlignment="1" borderId="11" fillId="20" fontId="2" numFmtId="0" pivotButton="0" quotePrefix="0" xfId="1">
      <alignment horizontal="center" vertical="center"/>
    </xf>
    <xf applyAlignment="1" borderId="8" fillId="20" fontId="2" numFmtId="0" pivotButton="0" quotePrefix="0" xfId="1">
      <alignment horizontal="center" vertical="center"/>
    </xf>
    <xf applyAlignment="1" borderId="1" fillId="5" fontId="6" numFmtId="167" pivotButton="0" quotePrefix="0" xfId="1">
      <alignment horizontal="center"/>
    </xf>
    <xf borderId="0" fillId="0" fontId="0" numFmtId="2" pivotButton="0" quotePrefix="0" xfId="1"/>
    <xf applyAlignment="1" borderId="0" fillId="0" fontId="1" numFmtId="0" pivotButton="0" quotePrefix="0" xfId="1">
      <alignment horizontal="center"/>
    </xf>
    <xf applyAlignment="1" borderId="1" fillId="0" fontId="2" numFmtId="0" pivotButton="0" quotePrefix="0" xfId="1">
      <alignment horizontal="center" vertical="center" wrapText="1"/>
    </xf>
    <xf applyAlignment="1" borderId="1" fillId="0" fontId="2" numFmtId="0" pivotButton="0" quotePrefix="0" xfId="1">
      <alignment horizontal="center" textRotation="90" vertical="center" wrapText="1"/>
    </xf>
    <xf applyAlignment="1" borderId="1" fillId="0" fontId="2" numFmtId="0" pivotButton="0" quotePrefix="0" xfId="1">
      <alignment horizontal="center" vertical="center"/>
    </xf>
    <xf applyAlignment="1" borderId="1" fillId="0" fontId="2" numFmtId="0" pivotButton="0" quotePrefix="0" xfId="0">
      <alignment horizontal="center" textRotation="90" vertical="center" wrapText="1"/>
    </xf>
    <xf applyAlignment="1" borderId="1" fillId="0" fontId="2" numFmtId="0" pivotButton="0" quotePrefix="0" xfId="1">
      <alignment horizontal="center" textRotation="90" vertical="center" wrapText="1"/>
    </xf>
    <xf applyAlignment="1" borderId="1" fillId="0" fontId="2" numFmtId="0" pivotButton="0" quotePrefix="0" xfId="1">
      <alignment horizontal="center"/>
    </xf>
    <xf applyAlignment="1" borderId="1" fillId="0" fontId="6" numFmtId="0" pivotButton="0" quotePrefix="0" xfId="1">
      <alignment horizontal="center" vertical="center" wrapText="1"/>
    </xf>
    <xf applyAlignment="1" borderId="1" fillId="0" fontId="1" numFmtId="0" pivotButton="0" quotePrefix="0" xfId="1">
      <alignment horizontal="center" vertical="center" wrapText="1"/>
    </xf>
    <xf applyAlignment="1" borderId="1" fillId="0" fontId="1" numFmtId="0" pivotButton="0" quotePrefix="0" xfId="1">
      <alignment horizontal="center" textRotation="90" vertical="center" wrapText="1"/>
    </xf>
    <xf applyAlignment="1" borderId="1" fillId="0" fontId="1" numFmtId="0" pivotButton="0" quotePrefix="0" xfId="1">
      <alignment horizontal="center" vertical="center"/>
    </xf>
    <xf applyAlignment="1" borderId="2" fillId="0" fontId="1" numFmtId="0" pivotButton="0" quotePrefix="0" xfId="1">
      <alignment horizontal="center" vertical="center"/>
    </xf>
    <xf applyAlignment="1" borderId="5" fillId="0" fontId="1" numFmtId="0" pivotButton="0" quotePrefix="0" xfId="1">
      <alignment horizontal="center" vertical="center"/>
    </xf>
    <xf applyAlignment="1" borderId="8" fillId="0" fontId="1" numFmtId="0" pivotButton="0" quotePrefix="0" xfId="1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1">
      <alignment horizontal="center" vertical="center" wrapText="1"/>
    </xf>
    <xf applyAlignment="1" borderId="5" fillId="0" fontId="1" numFmtId="0" pivotButton="0" quotePrefix="0" xfId="1">
      <alignment horizontal="center" vertical="center" wrapText="1"/>
    </xf>
    <xf applyAlignment="1" borderId="8" fillId="0" fontId="1" numFmtId="0" pivotButton="0" quotePrefix="0" xfId="1">
      <alignment horizontal="center" vertical="center" wrapText="1"/>
    </xf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2" fillId="0" fontId="0" numFmtId="0" pivotButton="0" quotePrefix="0" xfId="0"/>
    <xf borderId="8" fillId="0" fontId="0" numFmtId="0" pivotButton="0" quotePrefix="0" xfId="0"/>
  </cellXfs>
  <cellStyles count="2">
    <cellStyle builtinId="0" name="Обычный" xfId="0"/>
    <cellStyle name="Excel Built-in Normal" xfId="1"/>
  </cellStyles>
  <dxfs count="2">
    <dxf>
      <font>
        <condense val="0"/>
        <color indexed="16"/>
        <extend val="0"/>
      </font>
      <fill>
        <patternFill patternType="solid">
          <fgColor indexed="47"/>
          <bgColor indexed="31"/>
        </patternFill>
      </fill>
    </dxf>
    <dxf>
      <font>
        <condense val="0"/>
        <color indexed="16"/>
        <extend val="0"/>
      </font>
      <fill>
        <patternFill patternType="solid">
          <fgColor indexed="47"/>
          <bgColor indexed="3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Q8" shapeId="0">
      <text>
        <t>Стоимость реактива по 1-му и 2-му вводам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625"/>
  <sheetViews>
    <sheetView tabSelected="1" workbookViewId="0" zoomScale="115" zoomScaleNormal="115">
      <selection activeCell="C2" sqref="C1:E1048576"/>
    </sheetView>
  </sheetViews>
  <sheetFormatPr baseColWidth="8" defaultColWidth="11.42578125" defaultRowHeight="12.75"/>
  <cols>
    <col customWidth="1" hidden="1" max="1" min="1" outlineLevel="1" style="507" width="11.42578125"/>
    <col customWidth="1" max="2" min="2" style="507" width="7.5703125"/>
    <col customWidth="1" max="3" min="3" style="507" width="33.28515625"/>
    <col customWidth="1" hidden="1" max="4" min="4" outlineLevel="1" style="507" width="14"/>
    <col customWidth="1" max="5" min="5" width="13.28515625"/>
    <col customWidth="1" max="6" min="6" style="507" width="12.28515625"/>
    <col customWidth="1" max="7" min="7" width="10.7109375"/>
    <col customWidth="1" hidden="1" max="30" min="8" outlineLevel="1" style="507" width="8.5703125"/>
    <col customWidth="1" max="16384" min="35" style="507" width="11.42578125"/>
  </cols>
  <sheetData>
    <row r="1">
      <c r="A1" s="528" t="inlineStr">
        <is>
          <t>Расход электрической энергии по ЧП "ТМСИ" за  МАЙ 2020 года</t>
        </is>
      </c>
      <c r="W1" s="2">
        <f>N9+N10</f>
        <v/>
      </c>
      <c r="X1" s="3" t="inlineStr">
        <is>
          <t>Всего ЭЭактивной</t>
        </is>
      </c>
      <c r="Y1" s="4" t="n"/>
      <c r="Z1" s="4" t="n"/>
      <c r="AA1" s="4" t="n"/>
      <c r="AB1" s="4" t="n"/>
    </row>
    <row customHeight="1" ht="15" r="2">
      <c r="A2" s="452" t="n"/>
      <c r="B2" s="452" t="inlineStr">
        <is>
          <t xml:space="preserve">Тариф </t>
        </is>
      </c>
      <c r="C2" s="6">
        <f>1.6732+0.70322</f>
        <v/>
      </c>
      <c r="D2" s="7" t="inlineStr">
        <is>
          <t>Кол-во реакт.</t>
        </is>
      </c>
      <c r="E2" s="8" t="n">
        <v>14057</v>
      </c>
      <c r="F2" s="452" t="inlineStr">
        <is>
          <t>Сумма реак.</t>
        </is>
      </c>
      <c r="G2" s="9" t="n">
        <v>1235.81044346729</v>
      </c>
      <c r="H2" s="452" t="n"/>
      <c r="I2" s="507">
        <f>K9/I9</f>
        <v/>
      </c>
      <c r="J2" s="507" t="n"/>
      <c r="K2" s="452" t="n"/>
      <c r="L2" s="452" t="n"/>
      <c r="M2" s="452" t="n"/>
      <c r="N2" s="507">
        <f>K10/I10</f>
        <v/>
      </c>
      <c r="O2" s="507" t="n"/>
      <c r="P2" s="11" t="n"/>
      <c r="Q2" s="452">
        <f>I2+N2</f>
        <v/>
      </c>
      <c r="R2" s="452" t="n"/>
      <c r="S2" s="452" t="n"/>
      <c r="T2" s="13">
        <f>W10</f>
        <v/>
      </c>
      <c r="U2" s="13" t="n">
        <v>0.095</v>
      </c>
      <c r="V2" s="11" t="n"/>
      <c r="W2" s="2">
        <f>SUM(N14:N18)</f>
        <v/>
      </c>
      <c r="X2" s="3" t="inlineStr">
        <is>
          <t>Субпотребители Акт</t>
        </is>
      </c>
      <c r="Y2" s="11" t="n"/>
      <c r="Z2" s="427" t="n"/>
      <c r="AA2" s="11" t="n"/>
      <c r="AB2" s="11" t="n"/>
    </row>
    <row customHeight="1" ht="12.75" r="3">
      <c r="A3" s="529" t="inlineStr">
        <is>
          <t>№ п/п</t>
        </is>
      </c>
      <c r="B3" s="533" t="inlineStr">
        <is>
          <t>№ комнаты</t>
        </is>
      </c>
      <c r="C3" s="531" t="inlineStr">
        <is>
          <t>Точка учета</t>
        </is>
      </c>
      <c r="D3" s="18" t="n"/>
      <c r="E3" s="533" t="inlineStr">
        <is>
          <t>Настоящие показания, кВт*час.</t>
        </is>
      </c>
      <c r="F3" s="533" t="inlineStr">
        <is>
          <t>Предыдущие показания, кВт*час.</t>
        </is>
      </c>
      <c r="G3" s="532" t="n"/>
      <c r="H3" s="533" t="inlineStr">
        <is>
          <t>Коэффициент трансформации</t>
        </is>
      </c>
      <c r="I3" s="533" t="inlineStr">
        <is>
          <t>ВСЕГО,  кВт*час</t>
        </is>
      </c>
      <c r="J3" s="23" t="n"/>
      <c r="K3" s="533" t="inlineStr">
        <is>
          <t>Потери,   кВт*час</t>
        </is>
      </c>
      <c r="L3" s="21" t="n"/>
      <c r="M3" s="22" t="n"/>
      <c r="N3" s="533" t="inlineStr">
        <is>
          <t>Всего с потерями РЭС</t>
        </is>
      </c>
      <c r="O3" s="23" t="n"/>
      <c r="P3" s="529" t="inlineStr">
        <is>
          <t xml:space="preserve">Кол-во потребленной эл  энергии по Акту </t>
        </is>
      </c>
      <c r="Q3" s="546" t="n"/>
      <c r="R3" s="529" t="inlineStr">
        <is>
          <t>Всего по счетчику и расчету</t>
        </is>
      </c>
      <c r="S3" s="529" t="inlineStr">
        <is>
          <t>Потери общие по зданию</t>
        </is>
      </c>
      <c r="T3" s="535" t="inlineStr">
        <is>
          <t>Всего с потерями</t>
        </is>
      </c>
      <c r="U3" s="529" t="inlineStr">
        <is>
          <t>Всего с учетом реактива</t>
        </is>
      </c>
      <c r="V3" s="533" t="inlineStr">
        <is>
          <t>Площадь помещений, м.кв.</t>
        </is>
      </c>
      <c r="W3" s="2">
        <f>W1-W2</f>
        <v/>
      </c>
      <c r="X3" s="3" t="inlineStr">
        <is>
          <t>Арендат Акт</t>
        </is>
      </c>
      <c r="Y3" s="427" t="n"/>
      <c r="Z3" s="427" t="n"/>
      <c r="AA3" s="427" t="n"/>
      <c r="AB3" s="24" t="n"/>
    </row>
    <row r="4">
      <c r="A4" s="547" t="n"/>
      <c r="B4" s="547" t="n"/>
      <c r="C4" s="547" t="n"/>
      <c r="D4" s="26" t="n"/>
      <c r="E4" s="547" t="n"/>
      <c r="F4" s="547" t="n"/>
      <c r="G4" s="547" t="n"/>
      <c r="H4" s="547" t="n"/>
      <c r="I4" s="547" t="n"/>
      <c r="J4" s="26" t="n"/>
      <c r="K4" s="547" t="n"/>
      <c r="L4" s="27" t="n"/>
      <c r="M4" s="28" t="n"/>
      <c r="N4" s="547" t="n"/>
      <c r="O4" s="26" t="n"/>
      <c r="P4" s="548" t="n"/>
      <c r="Q4" s="549" t="n"/>
      <c r="R4" s="547" t="n"/>
      <c r="S4" s="547" t="n"/>
      <c r="T4" s="547" t="n"/>
      <c r="U4" s="547" t="n"/>
      <c r="V4" s="547" t="n"/>
      <c r="W4" s="2">
        <f>N11+N12</f>
        <v/>
      </c>
      <c r="X4" s="3" t="inlineStr">
        <is>
          <t>Всего реакт</t>
        </is>
      </c>
      <c r="Y4" s="427" t="n"/>
      <c r="Z4" s="427" t="n"/>
      <c r="AA4" s="427" t="n"/>
      <c r="AB4" s="427" t="n"/>
    </row>
    <row r="5">
      <c r="A5" s="547" t="n"/>
      <c r="B5" s="547" t="n"/>
      <c r="C5" s="547" t="n"/>
      <c r="D5" s="30" t="n"/>
      <c r="E5" s="547" t="n"/>
      <c r="F5" s="547" t="n"/>
      <c r="G5" s="547" t="n"/>
      <c r="H5" s="547" t="n"/>
      <c r="I5" s="547" t="n"/>
      <c r="J5" s="26" t="n"/>
      <c r="K5" s="547" t="n"/>
      <c r="L5" s="27" t="n"/>
      <c r="M5" s="28" t="n"/>
      <c r="N5" s="547" t="n"/>
      <c r="O5" s="26" t="n"/>
      <c r="P5" s="550" t="n"/>
      <c r="Q5" s="551" t="n"/>
      <c r="R5" s="547" t="n"/>
      <c r="S5" s="547" t="n"/>
      <c r="T5" s="547" t="n"/>
      <c r="U5" s="547" t="n"/>
      <c r="V5" s="547" t="n"/>
      <c r="W5" s="2">
        <f>W2/W1*W4</f>
        <v/>
      </c>
      <c r="X5" s="3" t="inlineStr">
        <is>
          <t>Субпотреб реакт</t>
        </is>
      </c>
      <c r="Y5" s="427" t="n"/>
      <c r="Z5" s="427" t="n"/>
      <c r="AA5" s="146">
        <f>W3</f>
        <v/>
      </c>
      <c r="AB5" s="452">
        <f>((W8/W4)*(W4-W5))/C2+AA5</f>
        <v/>
      </c>
    </row>
    <row r="6">
      <c r="A6" s="547" t="n"/>
      <c r="B6" s="547" t="n"/>
      <c r="C6" s="547" t="n"/>
      <c r="D6" s="30" t="n"/>
      <c r="E6" s="547" t="n"/>
      <c r="F6" s="547" t="n"/>
      <c r="G6" s="547" t="n"/>
      <c r="H6" s="547" t="n"/>
      <c r="I6" s="547" t="n"/>
      <c r="J6" s="26" t="n"/>
      <c r="K6" s="547" t="n"/>
      <c r="L6" s="27" t="n"/>
      <c r="M6" s="28" t="n"/>
      <c r="N6" s="547" t="n"/>
      <c r="O6" s="26" t="n"/>
      <c r="P6" s="534" t="inlineStr">
        <is>
          <t>кВт * час</t>
        </is>
      </c>
      <c r="Q6" s="552" t="n"/>
      <c r="R6" s="547" t="n"/>
      <c r="S6" s="547" t="n"/>
      <c r="T6" s="547" t="n"/>
      <c r="U6" s="547" t="n"/>
      <c r="V6" s="547" t="n"/>
      <c r="W6" s="33">
        <f>W4-W5</f>
        <v/>
      </c>
      <c r="X6" s="3" t="inlineStr">
        <is>
          <t>Арендаторы реакт</t>
        </is>
      </c>
      <c r="Y6" s="427" t="n"/>
      <c r="Z6" s="427" t="n"/>
      <c r="AA6" s="427" t="n"/>
      <c r="AB6" s="24" t="n"/>
    </row>
    <row r="7">
      <c r="A7" s="553" t="n"/>
      <c r="B7" s="553" t="n"/>
      <c r="C7" s="553" t="n"/>
      <c r="D7" s="34" t="n"/>
      <c r="E7" s="553" t="n"/>
      <c r="F7" s="553" t="n"/>
      <c r="G7" s="553" t="n"/>
      <c r="H7" s="553" t="n"/>
      <c r="I7" s="553" t="n"/>
      <c r="J7" s="38" t="n"/>
      <c r="K7" s="553" t="n"/>
      <c r="L7" s="36" t="n"/>
      <c r="M7" s="37" t="n"/>
      <c r="N7" s="553" t="n"/>
      <c r="O7" s="38" t="n"/>
      <c r="P7" s="534" t="inlineStr">
        <is>
          <t>Лето</t>
        </is>
      </c>
      <c r="Q7" s="534" t="inlineStr">
        <is>
          <t>Зима</t>
        </is>
      </c>
      <c r="R7" s="553" t="n"/>
      <c r="S7" s="553" t="n"/>
      <c r="T7" s="553" t="n"/>
      <c r="U7" s="553" t="n"/>
      <c r="V7" s="553" t="n"/>
      <c r="W7" s="39">
        <f>C2</f>
        <v/>
      </c>
      <c r="X7" s="3" t="inlineStr">
        <is>
          <t>Стоимость акт</t>
        </is>
      </c>
      <c r="Y7" s="427" t="n"/>
      <c r="Z7" s="427" t="n"/>
      <c r="AA7" s="427" t="n"/>
      <c r="AB7" s="427" t="n"/>
    </row>
    <row r="8">
      <c r="A8" s="534" t="n">
        <v>1</v>
      </c>
      <c r="B8" s="534" t="n">
        <v>2</v>
      </c>
      <c r="C8" s="534" t="n">
        <v>3</v>
      </c>
      <c r="D8" s="534" t="n"/>
      <c r="E8" s="534" t="n">
        <v>4</v>
      </c>
      <c r="F8" s="534" t="n">
        <v>5</v>
      </c>
      <c r="G8" s="40" t="n">
        <v>6</v>
      </c>
      <c r="H8" s="534" t="n">
        <v>7</v>
      </c>
      <c r="I8" s="42" t="n">
        <v>8</v>
      </c>
      <c r="J8" s="42" t="n"/>
      <c r="K8" s="42" t="n">
        <v>9</v>
      </c>
      <c r="L8" s="42" t="n"/>
      <c r="M8" s="42" t="n"/>
      <c r="N8" s="534" t="n">
        <v>10</v>
      </c>
      <c r="O8" s="534" t="n"/>
      <c r="P8" s="534" t="n">
        <v>11</v>
      </c>
      <c r="Q8" s="534" t="n">
        <v>12</v>
      </c>
      <c r="R8" s="534" t="n"/>
      <c r="S8" s="534" t="n"/>
      <c r="T8" s="93" t="n"/>
      <c r="U8" s="534" t="n"/>
      <c r="V8" s="534" t="n">
        <v>17</v>
      </c>
      <c r="W8" s="44">
        <f>Субпотребители!L38</f>
        <v/>
      </c>
      <c r="X8" s="3" t="inlineStr">
        <is>
          <t>Стоимость реакт всего</t>
        </is>
      </c>
      <c r="Y8" s="427" t="n"/>
      <c r="Z8" s="427" t="n"/>
      <c r="AA8" s="427" t="n"/>
      <c r="AB8" s="427" t="n"/>
    </row>
    <row r="9">
      <c r="A9" s="534" t="n">
        <v>1</v>
      </c>
      <c r="B9" s="418" t="inlineStr">
        <is>
          <t>1А</t>
        </is>
      </c>
      <c r="C9" s="46" t="inlineStr">
        <is>
          <t>ТМСИ</t>
        </is>
      </c>
      <c r="D9" s="46" t="n"/>
      <c r="E9" s="47" t="inlineStr"/>
      <c r="F9" s="47" t="n">
        <v>26870.1</v>
      </c>
      <c r="G9" s="48">
        <f>E9-F9</f>
        <v/>
      </c>
      <c r="H9" s="49" t="n">
        <v>200</v>
      </c>
      <c r="I9" s="184">
        <f>G9*H9</f>
        <v/>
      </c>
      <c r="J9" s="255" t="n"/>
      <c r="K9" s="52">
        <f>1714+73</f>
        <v/>
      </c>
      <c r="L9" s="53" t="n"/>
      <c r="M9" s="53" t="n"/>
      <c r="N9" s="54">
        <f>I9+K9</f>
        <v/>
      </c>
      <c r="O9" s="55" t="n"/>
      <c r="P9" s="255" t="n"/>
      <c r="Q9" s="255" t="n"/>
      <c r="R9" s="184" t="n"/>
      <c r="S9" s="255" t="n"/>
      <c r="T9" s="123">
        <f>N9</f>
        <v/>
      </c>
      <c r="U9" s="255" t="n"/>
      <c r="V9" s="255" t="n"/>
      <c r="W9" s="57">
        <f>W8/W1</f>
        <v/>
      </c>
      <c r="X9" s="3" t="inlineStr">
        <is>
          <t>грн. За 1 кВат актив</t>
        </is>
      </c>
      <c r="Y9" s="427" t="n"/>
      <c r="Z9" s="427" t="n"/>
      <c r="AA9" s="2" t="n"/>
      <c r="AB9" s="427" t="n"/>
    </row>
    <row r="10">
      <c r="A10" s="534" t="n">
        <v>2</v>
      </c>
      <c r="B10" s="418" t="inlineStr">
        <is>
          <t>2А</t>
        </is>
      </c>
      <c r="C10" s="58" t="inlineStr">
        <is>
          <t>ТМСИ</t>
        </is>
      </c>
      <c r="D10" s="58" t="n"/>
      <c r="E10" s="47" t="inlineStr"/>
      <c r="F10" s="47" t="n">
        <v>28622.9</v>
      </c>
      <c r="G10" s="48">
        <f>E10-F10</f>
        <v/>
      </c>
      <c r="H10" s="49" t="n">
        <v>200</v>
      </c>
      <c r="I10" s="184">
        <f>G10*H10</f>
        <v/>
      </c>
      <c r="J10" s="255" t="n"/>
      <c r="K10" s="59">
        <f>1368+36</f>
        <v/>
      </c>
      <c r="L10" s="60" t="n"/>
      <c r="M10" s="60" t="n"/>
      <c r="N10" s="54">
        <f>I10+K10</f>
        <v/>
      </c>
      <c r="O10" s="55" t="n"/>
      <c r="P10" s="255" t="n"/>
      <c r="Q10" s="255" t="n"/>
      <c r="R10" s="255" t="n"/>
      <c r="S10" s="255" t="n"/>
      <c r="T10" s="123">
        <f>N10</f>
        <v/>
      </c>
      <c r="U10" s="255" t="n"/>
      <c r="V10" s="255" t="n"/>
      <c r="W10" s="57">
        <f>(AB5-AA5)/AB5+0.005</f>
        <v/>
      </c>
      <c r="X10" s="3" t="inlineStr">
        <is>
          <t>Процент увел акт на реакт</t>
        </is>
      </c>
      <c r="Y10" s="427" t="n"/>
      <c r="Z10" s="427" t="n"/>
      <c r="AA10" s="153" t="n"/>
      <c r="AB10" s="427" t="n"/>
    </row>
    <row r="11">
      <c r="A11" s="534" t="n">
        <v>3</v>
      </c>
      <c r="B11" s="418" t="inlineStr">
        <is>
          <t>1Р</t>
        </is>
      </c>
      <c r="C11" s="119" t="inlineStr">
        <is>
          <t>ТМСИ — реактив</t>
        </is>
      </c>
      <c r="D11" s="119" t="n"/>
      <c r="E11" s="47" t="inlineStr"/>
      <c r="F11" s="47" t="n">
        <v>8156.004</v>
      </c>
      <c r="G11" s="48">
        <f>E11-F11</f>
        <v/>
      </c>
      <c r="H11" s="49" t="n">
        <v>200</v>
      </c>
      <c r="I11" s="184">
        <f>G11*H11</f>
        <v/>
      </c>
      <c r="J11" s="255" t="n"/>
      <c r="K11" s="63" t="n"/>
      <c r="L11" s="60" t="n"/>
      <c r="M11" s="60" t="n"/>
      <c r="N11" s="54">
        <f>I11</f>
        <v/>
      </c>
      <c r="O11" s="55" t="n"/>
      <c r="P11" s="255" t="n"/>
      <c r="Q11" s="255" t="n"/>
      <c r="R11" s="255" t="n"/>
      <c r="S11" s="255" t="n"/>
      <c r="T11" s="123">
        <f>N11</f>
        <v/>
      </c>
      <c r="U11" s="255" t="n"/>
      <c r="V11" s="255" t="n"/>
      <c r="W11" s="64" t="n"/>
      <c r="X11" s="452" t="n"/>
      <c r="Y11" s="427" t="n"/>
      <c r="Z11" s="427" t="n"/>
      <c r="AA11" s="153" t="n"/>
      <c r="AB11" s="427" t="n"/>
    </row>
    <row r="12">
      <c r="A12" s="534" t="n">
        <v>4</v>
      </c>
      <c r="B12" s="418" t="inlineStr">
        <is>
          <t>2Р</t>
        </is>
      </c>
      <c r="C12" s="119" t="inlineStr">
        <is>
          <t>ТМСИ — реактив</t>
        </is>
      </c>
      <c r="D12" s="119" t="n"/>
      <c r="E12" s="47" t="inlineStr"/>
      <c r="F12" s="47" t="n">
        <v>5316.972</v>
      </c>
      <c r="G12" s="48">
        <f>E12-F12</f>
        <v/>
      </c>
      <c r="H12" s="49" t="n">
        <v>200</v>
      </c>
      <c r="I12" s="184">
        <f>G12*H12</f>
        <v/>
      </c>
      <c r="J12" s="255" t="n"/>
      <c r="K12" s="66" t="n"/>
      <c r="L12" s="255" t="n"/>
      <c r="M12" s="255" t="n"/>
      <c r="N12" s="54">
        <f>I12</f>
        <v/>
      </c>
      <c r="O12" s="55" t="n"/>
      <c r="P12" s="255" t="n"/>
      <c r="Q12" s="255" t="n"/>
      <c r="R12" s="255" t="n"/>
      <c r="S12" s="255" t="n"/>
      <c r="T12" s="123">
        <f>N12</f>
        <v/>
      </c>
      <c r="U12" s="255" t="n"/>
      <c r="V12" s="255" t="n"/>
      <c r="W12" s="64" t="n"/>
      <c r="X12" s="452" t="n"/>
      <c r="Y12" s="427" t="n"/>
      <c r="Z12" s="427" t="n"/>
      <c r="AA12" s="67" t="n"/>
      <c r="AB12" s="427" t="n"/>
    </row>
    <row r="13">
      <c r="A13" s="534" t="n"/>
      <c r="B13" s="534" t="n"/>
      <c r="C13" s="68" t="inlineStr">
        <is>
          <t>Субпотребители:</t>
        </is>
      </c>
      <c r="D13" s="68" t="n"/>
      <c r="E13" s="69" t="inlineStr"/>
      <c r="F13" s="69" t="n"/>
      <c r="G13" s="48" t="n"/>
      <c r="H13" s="93" t="n"/>
      <c r="I13" s="70" t="n"/>
      <c r="J13" s="71" t="n"/>
      <c r="K13" s="72">
        <f>SUM(K14:K18)</f>
        <v/>
      </c>
      <c r="L13" s="73" t="n"/>
      <c r="M13" s="73" t="n"/>
      <c r="N13" s="74" t="n"/>
      <c r="O13" s="75" t="n"/>
      <c r="P13" s="255" t="n"/>
      <c r="Q13" s="255" t="n"/>
      <c r="R13" s="255" t="n"/>
      <c r="S13" s="255" t="n"/>
      <c r="T13" s="123" t="n"/>
      <c r="U13" s="255" t="n"/>
      <c r="V13" s="255" t="n"/>
      <c r="W13" s="64" t="n"/>
      <c r="X13" s="452" t="n"/>
      <c r="Y13" s="452" t="n"/>
      <c r="Z13" s="452" t="n"/>
      <c r="AA13" s="153" t="n"/>
      <c r="AB13" s="427" t="n"/>
    </row>
    <row r="14">
      <c r="A14" s="534" t="n"/>
      <c r="B14" s="418" t="inlineStr">
        <is>
          <t>1А</t>
        </is>
      </c>
      <c r="C14" s="76" t="inlineStr">
        <is>
          <t>Инжпроект</t>
        </is>
      </c>
      <c r="D14" s="77" t="n"/>
      <c r="E14" s="78" t="inlineStr"/>
      <c r="F14" s="78" t="n">
        <v>31020.18</v>
      </c>
      <c r="G14" s="79">
        <f>E14-F14</f>
        <v/>
      </c>
      <c r="H14" s="93" t="n">
        <v>40</v>
      </c>
      <c r="I14" s="80">
        <f>G14*H14</f>
        <v/>
      </c>
      <c r="J14" s="80" t="n"/>
      <c r="K14" s="94">
        <f>439+16</f>
        <v/>
      </c>
      <c r="L14" s="184" t="n"/>
      <c r="M14" s="184" t="n"/>
      <c r="N14" s="54">
        <f>I14+K14</f>
        <v/>
      </c>
      <c r="O14" s="55" t="n"/>
      <c r="P14" s="262" t="n"/>
      <c r="Q14" s="255" t="n"/>
      <c r="R14" s="255" t="n"/>
      <c r="S14" s="255" t="n"/>
      <c r="T14" s="123">
        <f>N14</f>
        <v/>
      </c>
      <c r="U14" s="255" t="n"/>
      <c r="V14" s="83" t="n"/>
      <c r="W14" s="84" t="n"/>
      <c r="X14" s="146" t="n"/>
      <c r="Y14" s="146" t="n"/>
      <c r="Z14" s="452" t="n"/>
      <c r="AA14" s="427" t="n"/>
      <c r="AB14" s="427" t="n"/>
    </row>
    <row r="15">
      <c r="A15" s="534" t="n"/>
      <c r="B15" s="418" t="inlineStr">
        <is>
          <t>2А</t>
        </is>
      </c>
      <c r="C15" s="58" t="inlineStr">
        <is>
          <t>Инжпроект</t>
        </is>
      </c>
      <c r="D15" s="58" t="n"/>
      <c r="E15" s="91" t="inlineStr"/>
      <c r="F15" s="91" t="n">
        <v>70915.05</v>
      </c>
      <c r="G15" s="92">
        <f>E15-F15</f>
        <v/>
      </c>
      <c r="H15" s="93" t="n">
        <v>40</v>
      </c>
      <c r="I15" s="80">
        <f>G15*H15</f>
        <v/>
      </c>
      <c r="J15" s="80" t="n"/>
      <c r="K15" s="94">
        <f>557+20</f>
        <v/>
      </c>
      <c r="L15" s="184" t="n"/>
      <c r="M15" s="184" t="n"/>
      <c r="N15" s="54">
        <f>I15+K15</f>
        <v/>
      </c>
      <c r="O15" s="55" t="n"/>
      <c r="P15" s="255" t="n"/>
      <c r="Q15" s="255" t="n"/>
      <c r="R15" s="255" t="n"/>
      <c r="S15" s="255" t="n"/>
      <c r="T15" s="123">
        <f>N15</f>
        <v/>
      </c>
      <c r="U15" s="255" t="n"/>
      <c r="V15" s="83" t="n"/>
      <c r="W15" s="84" t="n"/>
      <c r="X15" s="146" t="n"/>
      <c r="Y15" s="146" t="n"/>
      <c r="Z15" s="427" t="n"/>
      <c r="AA15" s="88" t="n"/>
      <c r="AB15" s="427" t="n"/>
    </row>
    <row r="16">
      <c r="A16" s="534" t="n"/>
      <c r="B16" s="418" t="inlineStr">
        <is>
          <t>1А</t>
        </is>
      </c>
      <c r="C16" s="90" t="inlineStr">
        <is>
          <t>БИЗНЕС-БИРЖА установленный счетчик</t>
        </is>
      </c>
      <c r="D16" s="90" t="inlineStr">
        <is>
          <t>№01926096</t>
        </is>
      </c>
      <c r="E16" s="91" t="inlineStr"/>
      <c r="F16" s="91" t="n">
        <v>266536.34</v>
      </c>
      <c r="G16" s="92">
        <f>E16-F16</f>
        <v/>
      </c>
      <c r="H16" s="93" t="n">
        <v>1</v>
      </c>
      <c r="I16" s="80">
        <f>G16*H16</f>
        <v/>
      </c>
      <c r="J16" s="80" t="n"/>
      <c r="K16" s="94">
        <f>39+40</f>
        <v/>
      </c>
      <c r="L16" s="184" t="n"/>
      <c r="M16" s="184" t="n"/>
      <c r="N16" s="54">
        <f>I16+K16</f>
        <v/>
      </c>
      <c r="O16" s="55" t="n"/>
      <c r="P16" s="255" t="n"/>
      <c r="Q16" s="255" t="n"/>
      <c r="R16" s="255" t="n"/>
      <c r="S16" s="255" t="n"/>
      <c r="T16" s="123">
        <f>N16</f>
        <v/>
      </c>
      <c r="U16" s="255" t="n"/>
      <c r="V16" s="255" t="n"/>
      <c r="W16" s="84" t="n"/>
      <c r="X16" s="146" t="n"/>
      <c r="Y16" s="67" t="n"/>
      <c r="Z16" s="427" t="n"/>
      <c r="AA16" s="88" t="n"/>
      <c r="AB16" s="427" t="n"/>
    </row>
    <row r="17">
      <c r="A17" s="534" t="n">
        <v>7</v>
      </c>
      <c r="B17" s="419" t="inlineStr">
        <is>
          <t>1А</t>
        </is>
      </c>
      <c r="C17" s="96" t="inlineStr">
        <is>
          <t>РАМАН</t>
        </is>
      </c>
      <c r="D17" s="96" t="n"/>
      <c r="E17" s="91" t="inlineStr"/>
      <c r="F17" s="91" t="n">
        <v>40723.22</v>
      </c>
      <c r="G17" s="97">
        <f>E17-F17</f>
        <v/>
      </c>
      <c r="H17" s="93" t="n">
        <v>40</v>
      </c>
      <c r="I17" s="80">
        <f>G17*H17</f>
        <v/>
      </c>
      <c r="J17" s="80" t="n"/>
      <c r="K17" s="94">
        <f>317+11</f>
        <v/>
      </c>
      <c r="L17" s="184" t="n"/>
      <c r="M17" s="184" t="n"/>
      <c r="N17" s="54">
        <f>I17+K17</f>
        <v/>
      </c>
      <c r="O17" s="55" t="n"/>
      <c r="P17" s="255" t="n"/>
      <c r="Q17" s="255" t="n"/>
      <c r="R17" s="255" t="n"/>
      <c r="S17" s="255" t="n"/>
      <c r="T17" s="123">
        <f>N17</f>
        <v/>
      </c>
      <c r="U17" s="255" t="n"/>
      <c r="V17" s="83" t="n"/>
      <c r="W17" s="84" t="n"/>
      <c r="X17" s="146" t="n"/>
      <c r="Y17" s="67" t="n"/>
      <c r="Z17" s="427" t="n"/>
      <c r="AA17" s="88" t="n"/>
      <c r="AB17" s="427" t="n"/>
    </row>
    <row r="18">
      <c r="A18" s="534" t="n"/>
      <c r="B18" s="418" t="inlineStr">
        <is>
          <t>2А</t>
        </is>
      </c>
      <c r="C18" s="90" t="inlineStr">
        <is>
          <t>РАМАН</t>
        </is>
      </c>
      <c r="D18" s="90" t="n"/>
      <c r="E18" s="91" t="inlineStr"/>
      <c r="F18" s="91" t="n">
        <v>16293.45</v>
      </c>
      <c r="G18" s="98">
        <f>E18-F18</f>
        <v/>
      </c>
      <c r="H18" s="93" t="n">
        <v>40</v>
      </c>
      <c r="I18" s="80">
        <f>G18*H18</f>
        <v/>
      </c>
      <c r="J18" s="80" t="n"/>
      <c r="K18" s="94">
        <f>120+4</f>
        <v/>
      </c>
      <c r="L18" s="184" t="n"/>
      <c r="M18" s="184" t="n"/>
      <c r="N18" s="54">
        <f>I18+K18</f>
        <v/>
      </c>
      <c r="O18" s="55" t="n"/>
      <c r="P18" s="255" t="n"/>
      <c r="Q18" s="255" t="n"/>
      <c r="R18" s="255" t="n"/>
      <c r="S18" s="255" t="n"/>
      <c r="T18" s="123">
        <f>N18</f>
        <v/>
      </c>
      <c r="U18" s="255" t="n"/>
      <c r="V18" s="83" t="n"/>
      <c r="W18" s="84" t="n"/>
      <c r="X18" s="146" t="n"/>
      <c r="Y18" s="153" t="n"/>
      <c r="Z18" s="427" t="n"/>
      <c r="AA18" s="88" t="n"/>
      <c r="AB18" s="427" t="n"/>
    </row>
    <row r="19">
      <c r="A19" s="534" t="n"/>
      <c r="B19" s="418" t="inlineStr">
        <is>
          <t>1Р</t>
        </is>
      </c>
      <c r="C19" s="58" t="inlineStr">
        <is>
          <t>Инжпроект — реактив</t>
        </is>
      </c>
      <c r="D19" s="99" t="n"/>
      <c r="E19" s="100" t="inlineStr"/>
      <c r="F19" s="100" t="n">
        <v>9266.879999999999</v>
      </c>
      <c r="G19" s="101">
        <f>E19-F19</f>
        <v/>
      </c>
      <c r="H19" s="93" t="n">
        <v>40</v>
      </c>
      <c r="I19" s="184">
        <f>G19*H19</f>
        <v/>
      </c>
      <c r="J19" s="80" t="n"/>
      <c r="K19" s="184" t="n"/>
      <c r="L19" s="184" t="n"/>
      <c r="M19" s="184" t="n"/>
      <c r="N19" s="54">
        <f>I19</f>
        <v/>
      </c>
      <c r="O19" s="55" t="n"/>
      <c r="P19" s="255" t="n"/>
      <c r="Q19" s="255" t="n"/>
      <c r="R19" s="255" t="n"/>
      <c r="S19" s="255" t="n"/>
      <c r="T19" s="123">
        <f>N19</f>
        <v/>
      </c>
      <c r="U19" s="255" t="n"/>
      <c r="V19" s="83" t="n"/>
      <c r="W19" s="84" t="n"/>
      <c r="X19" s="146" t="n"/>
      <c r="Y19" s="153" t="n"/>
      <c r="Z19" s="427" t="n"/>
      <c r="AA19" s="88" t="n"/>
      <c r="AB19" s="427" t="n"/>
    </row>
    <row r="20">
      <c r="A20" s="534" t="n"/>
      <c r="B20" s="418" t="inlineStr">
        <is>
          <t>2Р</t>
        </is>
      </c>
      <c r="C20" s="58" t="inlineStr">
        <is>
          <t>Инжпроект — реактив</t>
        </is>
      </c>
      <c r="D20" s="58" t="n"/>
      <c r="E20" s="102" t="inlineStr"/>
      <c r="F20" s="102" t="n">
        <v>20822.01</v>
      </c>
      <c r="G20" s="101">
        <f>E20-F20</f>
        <v/>
      </c>
      <c r="H20" s="93" t="n">
        <v>40</v>
      </c>
      <c r="I20" s="184">
        <f>G20*H20</f>
        <v/>
      </c>
      <c r="J20" s="80" t="n"/>
      <c r="K20" s="184" t="n"/>
      <c r="L20" s="184" t="n"/>
      <c r="M20" s="184" t="n"/>
      <c r="N20" s="54">
        <f>I20</f>
        <v/>
      </c>
      <c r="O20" s="55" t="n"/>
      <c r="P20" s="255" t="n"/>
      <c r="Q20" s="255" t="n"/>
      <c r="R20" s="255" t="n"/>
      <c r="S20" s="255" t="n"/>
      <c r="T20" s="123">
        <f>N20</f>
        <v/>
      </c>
      <c r="U20" s="255" t="n"/>
      <c r="V20" s="83" t="n"/>
      <c r="W20" s="84" t="n"/>
      <c r="X20" s="146" t="n"/>
      <c r="Y20" s="153" t="n"/>
      <c r="Z20" s="427" t="n"/>
      <c r="AA20" s="88" t="n"/>
      <c r="AB20" s="427" t="n"/>
    </row>
    <row r="21">
      <c r="A21" s="534" t="n"/>
      <c r="B21" s="418" t="inlineStr">
        <is>
          <t>1Р</t>
        </is>
      </c>
      <c r="C21" s="58" t="inlineStr">
        <is>
          <t>РАМАН — реактив</t>
        </is>
      </c>
      <c r="D21" s="58" t="n"/>
      <c r="E21" s="102" t="inlineStr"/>
      <c r="F21" s="102" t="n">
        <v>29311.42</v>
      </c>
      <c r="G21" s="101">
        <f>E21-F21</f>
        <v/>
      </c>
      <c r="H21" s="93" t="n">
        <v>40</v>
      </c>
      <c r="I21" s="184">
        <f>G21*H21</f>
        <v/>
      </c>
      <c r="J21" s="80" t="n"/>
      <c r="K21" s="184" t="n"/>
      <c r="L21" s="184" t="n"/>
      <c r="M21" s="184" t="n"/>
      <c r="N21" s="54">
        <f>I21</f>
        <v/>
      </c>
      <c r="O21" s="55" t="n"/>
      <c r="P21" s="255" t="n"/>
      <c r="Q21" s="255" t="n"/>
      <c r="R21" s="255" t="n"/>
      <c r="S21" s="255" t="n"/>
      <c r="T21" s="123">
        <f>N21</f>
        <v/>
      </c>
      <c r="U21" s="255" t="n"/>
      <c r="V21" s="83" t="n"/>
      <c r="W21" s="84" t="n"/>
      <c r="X21" s="146" t="n"/>
      <c r="Y21" s="153" t="n"/>
      <c r="Z21" s="427" t="n"/>
      <c r="AA21" s="88" t="n"/>
      <c r="AB21" s="427" t="n"/>
    </row>
    <row r="22">
      <c r="A22" s="534" t="n"/>
      <c r="B22" s="418" t="inlineStr">
        <is>
          <t>2Р</t>
        </is>
      </c>
      <c r="C22" s="58" t="inlineStr">
        <is>
          <t>РАМАН — реактив</t>
        </is>
      </c>
      <c r="D22" s="58" t="n"/>
      <c r="E22" s="102" t="inlineStr"/>
      <c r="F22" s="102" t="n">
        <v>3940.82</v>
      </c>
      <c r="G22" s="101">
        <f>E22-F22</f>
        <v/>
      </c>
      <c r="H22" s="93" t="n">
        <v>40</v>
      </c>
      <c r="I22" s="184">
        <f>G22*H22</f>
        <v/>
      </c>
      <c r="J22" s="80" t="n"/>
      <c r="K22" s="184" t="n"/>
      <c r="L22" s="184" t="n"/>
      <c r="M22" s="184" t="n"/>
      <c r="N22" s="54">
        <f>I22</f>
        <v/>
      </c>
      <c r="O22" s="55" t="n"/>
      <c r="P22" s="255" t="n"/>
      <c r="Q22" s="255" t="n"/>
      <c r="R22" s="255" t="n"/>
      <c r="S22" s="255" t="n"/>
      <c r="T22" s="123">
        <f>N22</f>
        <v/>
      </c>
      <c r="U22" s="255" t="n"/>
      <c r="V22" s="83" t="n"/>
      <c r="W22" s="84" t="n"/>
      <c r="X22" s="146" t="n"/>
      <c r="Y22" s="153" t="n"/>
      <c r="Z22" s="427" t="n"/>
      <c r="AA22" s="88" t="n"/>
      <c r="AB22" s="427" t="n"/>
    </row>
    <row r="23">
      <c r="A23" s="534" t="n"/>
      <c r="B23" s="418" t="inlineStr">
        <is>
          <t>1Р</t>
        </is>
      </c>
      <c r="C23" s="58" t="inlineStr">
        <is>
          <t>БИЗНЕС-БИРЖА — реактив</t>
        </is>
      </c>
      <c r="D23" s="58" t="n"/>
      <c r="E23" s="103" t="inlineStr"/>
      <c r="F23" s="103" t="n"/>
      <c r="G23" s="104" t="n"/>
      <c r="H23" s="93" t="n">
        <v>1</v>
      </c>
      <c r="I23" s="80" t="n"/>
      <c r="J23" s="105" t="n"/>
      <c r="K23" s="73" t="n"/>
      <c r="L23" s="73" t="n"/>
      <c r="M23" s="73" t="n"/>
      <c r="N23" s="55" t="n"/>
      <c r="O23" s="55" t="n"/>
      <c r="P23" s="255" t="n"/>
      <c r="Q23" s="255" t="n"/>
      <c r="R23" s="255" t="n"/>
      <c r="S23" s="255" t="n"/>
      <c r="T23" s="123" t="n"/>
      <c r="U23" s="255" t="n"/>
      <c r="V23" s="83" t="n"/>
      <c r="W23" s="84" t="n"/>
      <c r="X23" s="146" t="n"/>
      <c r="Y23" s="153" t="n"/>
      <c r="Z23" s="427" t="n"/>
      <c r="AA23" s="88" t="n"/>
      <c r="AB23" s="427" t="n"/>
    </row>
    <row r="24">
      <c r="A24" s="106" t="n"/>
      <c r="B24" s="107" t="n"/>
      <c r="C24" s="108" t="inlineStr">
        <is>
          <t>Расходы ТМСИ без субпотребителей</t>
        </is>
      </c>
      <c r="D24" s="108" t="n"/>
      <c r="E24" s="109" t="inlineStr"/>
      <c r="F24" s="109" t="n"/>
      <c r="G24" s="110" t="n"/>
      <c r="H24" s="111" t="n"/>
      <c r="I24" s="112">
        <f>I9+I10-I14-I15-I16-I17-I18</f>
        <v/>
      </c>
      <c r="J24" s="113" t="n"/>
      <c r="K24" s="114" t="n"/>
      <c r="L24" s="114" t="n"/>
      <c r="M24" s="114" t="n"/>
      <c r="N24" s="112">
        <f>N9+N10-N14-N15-N17-N18-N16</f>
        <v/>
      </c>
      <c r="O24" s="112" t="n"/>
      <c r="P24" s="115" t="n"/>
      <c r="Q24" s="116" t="n"/>
      <c r="R24" s="116" t="n"/>
      <c r="S24" s="116" t="n"/>
      <c r="T24" s="117">
        <f>W8/C2+N24</f>
        <v/>
      </c>
      <c r="U24" s="116" t="n"/>
      <c r="V24" s="118" t="n"/>
      <c r="W24" s="84" t="n"/>
      <c r="X24" s="146" t="n"/>
      <c r="Y24" s="153" t="n"/>
      <c r="Z24" s="427" t="n"/>
      <c r="AA24" s="88" t="n"/>
      <c r="AB24" s="427" t="n"/>
    </row>
    <row r="25">
      <c r="A25" s="534" t="n"/>
      <c r="B25" s="418" t="n"/>
      <c r="C25" s="119" t="inlineStr">
        <is>
          <t>Корпус А</t>
        </is>
      </c>
      <c r="D25" s="119" t="n"/>
      <c r="E25" s="120" t="inlineStr"/>
      <c r="F25" s="526" t="n">
        <v>26318.9</v>
      </c>
      <c r="G25" s="121">
        <f>E25-F25</f>
        <v/>
      </c>
      <c r="H25" s="122" t="n">
        <v>40</v>
      </c>
      <c r="I25" s="123">
        <f>G25*H25</f>
        <v/>
      </c>
      <c r="J25" s="123" t="n"/>
      <c r="K25" s="123" t="n"/>
      <c r="L25" s="123" t="n"/>
      <c r="M25" s="123" t="n"/>
      <c r="N25" s="55" t="n"/>
      <c r="O25" s="55" t="n"/>
      <c r="P25" s="255" t="n"/>
      <c r="Q25" s="255" t="n"/>
      <c r="R25" s="255" t="n"/>
      <c r="S25" s="255" t="n"/>
      <c r="T25" s="123" t="n"/>
      <c r="U25" s="255" t="n"/>
      <c r="V25" s="83" t="n"/>
      <c r="W25" s="84" t="n"/>
      <c r="X25" s="146" t="n"/>
      <c r="Y25" s="153" t="inlineStr">
        <is>
          <t xml:space="preserve">Вычисление коэффициента увеличения показаний </t>
        </is>
      </c>
      <c r="Z25" s="427" t="n"/>
      <c r="AA25" s="88" t="n"/>
      <c r="AB25" s="427" t="n"/>
      <c r="AC25" s="124">
        <f>Y27/100</f>
        <v/>
      </c>
    </row>
    <row r="26">
      <c r="A26" s="534" t="n"/>
      <c r="B26" s="418" t="n"/>
      <c r="C26" s="119" t="inlineStr">
        <is>
          <t>Корпус Б 1</t>
        </is>
      </c>
      <c r="D26" s="125" t="n"/>
      <c r="E26" s="126" t="inlineStr"/>
      <c r="F26" s="126" t="n">
        <v>28267</v>
      </c>
      <c r="G26" s="121">
        <f>E26-F26</f>
        <v/>
      </c>
      <c r="H26" s="93" t="n">
        <v>80</v>
      </c>
      <c r="I26" s="452">
        <f>(G26*H26)</f>
        <v/>
      </c>
      <c r="J26" s="452" t="n"/>
      <c r="K26" s="73" t="n"/>
      <c r="L26" s="73" t="n"/>
      <c r="M26" s="73" t="n"/>
      <c r="P26" s="255" t="n"/>
      <c r="Q26" s="255" t="n"/>
      <c r="R26" s="255" t="n"/>
      <c r="S26" s="255" t="n"/>
      <c r="T26" s="123" t="n"/>
      <c r="U26" s="255" t="n"/>
      <c r="V26" s="83" t="n"/>
      <c r="W26" s="84" t="n"/>
      <c r="X26" s="146" t="n"/>
      <c r="Y26" s="153">
        <f>T24-I24</f>
        <v/>
      </c>
      <c r="Z26" s="427" t="n"/>
      <c r="AA26" s="88" t="n"/>
      <c r="AB26" s="427" t="n"/>
    </row>
    <row r="27">
      <c r="A27" s="534" t="n"/>
      <c r="B27" s="418" t="n"/>
      <c r="C27" s="127" t="inlineStr">
        <is>
          <t>Корпус Б 2</t>
        </is>
      </c>
      <c r="D27" s="125" t="n"/>
      <c r="E27" s="128" t="inlineStr"/>
      <c r="F27" s="128" t="n">
        <v>25595.8</v>
      </c>
      <c r="G27" s="121">
        <f>E27-F27</f>
        <v/>
      </c>
      <c r="H27" s="129" t="n">
        <v>80</v>
      </c>
      <c r="I27" s="130">
        <f>(G27*H27)</f>
        <v/>
      </c>
      <c r="J27" s="131" t="n"/>
      <c r="K27" s="73" t="n"/>
      <c r="L27" s="73" t="n"/>
      <c r="M27" s="73" t="n"/>
      <c r="N27" s="55" t="n"/>
      <c r="O27" s="55" t="n"/>
      <c r="P27" s="255" t="n"/>
      <c r="Q27" s="255" t="n"/>
      <c r="R27" s="255" t="n"/>
      <c r="S27" s="255" t="n"/>
      <c r="T27" s="69" t="n"/>
      <c r="U27" s="255" t="n"/>
      <c r="V27" s="83" t="n"/>
      <c r="W27" s="84" t="n"/>
      <c r="X27" s="146" t="n"/>
      <c r="Y27" s="132">
        <f>Y26/(I24/100)</f>
        <v/>
      </c>
      <c r="Z27" s="427" t="n"/>
      <c r="AA27" s="88" t="n"/>
      <c r="AB27" s="427" t="n"/>
    </row>
    <row r="28">
      <c r="A28" s="534" t="n"/>
      <c r="B28" s="418" t="n"/>
      <c r="C28" s="127" t="inlineStr">
        <is>
          <t>охрана</t>
        </is>
      </c>
      <c r="D28" s="125" t="n"/>
      <c r="E28" s="128" t="inlineStr"/>
      <c r="F28" s="128" t="n">
        <v>105468</v>
      </c>
      <c r="G28" s="121">
        <f>E28-F28</f>
        <v/>
      </c>
      <c r="H28" s="129" t="n">
        <v>1</v>
      </c>
      <c r="I28" s="130">
        <f>G28</f>
        <v/>
      </c>
      <c r="J28" s="131" t="n"/>
      <c r="K28" s="73" t="n"/>
      <c r="L28" s="73" t="n"/>
      <c r="M28" s="73" t="n"/>
      <c r="N28" s="55" t="n"/>
      <c r="O28" s="55" t="n"/>
      <c r="P28" s="255" t="n"/>
      <c r="Q28" s="255" t="n"/>
      <c r="R28" s="255" t="n"/>
      <c r="S28" s="255" t="n"/>
      <c r="T28" s="69" t="n"/>
      <c r="U28" s="255" t="n"/>
      <c r="V28" s="83" t="n"/>
      <c r="W28" s="84" t="n"/>
      <c r="X28" s="146" t="n"/>
      <c r="Y28" s="153" t="inlineStr">
        <is>
          <t>Проверка коэффициента</t>
        </is>
      </c>
      <c r="Z28" s="427" t="n"/>
      <c r="AA28" s="88" t="n"/>
      <c r="AB28" s="427" t="n"/>
      <c r="AC28" s="507">
        <f>I24*AC25+I24</f>
        <v/>
      </c>
    </row>
    <row r="29">
      <c r="A29" s="534" t="n"/>
      <c r="B29" s="418" t="n"/>
      <c r="C29" s="119" t="inlineStr">
        <is>
          <t>Ввод в секцию А</t>
        </is>
      </c>
      <c r="D29" s="119" t="n"/>
      <c r="E29" s="133" t="n"/>
      <c r="F29" s="133" t="n"/>
      <c r="G29" s="134" t="n"/>
      <c r="H29" s="93" t="n"/>
      <c r="I29" s="138">
        <f>J158+J159-I25</f>
        <v/>
      </c>
      <c r="J29" s="136" t="n"/>
      <c r="K29" s="73" t="n"/>
      <c r="L29" s="73" t="n"/>
      <c r="M29" s="73" t="n"/>
      <c r="N29" s="55" t="n"/>
      <c r="O29" s="55" t="n"/>
      <c r="P29" s="255" t="n"/>
      <c r="Q29" s="255" t="n"/>
      <c r="R29" s="255" t="n"/>
      <c r="S29" s="255" t="n"/>
      <c r="T29" s="123" t="n"/>
      <c r="U29" s="255" t="n"/>
      <c r="V29" s="83" t="n"/>
      <c r="W29" s="84" t="n"/>
      <c r="X29" s="146" t="n"/>
      <c r="Y29" s="153" t="n"/>
      <c r="Z29" s="427" t="n"/>
      <c r="AA29" s="88" t="n"/>
      <c r="AB29" s="427" t="n"/>
    </row>
    <row r="30">
      <c r="A30" s="534" t="n"/>
      <c r="B30" s="418" t="n"/>
      <c r="C30" s="119" t="inlineStr">
        <is>
          <t>Всего ТМСИ по общим счетчикам</t>
        </is>
      </c>
      <c r="D30" s="119" t="n"/>
      <c r="E30" s="69" t="n"/>
      <c r="F30" s="69" t="n"/>
      <c r="G30" s="137" t="n"/>
      <c r="H30" s="93" t="n"/>
      <c r="I30" s="138">
        <f>SUM(I25:I29)</f>
        <v/>
      </c>
      <c r="J30" s="136" t="n"/>
      <c r="K30" s="73" t="n"/>
      <c r="L30" s="73" t="n"/>
      <c r="M30" s="73" t="n"/>
      <c r="N30" s="55" t="n"/>
      <c r="O30" s="55" t="n"/>
      <c r="P30" s="255" t="n"/>
      <c r="Q30" s="255" t="n"/>
      <c r="R30" s="255" t="n"/>
      <c r="S30" s="255" t="n"/>
      <c r="T30" s="138" t="n"/>
      <c r="U30" s="255" t="n"/>
      <c r="V30" s="83" t="n"/>
      <c r="W30" s="84" t="n"/>
      <c r="X30" s="146" t="n"/>
      <c r="Y30" s="153" t="n"/>
      <c r="Z30" s="427" t="n"/>
      <c r="AA30" s="88" t="n"/>
      <c r="AB30" s="427" t="n"/>
    </row>
    <row r="31">
      <c r="A31" s="534" t="n"/>
      <c r="B31" s="418" t="n"/>
      <c r="C31" s="119" t="inlineStr">
        <is>
          <t>Разница (- недостача, + по счетчикам больше)</t>
        </is>
      </c>
      <c r="D31" s="119" t="n"/>
      <c r="E31" s="69" t="n"/>
      <c r="F31" s="69" t="n"/>
      <c r="G31" s="137" t="n"/>
      <c r="H31" s="93" t="n"/>
      <c r="I31" s="139">
        <f>I30-I24</f>
        <v/>
      </c>
      <c r="J31" s="140" t="n"/>
      <c r="K31" s="73" t="n"/>
      <c r="L31" s="73" t="n"/>
      <c r="M31" s="73" t="n"/>
      <c r="N31" s="141" t="n"/>
      <c r="O31" s="141" t="n"/>
      <c r="P31" s="255" t="n"/>
      <c r="Q31" s="255" t="n"/>
      <c r="R31" s="255" t="n"/>
      <c r="S31" s="255" t="n"/>
      <c r="T31" s="138" t="n"/>
      <c r="U31" s="255" t="n"/>
      <c r="V31" s="83" t="n"/>
      <c r="W31" s="84" t="n"/>
      <c r="X31" s="146" t="n"/>
      <c r="Y31" s="153" t="n"/>
      <c r="Z31" s="427" t="n"/>
      <c r="AA31" s="88" t="n"/>
      <c r="AB31" s="427" t="n"/>
    </row>
    <row r="32">
      <c r="A32" s="255" t="n"/>
      <c r="B32" s="255" t="n"/>
      <c r="C32" s="255" t="inlineStr">
        <is>
          <t>По корпусу Б</t>
        </is>
      </c>
      <c r="D32" s="255" t="n"/>
      <c r="E32" s="144">
        <f>I26+I27</f>
        <v/>
      </c>
      <c r="F32" s="144" t="n"/>
      <c r="G32" s="143" t="n"/>
      <c r="H32" s="144" t="n"/>
      <c r="I32" s="144">
        <f>O498</f>
        <v/>
      </c>
      <c r="J32" s="145" t="n"/>
      <c r="K32" s="146" t="n"/>
      <c r="L32" s="146" t="n"/>
      <c r="M32" s="146" t="n"/>
      <c r="N32" s="200" t="n"/>
      <c r="O32" s="200" t="n"/>
      <c r="P32" s="255" t="n"/>
      <c r="Q32" s="255" t="n"/>
      <c r="R32" s="255" t="n"/>
      <c r="S32" s="255" t="n"/>
      <c r="T32" s="69" t="n"/>
      <c r="U32" s="255" t="n"/>
      <c r="V32" s="255" t="n"/>
      <c r="W32" s="64" t="n"/>
      <c r="X32" s="452" t="n"/>
      <c r="Y32" s="67" t="n"/>
      <c r="Z32" s="427" t="n"/>
      <c r="AA32" s="67" t="n"/>
      <c r="AB32" s="427" t="n"/>
    </row>
    <row r="33">
      <c r="A33" s="255" t="n"/>
      <c r="B33" s="255" t="n"/>
      <c r="C33" s="255" t="inlineStr">
        <is>
          <t>По корпусу A</t>
        </is>
      </c>
      <c r="D33" s="255" t="n"/>
      <c r="E33" s="144">
        <f>P159</f>
        <v/>
      </c>
      <c r="F33" s="144" t="n"/>
      <c r="G33" s="143" t="n"/>
      <c r="H33" s="144" t="n"/>
      <c r="I33" s="144">
        <f>O167</f>
        <v/>
      </c>
      <c r="J33" s="145" t="n"/>
      <c r="K33" s="146" t="n"/>
      <c r="L33" s="146" t="n"/>
      <c r="M33" s="146" t="n"/>
      <c r="N33" s="200" t="n"/>
      <c r="O33" s="200" t="n"/>
      <c r="P33" s="255" t="n"/>
      <c r="Q33" s="255" t="n"/>
      <c r="R33" s="258" t="n"/>
      <c r="S33" s="258" t="n"/>
      <c r="T33" s="149" t="n"/>
      <c r="U33" s="258" t="n"/>
      <c r="V33" s="255" t="n"/>
      <c r="W33" s="64" t="n"/>
      <c r="X33" s="452" t="n"/>
      <c r="Y33" s="67" t="n"/>
      <c r="Z33" s="427" t="n"/>
      <c r="AA33" s="67" t="n"/>
      <c r="AB33" s="427" t="n"/>
    </row>
    <row r="34">
      <c r="A34" s="255" t="n"/>
      <c r="B34" s="255" t="n"/>
      <c r="C34" s="255" t="inlineStr">
        <is>
          <t>Окончательный результат (- недостача, + выставляем больше)</t>
        </is>
      </c>
      <c r="D34" s="255" t="n"/>
      <c r="E34" s="152" t="n"/>
      <c r="F34" s="200" t="n"/>
      <c r="G34" s="151" t="n"/>
      <c r="H34" s="200" t="n"/>
      <c r="I34" s="152" t="n"/>
      <c r="J34" s="153" t="n"/>
      <c r="K34" s="146" t="n"/>
      <c r="L34" s="146" t="n"/>
      <c r="M34" s="146" t="n"/>
      <c r="N34" s="154">
        <f>-E567</f>
        <v/>
      </c>
      <c r="O34" s="154" t="n"/>
      <c r="P34" s="255" t="n"/>
      <c r="Q34" s="258" t="n"/>
      <c r="R34" s="258" t="n"/>
      <c r="S34" s="258" t="n"/>
      <c r="T34" s="149" t="n"/>
      <c r="U34" s="258" t="n"/>
      <c r="V34" s="255" t="n"/>
      <c r="W34" s="64" t="n"/>
      <c r="X34" s="452" t="n"/>
      <c r="Y34" s="67" t="n"/>
      <c r="Z34" s="427" t="n"/>
      <c r="AA34" s="67" t="n"/>
      <c r="AB34" s="427" t="n"/>
    </row>
    <row r="35">
      <c r="E35" s="507" t="n"/>
      <c r="Q35" s="159" t="n"/>
      <c r="R35" s="159" t="n"/>
    </row>
    <row customHeight="1" ht="12.75" r="36">
      <c r="A36" s="536" t="inlineStr">
        <is>
          <t>№ п/п</t>
        </is>
      </c>
      <c r="B36" s="537" t="n"/>
      <c r="C36" s="538" t="inlineStr">
        <is>
          <t>Точка учета</t>
        </is>
      </c>
      <c r="D36" s="538" t="n"/>
      <c r="E36" s="536" t="inlineStr">
        <is>
          <t>Настоящие показания, кВт*час.</t>
        </is>
      </c>
      <c r="F36" s="536" t="inlineStr">
        <is>
          <t>Предыдущие показания, кВт*час.</t>
        </is>
      </c>
      <c r="G36" s="542" t="inlineStr">
        <is>
          <t>Разность, кВт*час</t>
        </is>
      </c>
      <c r="H36" s="536" t="inlineStr">
        <is>
          <t>Коэффициент трансформации</t>
        </is>
      </c>
      <c r="I36" s="536" t="inlineStr">
        <is>
          <t>ВСЕГО,  кВт*час</t>
        </is>
      </c>
      <c r="J36" s="536" t="n"/>
      <c r="K36" s="536" t="inlineStr">
        <is>
          <t>процент увеличения</t>
        </is>
      </c>
      <c r="L36" s="536" t="inlineStr">
        <is>
          <t xml:space="preserve">Добавка </t>
        </is>
      </c>
      <c r="M36" s="536" t="inlineStr">
        <is>
          <t>Генератор</t>
        </is>
      </c>
      <c r="N36" s="536" t="inlineStr">
        <is>
          <t>Всего с учетом реактива</t>
        </is>
      </c>
      <c r="O36" s="536" t="inlineStr">
        <is>
          <t>Всего с учетом потребления генератора</t>
        </is>
      </c>
      <c r="P36" s="64" t="n"/>
      <c r="Q36" s="159" t="n"/>
      <c r="R36" s="159" t="n"/>
      <c r="U36" s="478" t="n"/>
      <c r="V36" s="478" t="n"/>
      <c r="W36" s="478" t="n"/>
      <c r="X36" s="478" t="n"/>
      <c r="Y36" s="478" t="n"/>
    </row>
    <row r="37">
      <c r="A37" s="547" t="n"/>
      <c r="B37" s="547" t="n"/>
      <c r="C37" s="547" t="n"/>
      <c r="D37" s="547" t="n"/>
      <c r="E37" s="547" t="n"/>
      <c r="F37" s="547" t="n"/>
      <c r="G37" s="547" t="n"/>
      <c r="H37" s="547" t="n"/>
      <c r="I37" s="547" t="n"/>
      <c r="J37" s="547" t="n"/>
      <c r="K37" s="547" t="n"/>
      <c r="L37" s="547" t="n"/>
      <c r="M37" s="547" t="n"/>
      <c r="N37" s="547" t="n"/>
      <c r="O37" s="547" t="n"/>
      <c r="P37" s="64" t="n"/>
      <c r="Q37" s="159" t="n"/>
      <c r="R37" s="159" t="n"/>
      <c r="U37" s="158" t="inlineStr">
        <is>
          <t>ГЕНЕРАТОР</t>
        </is>
      </c>
      <c r="V37" s="158" t="n"/>
      <c r="W37" s="158" t="n"/>
      <c r="X37" s="158" t="n"/>
      <c r="Y37" s="158" t="n"/>
    </row>
    <row r="38">
      <c r="A38" s="547" t="n"/>
      <c r="B38" s="547" t="n"/>
      <c r="C38" s="547" t="n"/>
      <c r="D38" s="547" t="n"/>
      <c r="E38" s="547" t="n"/>
      <c r="F38" s="547" t="n"/>
      <c r="G38" s="547" t="n"/>
      <c r="H38" s="547" t="n"/>
      <c r="I38" s="547" t="n"/>
      <c r="J38" s="547" t="n"/>
      <c r="K38" s="547" t="n"/>
      <c r="L38" s="547" t="n"/>
      <c r="M38" s="547" t="n"/>
      <c r="N38" s="547" t="n"/>
      <c r="O38" s="547" t="n"/>
      <c r="P38" s="64" t="n"/>
      <c r="Q38" s="159" t="n"/>
      <c r="R38" s="159" t="n"/>
      <c r="U38" s="158" t="n"/>
      <c r="V38" s="158" t="n"/>
      <c r="W38" s="158" t="n"/>
      <c r="X38" s="158" t="n"/>
      <c r="Y38" s="158" t="n"/>
    </row>
    <row r="39">
      <c r="A39" s="547" t="n"/>
      <c r="B39" s="547" t="n"/>
      <c r="C39" s="547" t="n"/>
      <c r="D39" s="547" t="n"/>
      <c r="E39" s="547" t="n"/>
      <c r="F39" s="547" t="n"/>
      <c r="G39" s="547" t="n"/>
      <c r="H39" s="547" t="n"/>
      <c r="I39" s="547" t="n"/>
      <c r="J39" s="547" t="n"/>
      <c r="K39" s="547" t="n"/>
      <c r="L39" s="547" t="n"/>
      <c r="M39" s="547" t="n"/>
      <c r="N39" s="547" t="n"/>
      <c r="O39" s="547" t="n"/>
      <c r="P39" s="64" t="n"/>
      <c r="Q39" s="159" t="n"/>
      <c r="R39" s="159" t="n"/>
      <c r="T39" s="478" t="n"/>
      <c r="U39" s="158" t="n"/>
      <c r="V39" s="158" t="n"/>
      <c r="W39" s="158" t="n"/>
      <c r="X39" s="158" t="n"/>
      <c r="Y39" s="158" t="n"/>
    </row>
    <row customHeight="1" ht="21.75" r="40">
      <c r="A40" s="553" t="n"/>
      <c r="B40" s="553" t="n"/>
      <c r="C40" s="553" t="n"/>
      <c r="D40" s="553" t="n"/>
      <c r="E40" s="553" t="n"/>
      <c r="F40" s="553" t="n"/>
      <c r="G40" s="553" t="n"/>
      <c r="H40" s="553" t="n"/>
      <c r="I40" s="553" t="n"/>
      <c r="J40" s="553" t="n"/>
      <c r="K40" s="553" t="n"/>
      <c r="L40" s="553" t="n"/>
      <c r="M40" s="553" t="n"/>
      <c r="N40" s="553" t="n"/>
      <c r="O40" s="553" t="n"/>
      <c r="P40" s="64" t="n"/>
      <c r="Q40" s="159" t="n"/>
      <c r="R40" s="159" t="n"/>
      <c r="T40" s="478" t="n"/>
      <c r="U40" s="160" t="inlineStr">
        <is>
          <t xml:space="preserve">Потребление, литры </t>
        </is>
      </c>
      <c r="V40" s="160" t="inlineStr">
        <is>
          <t>потребление арендаторов, кВт.ч</t>
        </is>
      </c>
      <c r="W40" s="161" t="inlineStr">
        <is>
          <t xml:space="preserve">                                                  Процент увеличения платы арендаторам</t>
        </is>
      </c>
      <c r="X40" s="158" t="n"/>
      <c r="Y40" s="158" t="n"/>
    </row>
    <row r="41">
      <c r="A41" s="255" t="n"/>
      <c r="B41" s="255" t="n"/>
      <c r="C41" s="534" t="n">
        <v>3</v>
      </c>
      <c r="D41" s="534" t="n"/>
      <c r="E41" s="534" t="n">
        <v>4</v>
      </c>
      <c r="F41" s="534" t="n">
        <v>5</v>
      </c>
      <c r="G41" s="40" t="n">
        <v>6</v>
      </c>
      <c r="H41" s="534" t="n">
        <v>7</v>
      </c>
      <c r="I41" s="534" t="n">
        <v>8</v>
      </c>
      <c r="J41" s="534" t="n"/>
      <c r="K41" s="534" t="n">
        <v>10</v>
      </c>
      <c r="L41" s="534" t="n"/>
      <c r="M41" s="534" t="n"/>
      <c r="N41" s="534" t="n"/>
      <c r="O41" s="534" t="n"/>
      <c r="P41" s="64" t="n"/>
      <c r="Q41" s="159" t="n"/>
      <c r="R41" s="159" t="n"/>
      <c r="T41" s="478" t="n"/>
      <c r="U41" s="162" t="n">
        <v>0</v>
      </c>
      <c r="V41" s="162">
        <f>E564-I43</f>
        <v/>
      </c>
      <c r="W41" s="163">
        <f>(U41*U45)/(V41*C2)</f>
        <v/>
      </c>
      <c r="X41" s="158" t="n"/>
      <c r="Y41" s="158" t="n"/>
    </row>
    <row r="42">
      <c r="A42" s="164" t="n"/>
      <c r="B42" s="165" t="inlineStr">
        <is>
          <t>корп.1А</t>
        </is>
      </c>
      <c r="C42" s="166" t="inlineStr">
        <is>
          <t>Арендаторы:</t>
        </is>
      </c>
      <c r="D42" s="166" t="inlineStr">
        <is>
          <t>код ОКПО</t>
        </is>
      </c>
      <c r="E42" s="167" t="n"/>
      <c r="F42" s="167" t="n"/>
      <c r="G42" s="168" t="n"/>
      <c r="H42" s="164" t="n"/>
      <c r="I42" s="164" t="n"/>
      <c r="J42" s="164" t="n"/>
      <c r="K42" s="167" t="n"/>
      <c r="L42" s="167" t="n"/>
      <c r="M42" s="167" t="n"/>
      <c r="N42" s="167" t="n"/>
      <c r="O42" s="167" t="n"/>
      <c r="P42" s="64" t="n"/>
      <c r="Q42" s="159" t="n"/>
      <c r="R42" s="159" t="n"/>
      <c r="T42" s="478" t="n"/>
      <c r="U42" s="169" t="n"/>
      <c r="V42" s="169" t="n"/>
      <c r="W42" s="170" t="n"/>
      <c r="X42" s="158" t="n"/>
      <c r="Y42" s="158" t="n"/>
    </row>
    <row customHeight="1" ht="15" r="43">
      <c r="A43" s="189" t="n">
        <v>1</v>
      </c>
      <c r="B43" s="508" t="n"/>
      <c r="C43" s="172" t="inlineStr">
        <is>
          <t xml:space="preserve"> Котекна, учет в щитовой корп.А</t>
        </is>
      </c>
      <c r="D43" s="515" t="n">
        <v>32521869</v>
      </c>
      <c r="E43" s="173" t="inlineStr"/>
      <c r="F43" s="173" t="n">
        <v>2986.2</v>
      </c>
      <c r="G43" s="231">
        <f>E43-F43</f>
        <v/>
      </c>
      <c r="H43" s="175" t="n">
        <v>60</v>
      </c>
      <c r="I43" s="172">
        <f>G43*H43</f>
        <v/>
      </c>
      <c r="J43" s="172" t="n"/>
      <c r="K43" s="176" t="n">
        <v>0.32</v>
      </c>
      <c r="L43" s="177" t="n"/>
      <c r="M43" s="178" t="n"/>
      <c r="N43" s="179">
        <f>I43*K43+I43+L43+M43</f>
        <v/>
      </c>
      <c r="O43" s="180" t="n"/>
      <c r="P43" s="84" t="n"/>
      <c r="Q43" s="159" t="n"/>
      <c r="R43" s="159" t="n"/>
    </row>
    <row customHeight="1" ht="15" r="44">
      <c r="A44" s="181" t="n">
        <v>2</v>
      </c>
      <c r="B44" s="509" t="n"/>
      <c r="C44" s="182" t="inlineStr">
        <is>
          <t>Автоторино (офис)</t>
        </is>
      </c>
      <c r="D44" s="515" t="n">
        <v>35768568</v>
      </c>
      <c r="E44" s="284" t="inlineStr"/>
      <c r="F44" s="284" t="n">
        <v>68136.89999999999</v>
      </c>
      <c r="G44" s="231">
        <f>E44-F44</f>
        <v/>
      </c>
      <c r="H44" s="534" t="n">
        <v>1</v>
      </c>
      <c r="I44" s="184">
        <f>G44*H44</f>
        <v/>
      </c>
      <c r="J44" s="184" t="n"/>
      <c r="K44" s="185" t="n">
        <v>0.32</v>
      </c>
      <c r="L44" s="178" t="n"/>
      <c r="M44" s="178">
        <f>(I44+L44)*$W$41</f>
        <v/>
      </c>
      <c r="N44" s="180">
        <f>I44*K44+I44+L44+M44</f>
        <v/>
      </c>
      <c r="O44" s="180" t="n"/>
      <c r="P44" s="186" t="n"/>
      <c r="Q44" s="159" t="n"/>
      <c r="R44" s="159" t="n"/>
      <c r="T44" s="478" t="n"/>
      <c r="U44" s="187" t="inlineStr">
        <is>
          <t xml:space="preserve">                                          Стоимость 1 литра ДТ, грн, без НДС</t>
        </is>
      </c>
      <c r="V44" s="158" t="n"/>
      <c r="W44" s="188" t="n"/>
      <c r="X44" s="158" t="n"/>
      <c r="Y44" s="158" t="n"/>
    </row>
    <row customHeight="1" ht="15" r="45">
      <c r="A45" s="189" t="n">
        <v>3</v>
      </c>
      <c r="B45" s="509" t="n"/>
      <c r="C45" s="182" t="inlineStr">
        <is>
          <t>Автоторино (склад ,бывший грифон)</t>
        </is>
      </c>
      <c r="D45" s="515" t="n">
        <v>35768568</v>
      </c>
      <c r="E45" s="284" t="inlineStr"/>
      <c r="F45" s="284" t="n">
        <v>470641</v>
      </c>
      <c r="G45" s="231">
        <f>E45-F45</f>
        <v/>
      </c>
      <c r="H45" s="534" t="n">
        <v>1</v>
      </c>
      <c r="I45" s="184">
        <f>G45*H45</f>
        <v/>
      </c>
      <c r="J45" s="184" t="n"/>
      <c r="K45" s="185" t="n">
        <v>0.32</v>
      </c>
      <c r="L45" s="178" t="n"/>
      <c r="M45" s="178">
        <f>(I45+L45)*$W$41</f>
        <v/>
      </c>
      <c r="N45" s="180">
        <f>I45*K45+I45+L45+M45</f>
        <v/>
      </c>
      <c r="O45" s="180" t="n"/>
      <c r="P45" s="186" t="n"/>
      <c r="Q45" s="159" t="n"/>
      <c r="R45" s="159" t="n"/>
      <c r="T45" s="478" t="n"/>
      <c r="U45" s="158" t="n">
        <v>23.57</v>
      </c>
      <c r="V45" s="158" t="n"/>
      <c r="W45" s="158" t="n"/>
      <c r="X45" s="158" t="n"/>
      <c r="Y45" s="190" t="n"/>
    </row>
    <row customHeight="1" ht="15" r="46">
      <c r="A46" s="181" t="n"/>
      <c r="B46" s="534" t="n"/>
      <c r="C46" s="191" t="n"/>
      <c r="D46" s="191" t="n"/>
      <c r="E46" s="284" t="inlineStr"/>
      <c r="F46" s="284" t="n"/>
      <c r="G46" s="231" t="n"/>
      <c r="H46" s="534" t="n"/>
      <c r="I46" s="184" t="n"/>
      <c r="J46" s="184" t="n"/>
      <c r="K46" s="178" t="n"/>
      <c r="L46" s="178" t="n"/>
      <c r="M46" s="178" t="n"/>
      <c r="N46" s="180" t="n"/>
      <c r="O46" s="180" t="n"/>
      <c r="P46" s="186" t="n"/>
      <c r="Q46" s="159" t="n"/>
      <c r="R46" s="159" t="n"/>
      <c r="T46" s="478" t="n"/>
      <c r="U46" s="478" t="n"/>
      <c r="V46" s="478" t="n"/>
      <c r="W46" s="478" t="n"/>
      <c r="X46" s="478" t="n"/>
    </row>
    <row customHeight="1" ht="15" r="47">
      <c r="A47" s="189" t="n"/>
      <c r="B47" s="534" t="n"/>
      <c r="C47" s="192" t="inlineStr">
        <is>
          <t>Потребление арендаторов:</t>
        </is>
      </c>
      <c r="D47" s="356" t="n"/>
      <c r="E47" s="255" t="inlineStr"/>
      <c r="F47" s="189" t="n"/>
      <c r="G47" s="231" t="n"/>
      <c r="H47" s="534" t="n"/>
      <c r="J47" s="184">
        <f>SUM(I44:I45)</f>
        <v/>
      </c>
      <c r="K47" s="178" t="n"/>
      <c r="L47" s="178" t="n"/>
      <c r="M47" s="178" t="n"/>
      <c r="O47" s="180">
        <f>K47*L47+K47</f>
        <v/>
      </c>
      <c r="P47" s="194">
        <f>J47*K47+J47</f>
        <v/>
      </c>
      <c r="Q47" s="159" t="n"/>
      <c r="R47" s="159" t="n"/>
      <c r="T47" s="478" t="n"/>
      <c r="U47" s="478" t="n"/>
      <c r="V47" s="478" t="n"/>
      <c r="W47" s="478" t="n"/>
      <c r="X47" s="478" t="n"/>
    </row>
    <row customHeight="1" ht="15" r="48">
      <c r="A48" s="189" t="n"/>
      <c r="B48" s="534" t="n"/>
      <c r="C48" s="192" t="inlineStr">
        <is>
          <t>Потребление коридора:</t>
        </is>
      </c>
      <c r="D48" s="356" t="n"/>
      <c r="E48" s="255" t="inlineStr"/>
      <c r="F48" s="189" t="n"/>
      <c r="G48" s="231" t="n"/>
      <c r="H48" s="534" t="n"/>
      <c r="I48" s="255" t="n"/>
      <c r="J48" s="255" t="n"/>
      <c r="K48" s="178" t="n"/>
      <c r="L48" s="178" t="n"/>
      <c r="M48" s="178" t="n"/>
      <c r="O48" s="180">
        <f>K48*L48+K48</f>
        <v/>
      </c>
      <c r="P48" s="194">
        <f>I48*K48+I48</f>
        <v/>
      </c>
      <c r="Q48" s="159" t="n"/>
      <c r="R48" s="159" t="n"/>
      <c r="T48" s="478" t="n"/>
      <c r="U48" s="478" t="n"/>
      <c r="V48" s="478" t="n"/>
      <c r="W48" s="478" t="n"/>
    </row>
    <row customHeight="1" ht="15.75" r="49">
      <c r="A49" s="255" t="n"/>
      <c r="B49" s="534" t="n"/>
      <c r="C49" s="192" t="inlineStr">
        <is>
          <t>Выставляем арендаторам :</t>
        </is>
      </c>
      <c r="D49" s="356" t="n"/>
      <c r="E49" s="197" t="inlineStr"/>
      <c r="F49" s="197" t="n"/>
      <c r="G49" s="231" t="n"/>
      <c r="H49" s="534" t="n"/>
      <c r="I49" s="255" t="n"/>
      <c r="J49" s="255" t="n"/>
      <c r="K49" s="198" t="n"/>
      <c r="L49" s="178" t="n"/>
      <c r="M49" s="178" t="n"/>
      <c r="O49" s="180" t="n"/>
      <c r="P49" s="199">
        <f>SUM(N44:N45)</f>
        <v/>
      </c>
      <c r="Q49" s="200" t="n"/>
      <c r="R49" s="201" t="n"/>
      <c r="S49" s="202" t="n"/>
      <c r="T49" s="427" t="n"/>
      <c r="U49" s="427" t="n"/>
      <c r="V49" s="427" t="n"/>
      <c r="W49" s="427" t="n"/>
      <c r="X49" s="427" t="n"/>
      <c r="Y49" s="427" t="n"/>
    </row>
    <row customHeight="1" ht="15" r="50">
      <c r="A50" s="255" t="n"/>
      <c r="B50" s="534" t="n"/>
      <c r="C50" s="192" t="inlineStr">
        <is>
          <t>Общий итог :</t>
        </is>
      </c>
      <c r="D50" s="356" t="n"/>
      <c r="E50" s="197" t="inlineStr"/>
      <c r="F50" s="197" t="n"/>
      <c r="G50" s="231" t="n"/>
      <c r="H50" s="534" t="n"/>
      <c r="I50" s="255" t="n"/>
      <c r="J50" s="255" t="n"/>
      <c r="K50" s="198" t="n"/>
      <c r="L50" s="178" t="n"/>
      <c r="M50" s="178" t="n"/>
      <c r="O50" s="180" t="n"/>
      <c r="P50" s="194">
        <f>P49-P47</f>
        <v/>
      </c>
      <c r="Q50" s="200" t="n"/>
      <c r="R50" s="201" t="n"/>
      <c r="S50" s="202" t="n"/>
      <c r="T50" s="427" t="n"/>
      <c r="U50" s="427" t="n"/>
      <c r="V50" s="427" t="n"/>
      <c r="W50" s="427" t="n"/>
      <c r="X50" s="427" t="n"/>
      <c r="Y50" s="427" t="n"/>
    </row>
    <row customHeight="1" ht="15" r="51">
      <c r="A51" s="255" t="n"/>
      <c r="B51" s="534" t="n"/>
      <c r="C51" s="192" t="inlineStr">
        <is>
          <t>Общий итог с потерями РЭСа:</t>
        </is>
      </c>
      <c r="D51" s="356" t="n"/>
      <c r="E51" s="197" t="inlineStr"/>
      <c r="F51" s="197" t="n"/>
      <c r="G51" s="231" t="n"/>
      <c r="H51" s="534" t="n"/>
      <c r="I51" s="255" t="n"/>
      <c r="J51" s="255" t="n"/>
      <c r="K51" s="198" t="n"/>
      <c r="L51" s="178" t="n"/>
      <c r="M51" s="178" t="n"/>
      <c r="O51" s="180" t="n"/>
      <c r="P51" s="194">
        <f>P49-(P47*AC25+P47)</f>
        <v/>
      </c>
      <c r="Q51" s="200" t="n"/>
      <c r="R51" s="201" t="n"/>
      <c r="S51" s="202" t="n"/>
      <c r="T51" s="427" t="n"/>
      <c r="U51" s="427" t="n"/>
      <c r="V51" s="427" t="n"/>
      <c r="W51" s="427" t="n"/>
      <c r="X51" s="427" t="n"/>
      <c r="Y51" s="427" t="n"/>
    </row>
    <row customHeight="1" ht="15" r="52">
      <c r="A52" s="181" t="n"/>
      <c r="B52" s="534" t="n"/>
      <c r="C52" s="191" t="n"/>
      <c r="D52" s="191" t="n"/>
      <c r="E52" s="284" t="inlineStr"/>
      <c r="F52" s="284" t="n"/>
      <c r="G52" s="231" t="n"/>
      <c r="H52" s="534" t="n"/>
      <c r="I52" s="184" t="n"/>
      <c r="J52" s="184" t="n"/>
      <c r="K52" s="178" t="n"/>
      <c r="L52" s="178" t="n"/>
      <c r="M52" s="178" t="n"/>
      <c r="N52" s="180" t="n"/>
      <c r="O52" s="180" t="n"/>
      <c r="P52" s="186" t="n"/>
      <c r="Q52" s="159" t="n"/>
      <c r="R52" s="159" t="n"/>
    </row>
    <row customHeight="1" ht="15" r="53">
      <c r="A53" s="203" t="n"/>
      <c r="B53" s="504" t="n"/>
      <c r="C53" s="165" t="inlineStr">
        <is>
          <t>Подвал секция А:</t>
        </is>
      </c>
      <c r="D53" s="165" t="inlineStr">
        <is>
          <t>код ОКПО</t>
        </is>
      </c>
      <c r="E53" s="204" t="inlineStr"/>
      <c r="F53" s="204" t="n"/>
      <c r="G53" s="205" t="n"/>
      <c r="H53" s="164" t="n"/>
      <c r="I53" s="206" t="n"/>
      <c r="J53" s="206" t="n"/>
      <c r="K53" s="207" t="n">
        <v>0.32</v>
      </c>
      <c r="L53" s="208" t="n"/>
      <c r="M53" s="208" t="n"/>
      <c r="N53" s="209" t="n"/>
      <c r="O53" s="209" t="n"/>
      <c r="P53" s="186" t="n"/>
      <c r="Q53" s="159" t="n"/>
      <c r="R53" s="159" t="n"/>
    </row>
    <row customHeight="1" ht="15" r="54">
      <c r="A54" s="189" t="n">
        <v>1</v>
      </c>
      <c r="B54" s="508" t="inlineStr">
        <is>
          <t>в 1912</t>
        </is>
      </c>
      <c r="C54" s="210" t="inlineStr">
        <is>
          <t>Матковский</t>
        </is>
      </c>
      <c r="D54" s="515" t="n">
        <v>2774415032</v>
      </c>
      <c r="E54" s="284" t="inlineStr"/>
      <c r="F54" s="284" t="n">
        <v>90714.39999999999</v>
      </c>
      <c r="G54" s="285">
        <f>E54-F54</f>
        <v/>
      </c>
      <c r="H54" s="534" t="n">
        <v>1</v>
      </c>
      <c r="I54" s="184">
        <f>G54*H54</f>
        <v/>
      </c>
      <c r="J54" s="184" t="n"/>
      <c r="K54" s="207" t="n">
        <v>0.32</v>
      </c>
      <c r="L54" s="178" t="n"/>
      <c r="M54" s="178">
        <f>(I54+L54)*$W$41</f>
        <v/>
      </c>
      <c r="N54" s="180">
        <f>I54*K54+I54+L54+M54</f>
        <v/>
      </c>
      <c r="O54" s="180" t="n"/>
      <c r="P54" s="186" t="n"/>
      <c r="Q54" s="159" t="n"/>
      <c r="R54" s="159" t="n"/>
    </row>
    <row customHeight="1" ht="15" r="55">
      <c r="A55" s="181" t="n">
        <v>2</v>
      </c>
      <c r="B55" s="508" t="inlineStr">
        <is>
          <t>в 1912</t>
        </is>
      </c>
      <c r="C55" s="212" t="n"/>
      <c r="D55" s="515" t="n"/>
      <c r="E55" s="284" t="inlineStr"/>
      <c r="F55" s="284" t="n">
        <v>111166.8</v>
      </c>
      <c r="G55" s="285">
        <f>E55-F55</f>
        <v/>
      </c>
      <c r="H55" s="534" t="n">
        <v>1</v>
      </c>
      <c r="I55" s="184">
        <f>G55*H55</f>
        <v/>
      </c>
      <c r="J55" s="184" t="n"/>
      <c r="K55" s="207" t="n">
        <v>0.32</v>
      </c>
      <c r="L55" s="178" t="n"/>
      <c r="M55" s="178">
        <f>(I55+L55)*$W$41</f>
        <v/>
      </c>
      <c r="N55" s="180">
        <f>I55*K55+I55+L55+M55</f>
        <v/>
      </c>
      <c r="O55" s="180" t="n"/>
      <c r="P55" s="186" t="n"/>
      <c r="Q55" s="159" t="n"/>
      <c r="R55" s="159" t="n"/>
    </row>
    <row customHeight="1" ht="15" r="56">
      <c r="A56" s="181" t="n">
        <v>3</v>
      </c>
      <c r="B56" s="508" t="n">
        <v>1905</v>
      </c>
      <c r="C56" s="210" t="inlineStr">
        <is>
          <t>Энерджи сейвинг солюшн</t>
        </is>
      </c>
      <c r="D56" s="515" t="n">
        <v>39444058</v>
      </c>
      <c r="E56" s="284" t="inlineStr"/>
      <c r="F56" s="284" t="n">
        <v>17119.5</v>
      </c>
      <c r="G56" s="285">
        <f>E56-F56</f>
        <v/>
      </c>
      <c r="H56" s="534" t="n">
        <v>1</v>
      </c>
      <c r="I56" s="184">
        <f>G56*H56</f>
        <v/>
      </c>
      <c r="J56" s="184" t="n"/>
      <c r="K56" s="207" t="n">
        <v>0.32</v>
      </c>
      <c r="L56" s="178" t="n"/>
      <c r="M56" s="178">
        <f>(I56+L56)*$W$41</f>
        <v/>
      </c>
      <c r="N56" s="180">
        <f>I56*K56+I56+L56+M56</f>
        <v/>
      </c>
      <c r="O56" s="180" t="n"/>
      <c r="P56" s="186" t="n"/>
      <c r="Q56" s="159" t="n"/>
      <c r="R56" s="159" t="n"/>
    </row>
    <row customHeight="1" ht="15" r="57">
      <c r="A57" s="189" t="n">
        <v>4</v>
      </c>
      <c r="B57" s="508" t="inlineStr">
        <is>
          <t>1910/3</t>
        </is>
      </c>
      <c r="C57" s="210" t="inlineStr">
        <is>
          <t>Биротикс-Ком</t>
        </is>
      </c>
      <c r="D57" s="515" t="n">
        <v>36344027</v>
      </c>
      <c r="E57" s="284" t="inlineStr"/>
      <c r="F57" s="284" t="n">
        <v>677.2</v>
      </c>
      <c r="G57" s="285">
        <f>E57-F57</f>
        <v/>
      </c>
      <c r="H57" s="534" t="n">
        <v>1</v>
      </c>
      <c r="I57" s="184">
        <f>G57*H57</f>
        <v/>
      </c>
      <c r="J57" s="184" t="n"/>
      <c r="K57" s="207" t="n">
        <v>0.32</v>
      </c>
      <c r="L57" s="178" t="n"/>
      <c r="M57" s="178">
        <f>(I57+L57)*$W$41</f>
        <v/>
      </c>
      <c r="N57" s="180">
        <f>I57*K57+I57+L57+M57</f>
        <v/>
      </c>
      <c r="O57" s="180" t="n"/>
      <c r="P57" s="186" t="n"/>
      <c r="Q57" s="159" t="n"/>
      <c r="R57" s="159" t="n"/>
    </row>
    <row customHeight="1" ht="15" r="58">
      <c r="A58" s="189" t="n">
        <v>5</v>
      </c>
      <c r="B58" s="508" t="inlineStr">
        <is>
          <t>1904/1</t>
        </is>
      </c>
      <c r="C58" s="210" t="inlineStr">
        <is>
          <t>Кичук</t>
        </is>
      </c>
      <c r="D58" s="515" t="n">
        <v>2739700272</v>
      </c>
      <c r="E58" s="284" t="inlineStr"/>
      <c r="F58" s="284" t="n">
        <v>9842.1</v>
      </c>
      <c r="G58" s="285">
        <f>E58-F58</f>
        <v/>
      </c>
      <c r="H58" s="534" t="n">
        <v>1</v>
      </c>
      <c r="I58" s="184">
        <f>G58*H58</f>
        <v/>
      </c>
      <c r="J58" s="184" t="n"/>
      <c r="K58" s="207" t="n">
        <v>0.32</v>
      </c>
      <c r="L58" s="178" t="n"/>
      <c r="M58" s="178">
        <f>(I58+L58)*$W$41</f>
        <v/>
      </c>
      <c r="N58" s="180">
        <f>I58*K58+I58+L58+M58</f>
        <v/>
      </c>
      <c r="O58" s="180" t="n"/>
      <c r="P58" s="84" t="n"/>
      <c r="Q58" s="159" t="n"/>
      <c r="R58" s="159" t="n"/>
    </row>
    <row customHeight="1" ht="15" r="59">
      <c r="A59" s="189" t="n">
        <v>6</v>
      </c>
      <c r="B59" s="508" t="inlineStr">
        <is>
          <t>1910/1</t>
        </is>
      </c>
      <c r="C59" s="210" t="inlineStr">
        <is>
          <t xml:space="preserve">ИТРАКО </t>
        </is>
      </c>
      <c r="D59" s="515" t="n">
        <v>24930652</v>
      </c>
      <c r="E59" s="284" t="inlineStr"/>
      <c r="F59" s="284" t="n">
        <v>339.5</v>
      </c>
      <c r="G59" s="231">
        <f>E59-F59</f>
        <v/>
      </c>
      <c r="H59" s="534" t="n">
        <v>1</v>
      </c>
      <c r="I59" s="255">
        <f>G59*H59</f>
        <v/>
      </c>
      <c r="J59" s="255" t="n"/>
      <c r="K59" s="207" t="n">
        <v>0.32</v>
      </c>
      <c r="L59" s="178" t="n">
        <v>4</v>
      </c>
      <c r="M59" s="178">
        <f>(I59+L59)*$W$41</f>
        <v/>
      </c>
      <c r="N59" s="180">
        <f>I59*K59+I59+L59+M59</f>
        <v/>
      </c>
      <c r="O59" s="180" t="n"/>
      <c r="P59" s="64" t="n"/>
      <c r="Q59" s="159" t="n"/>
      <c r="R59" s="159" t="n"/>
    </row>
    <row customHeight="1" ht="15" r="60">
      <c r="A60" s="189" t="n">
        <v>7</v>
      </c>
      <c r="B60" s="508" t="inlineStr">
        <is>
          <t>1910/2</t>
        </is>
      </c>
      <c r="C60" s="210" t="inlineStr">
        <is>
          <t>Раман</t>
        </is>
      </c>
      <c r="D60" s="515" t="n">
        <v>35404729</v>
      </c>
      <c r="E60" s="284" t="inlineStr"/>
      <c r="F60" s="284" t="n">
        <v>284.9</v>
      </c>
      <c r="G60" s="231">
        <f>E60-F60</f>
        <v/>
      </c>
      <c r="H60" s="534" t="n">
        <v>1</v>
      </c>
      <c r="I60" s="255">
        <f>G60*H60</f>
        <v/>
      </c>
      <c r="J60" s="255" t="n"/>
      <c r="K60" s="207" t="n">
        <v>0.32</v>
      </c>
      <c r="L60" s="178" t="n">
        <v>5</v>
      </c>
      <c r="M60" s="178">
        <f>(I60+L60)*$W$41</f>
        <v/>
      </c>
      <c r="N60" s="180">
        <f>I60*K60+I60+L60+M60</f>
        <v/>
      </c>
      <c r="O60" s="180" t="n"/>
      <c r="P60" s="64" t="n"/>
      <c r="Q60" s="159" t="n"/>
      <c r="R60" s="159" t="n"/>
    </row>
    <row customHeight="1" ht="15" r="61">
      <c r="A61" s="189" t="n">
        <v>8</v>
      </c>
      <c r="B61" s="508" t="inlineStr">
        <is>
          <t>1904/2</t>
        </is>
      </c>
      <c r="C61" s="213" t="inlineStr">
        <is>
          <t>Антонян</t>
        </is>
      </c>
      <c r="D61" s="516" t="n">
        <v>2417001472</v>
      </c>
      <c r="E61" s="284" t="inlineStr"/>
      <c r="F61" s="284" t="n">
        <v>7135.4</v>
      </c>
      <c r="G61" s="231">
        <f>E61-F61</f>
        <v/>
      </c>
      <c r="H61" s="534" t="n">
        <v>1</v>
      </c>
      <c r="I61" s="255">
        <f>G61*H61</f>
        <v/>
      </c>
      <c r="J61" s="255" t="n"/>
      <c r="K61" s="207" t="n">
        <v>0.32</v>
      </c>
      <c r="L61" s="178" t="n"/>
      <c r="M61" s="178">
        <f>(I61+L61)*$W$41</f>
        <v/>
      </c>
      <c r="N61" s="180">
        <f>I61*K61+I61+L61+M61</f>
        <v/>
      </c>
      <c r="O61" s="180" t="n"/>
      <c r="P61" s="64" t="n"/>
      <c r="Q61" s="159" t="n"/>
      <c r="R61" s="159" t="n"/>
    </row>
    <row customHeight="1" ht="15" r="62">
      <c r="A62" s="214" t="n">
        <v>9</v>
      </c>
      <c r="B62" s="508" t="n">
        <v>1911</v>
      </c>
      <c r="C62" s="116" t="inlineStr">
        <is>
          <t>МПСС</t>
        </is>
      </c>
      <c r="D62" s="515" t="n">
        <v>38017026</v>
      </c>
      <c r="E62" s="284" t="inlineStr"/>
      <c r="F62" s="284" t="n">
        <v>7679.9</v>
      </c>
      <c r="G62" s="231">
        <f>E62-F62</f>
        <v/>
      </c>
      <c r="H62" s="534" t="n">
        <v>1</v>
      </c>
      <c r="I62" s="255">
        <f>G62*H62</f>
        <v/>
      </c>
      <c r="J62" s="255" t="n"/>
      <c r="K62" s="215">
        <f>'Потребление МПСС'!F9</f>
        <v/>
      </c>
      <c r="L62" s="178" t="n"/>
      <c r="M62" s="178">
        <f>(I62+L62)*$W$41</f>
        <v/>
      </c>
      <c r="N62" s="180">
        <f>I62*K62+I62+L62+M62</f>
        <v/>
      </c>
      <c r="O62" s="180" t="n"/>
      <c r="P62" s="84" t="n"/>
      <c r="Q62" s="159" t="n"/>
      <c r="R62" s="159" t="n"/>
    </row>
    <row customHeight="1" ht="15" r="63">
      <c r="A63" s="189" t="n">
        <v>10</v>
      </c>
      <c r="B63" s="508" t="n"/>
      <c r="C63" s="210" t="inlineStr">
        <is>
          <t>Автоторино</t>
        </is>
      </c>
      <c r="D63" s="515" t="n">
        <v>35768568</v>
      </c>
      <c r="E63" s="284" t="inlineStr"/>
      <c r="F63" s="284" t="n">
        <v>10173.4</v>
      </c>
      <c r="G63" s="231">
        <f>E63-F63</f>
        <v/>
      </c>
      <c r="H63" s="534" t="n">
        <v>1</v>
      </c>
      <c r="I63" s="255">
        <f>G63*H63</f>
        <v/>
      </c>
      <c r="J63" s="255" t="n"/>
      <c r="K63" s="207" t="n">
        <v>0.32</v>
      </c>
      <c r="L63" s="178" t="n"/>
      <c r="M63" s="178">
        <f>(I63+L63)*$W$41</f>
        <v/>
      </c>
      <c r="N63" s="180">
        <f>I63*K63+I63+L63+M63</f>
        <v/>
      </c>
      <c r="O63" s="180" t="n"/>
      <c r="P63" s="84" t="n"/>
      <c r="Q63" s="159" t="n"/>
      <c r="R63" s="159" t="n"/>
    </row>
    <row customHeight="1" ht="15" r="64">
      <c r="A64" s="189" t="n">
        <v>11</v>
      </c>
      <c r="B64" s="508" t="n"/>
      <c r="C64" s="210" t="inlineStr">
        <is>
          <t>Скибинский</t>
        </is>
      </c>
      <c r="D64" s="515" t="n">
        <v>3147722799</v>
      </c>
      <c r="E64" s="284" t="inlineStr"/>
      <c r="F64" s="284" t="n">
        <v>14884.3</v>
      </c>
      <c r="G64" s="231">
        <f>E64-F64</f>
        <v/>
      </c>
      <c r="H64" s="534" t="n">
        <v>1</v>
      </c>
      <c r="I64" s="255">
        <f>G64*H64</f>
        <v/>
      </c>
      <c r="J64" s="255" t="n"/>
      <c r="K64" s="207" t="n">
        <v>0.32</v>
      </c>
      <c r="L64" s="178" t="n"/>
      <c r="M64" s="178">
        <f>(I64+L64)*$W$41</f>
        <v/>
      </c>
      <c r="N64" s="180">
        <f>I64*K64+I64+L64+M64</f>
        <v/>
      </c>
      <c r="O64" s="180" t="n"/>
      <c r="P64" s="84" t="n"/>
      <c r="Q64" s="159" t="n"/>
      <c r="R64" s="159" t="n"/>
    </row>
    <row customHeight="1" ht="15" r="65">
      <c r="A65" s="189" t="n">
        <v>12</v>
      </c>
      <c r="B65" s="508" t="n"/>
      <c r="C65" s="210" t="n"/>
      <c r="D65" s="515" t="n"/>
      <c r="E65" s="284" t="inlineStr"/>
      <c r="F65" s="284" t="n">
        <v>22618.1</v>
      </c>
      <c r="G65" s="231">
        <f>E65-F65</f>
        <v/>
      </c>
      <c r="H65" s="534" t="n">
        <v>1</v>
      </c>
      <c r="I65" s="255">
        <f>G65*H65</f>
        <v/>
      </c>
      <c r="J65" s="255" t="n"/>
      <c r="K65" s="207" t="n">
        <v>0.32</v>
      </c>
      <c r="L65" s="178" t="n"/>
      <c r="M65" s="178">
        <f>(I65+L65)*$W$41</f>
        <v/>
      </c>
      <c r="N65" s="180">
        <f>I65*K65+I65+L65+M65</f>
        <v/>
      </c>
      <c r="O65" s="180" t="n"/>
      <c r="P65" s="84" t="n"/>
      <c r="Q65" s="159" t="n"/>
      <c r="R65" s="159" t="n"/>
    </row>
    <row customHeight="1" ht="15" r="66">
      <c r="A66" s="189" t="n"/>
      <c r="B66" s="508" t="n"/>
      <c r="C66" s="210" t="inlineStr">
        <is>
          <t>Теплопункт</t>
        </is>
      </c>
      <c r="D66" s="515" t="n"/>
      <c r="E66" s="284" t="inlineStr"/>
      <c r="F66" s="284" t="n">
        <v>59915.5</v>
      </c>
      <c r="G66" s="231">
        <f>E66-F66</f>
        <v/>
      </c>
      <c r="H66" s="534" t="n">
        <v>1</v>
      </c>
      <c r="I66" s="255">
        <f>G66*H66</f>
        <v/>
      </c>
      <c r="J66" s="255" t="n"/>
      <c r="K66" s="207" t="n"/>
      <c r="L66" s="178" t="n"/>
      <c r="M66" s="178">
        <f>(I66+L66)*$W$41</f>
        <v/>
      </c>
      <c r="N66" s="180" t="n"/>
      <c r="O66" s="180" t="n"/>
      <c r="P66" s="84" t="n"/>
      <c r="Q66" s="159" t="n"/>
      <c r="R66" s="159" t="n"/>
    </row>
    <row customHeight="1" ht="15" r="67">
      <c r="A67" s="181" t="n"/>
      <c r="B67" s="216" t="n"/>
      <c r="C67" s="262" t="n"/>
      <c r="D67" s="262" t="n"/>
      <c r="E67" s="284" t="inlineStr"/>
      <c r="F67" s="284" t="n"/>
      <c r="G67" s="231" t="n"/>
      <c r="H67" s="534" t="n"/>
      <c r="I67" s="255" t="n"/>
      <c r="J67" s="255" t="n"/>
      <c r="K67" s="178" t="n"/>
      <c r="L67" s="178" t="n"/>
      <c r="M67" s="178" t="n"/>
      <c r="N67" s="180" t="n"/>
      <c r="O67" s="180" t="n"/>
      <c r="P67" s="84" t="n"/>
      <c r="Q67" s="159" t="n"/>
      <c r="R67" s="159" t="n"/>
    </row>
    <row customHeight="1" ht="15" r="68">
      <c r="A68" s="189" t="n"/>
      <c r="B68" s="534" t="n"/>
      <c r="C68" s="192" t="inlineStr">
        <is>
          <t>Потребление арендаторов:</t>
        </is>
      </c>
      <c r="D68" s="192" t="n"/>
      <c r="E68" s="255" t="inlineStr"/>
      <c r="F68" s="255" t="n"/>
      <c r="G68" s="231" t="n"/>
      <c r="H68" s="534" t="n"/>
      <c r="J68" s="184">
        <f>SUM(I54:I64)</f>
        <v/>
      </c>
      <c r="K68" s="178" t="n"/>
      <c r="L68" s="178" t="n"/>
      <c r="M68" s="178" t="n"/>
      <c r="O68" s="180">
        <f>K68*L68+K68</f>
        <v/>
      </c>
      <c r="P68" s="194">
        <f>J68*K68+J68</f>
        <v/>
      </c>
      <c r="Q68" s="159" t="n"/>
      <c r="R68" s="159" t="n"/>
    </row>
    <row customHeight="1" ht="15" r="69">
      <c r="A69" s="189" t="n"/>
      <c r="B69" s="534" t="n"/>
      <c r="C69" s="192" t="inlineStr">
        <is>
          <t>Потребление коридора:</t>
        </is>
      </c>
      <c r="D69" s="192" t="n"/>
      <c r="E69" s="255" t="inlineStr"/>
      <c r="F69" s="255" t="n"/>
      <c r="G69" s="231" t="n"/>
      <c r="H69" s="534" t="n"/>
      <c r="J69" s="217">
        <f>J71-J70-J68</f>
        <v/>
      </c>
      <c r="K69" s="178" t="n"/>
      <c r="L69" s="178" t="n"/>
      <c r="M69" s="178" t="n"/>
      <c r="O69" s="180">
        <f>K69*L69+K69</f>
        <v/>
      </c>
      <c r="P69" s="194">
        <f>J69*K69+J69</f>
        <v/>
      </c>
      <c r="Q69" s="159" t="n"/>
      <c r="R69" s="159" t="n"/>
    </row>
    <row customHeight="1" ht="15" r="70">
      <c r="A70" s="255" t="n"/>
      <c r="B70" s="218" t="n"/>
      <c r="C70" s="192" t="inlineStr">
        <is>
          <t>Охрана (въездная группа):</t>
        </is>
      </c>
      <c r="D70" s="192" t="n"/>
      <c r="E70" s="219" t="inlineStr"/>
      <c r="F70" s="219" t="n">
        <v>146557</v>
      </c>
      <c r="G70" s="220">
        <f>E70-F70</f>
        <v/>
      </c>
      <c r="H70" s="418" t="n">
        <v>1</v>
      </c>
      <c r="J70" s="119">
        <f>G70*H70</f>
        <v/>
      </c>
      <c r="K70" s="221" t="n"/>
      <c r="L70" s="178" t="n"/>
      <c r="M70" s="178" t="n"/>
      <c r="O70" s="180">
        <f>K70*L70+K70</f>
        <v/>
      </c>
      <c r="P70" s="194">
        <f>J70*K70+J70</f>
        <v/>
      </c>
      <c r="Q70" s="159" t="n"/>
      <c r="R70" s="159" t="n"/>
    </row>
    <row customHeight="1" ht="15" r="71">
      <c r="A71" s="255" t="n"/>
      <c r="B71" s="534" t="n"/>
      <c r="C71" s="192" t="inlineStr">
        <is>
          <t>Учет подвала секция А общий :</t>
        </is>
      </c>
      <c r="D71" s="192" t="n"/>
      <c r="E71" s="219" t="inlineStr"/>
      <c r="F71" s="219" t="n">
        <v>7979.82</v>
      </c>
      <c r="G71" s="220">
        <f>E71-F71</f>
        <v/>
      </c>
      <c r="H71" s="418" t="n">
        <v>60</v>
      </c>
      <c r="J71" s="119">
        <f>G71*H71</f>
        <v/>
      </c>
      <c r="K71" s="198" t="n"/>
      <c r="L71" s="178" t="n"/>
      <c r="M71" s="178" t="n"/>
      <c r="O71" s="180">
        <f>K71*L71+K71</f>
        <v/>
      </c>
      <c r="P71" s="194">
        <f>J71*K71+J71</f>
        <v/>
      </c>
      <c r="Q71" s="200" t="n"/>
      <c r="R71" s="201" t="n"/>
      <c r="S71" s="202" t="n"/>
      <c r="T71" s="427" t="n"/>
      <c r="U71" s="427" t="n"/>
      <c r="V71" s="427" t="n"/>
      <c r="W71" s="427" t="n"/>
      <c r="X71" s="427" t="n"/>
      <c r="Y71" s="427" t="n"/>
    </row>
    <row customHeight="1" ht="15.75" r="72">
      <c r="A72" s="255" t="n"/>
      <c r="B72" s="534" t="n"/>
      <c r="C72" s="192" t="inlineStr">
        <is>
          <t>Выставляем арендаторам :</t>
        </is>
      </c>
      <c r="D72" s="192" t="n"/>
      <c r="E72" s="197" t="inlineStr"/>
      <c r="F72" s="197" t="n"/>
      <c r="G72" s="231" t="n"/>
      <c r="H72" s="534" t="n"/>
      <c r="I72" s="255" t="n"/>
      <c r="J72" s="255" t="n"/>
      <c r="K72" s="198" t="n"/>
      <c r="L72" s="178" t="n"/>
      <c r="M72" s="178" t="n"/>
      <c r="O72" s="180" t="n"/>
      <c r="P72" s="199">
        <f>SUM(N54:N65)</f>
        <v/>
      </c>
      <c r="Q72" s="200" t="n"/>
      <c r="R72" s="201" t="n"/>
      <c r="S72" s="202" t="n"/>
      <c r="T72" s="427" t="n"/>
      <c r="U72" s="427" t="n"/>
      <c r="V72" s="427" t="n"/>
      <c r="W72" s="427" t="n"/>
      <c r="X72" s="427" t="n"/>
      <c r="Y72" s="427" t="n"/>
    </row>
    <row customHeight="1" ht="15" r="73">
      <c r="A73" s="255" t="n"/>
      <c r="B73" s="534" t="n"/>
      <c r="C73" s="192" t="inlineStr">
        <is>
          <t>Общий итог :</t>
        </is>
      </c>
      <c r="D73" s="192" t="n"/>
      <c r="E73" s="197" t="inlineStr"/>
      <c r="F73" s="197" t="n"/>
      <c r="G73" s="231" t="n"/>
      <c r="H73" s="534" t="n"/>
      <c r="I73" s="255" t="n"/>
      <c r="J73" s="255" t="n"/>
      <c r="K73" s="198" t="n"/>
      <c r="L73" s="178" t="n"/>
      <c r="M73" s="178" t="n"/>
      <c r="O73" s="180" t="n"/>
      <c r="P73" s="194">
        <f>P72-P71</f>
        <v/>
      </c>
      <c r="Q73" s="200" t="n"/>
      <c r="R73" s="201" t="n"/>
      <c r="S73" s="202" t="n"/>
      <c r="T73" s="427" t="n"/>
      <c r="U73" s="427" t="n"/>
      <c r="V73" s="427" t="n"/>
      <c r="W73" s="427" t="n"/>
      <c r="X73" s="427" t="n"/>
      <c r="Y73" s="427" t="n"/>
    </row>
    <row customHeight="1" ht="15" r="74">
      <c r="A74" s="255" t="n"/>
      <c r="B74" s="534" t="n"/>
      <c r="C74" s="192" t="inlineStr">
        <is>
          <t>Общий итог с потерями РЭСа:</t>
        </is>
      </c>
      <c r="D74" s="192" t="n"/>
      <c r="E74" s="197" t="inlineStr"/>
      <c r="F74" s="197" t="n"/>
      <c r="G74" s="231" t="n"/>
      <c r="H74" s="534" t="n"/>
      <c r="I74" s="255" t="n"/>
      <c r="J74" s="255" t="n"/>
      <c r="K74" s="198" t="n"/>
      <c r="L74" s="178" t="n"/>
      <c r="M74" s="178" t="n"/>
      <c r="O74" s="180" t="n"/>
      <c r="P74" s="194">
        <f>P72-(P71*AC25+P71)</f>
        <v/>
      </c>
      <c r="Q74" s="200" t="n"/>
      <c r="R74" s="201" t="n"/>
      <c r="S74" s="202" t="n"/>
      <c r="T74" s="427" t="n"/>
      <c r="U74" s="427" t="n"/>
      <c r="V74" s="427" t="n"/>
      <c r="W74" s="427" t="n"/>
      <c r="X74" s="427" t="n"/>
      <c r="Y74" s="427" t="n"/>
    </row>
    <row customFormat="1" customHeight="1" ht="14.25" r="75" s="507">
      <c r="A75" s="536" t="n"/>
      <c r="B75" s="537" t="n"/>
      <c r="C75" s="536" t="n"/>
      <c r="D75" s="536" t="n"/>
      <c r="E75" s="537" t="inlineStr"/>
      <c r="F75" s="537" t="n"/>
      <c r="G75" s="537" t="n"/>
      <c r="H75" s="537" t="n"/>
      <c r="I75" s="537" t="n"/>
      <c r="J75" s="536" t="n"/>
      <c r="K75" s="537" t="n"/>
      <c r="L75" s="537" t="n"/>
      <c r="M75" s="537" t="n"/>
      <c r="N75" s="536" t="n"/>
      <c r="O75" s="536" t="n"/>
      <c r="P75" s="427" t="n"/>
      <c r="Q75" s="200" t="n"/>
      <c r="R75" s="201" t="n"/>
      <c r="S75" s="202" t="n"/>
      <c r="T75" s="427" t="n"/>
      <c r="U75" s="427" t="n"/>
      <c r="V75" s="427" t="n"/>
      <c r="W75" s="427" t="n"/>
      <c r="X75" s="427" t="n"/>
      <c r="Y75" s="427" t="n"/>
    </row>
    <row customHeight="1" ht="15" r="76">
      <c r="A76" s="203" t="n"/>
      <c r="B76" s="164" t="n"/>
      <c r="C76" s="165" t="inlineStr">
        <is>
          <t>1-й этаж секция А:</t>
        </is>
      </c>
      <c r="D76" s="225" t="inlineStr">
        <is>
          <t>код ОКПО</t>
        </is>
      </c>
      <c r="E76" s="226" t="inlineStr"/>
      <c r="F76" s="226" t="n"/>
      <c r="G76" s="206" t="n"/>
      <c r="H76" s="164" t="n"/>
      <c r="I76" s="206" t="n"/>
      <c r="J76" s="206" t="n"/>
      <c r="K76" s="227" t="n">
        <v>0.32</v>
      </c>
      <c r="L76" s="208" t="n"/>
      <c r="M76" s="208" t="n"/>
      <c r="N76" s="209" t="n"/>
      <c r="O76" s="209" t="n"/>
      <c r="P76" s="186" t="n"/>
      <c r="Q76" s="159" t="n"/>
      <c r="R76" s="159" t="n"/>
    </row>
    <row customHeight="1" ht="15" r="77">
      <c r="A77" s="181" t="n">
        <v>1</v>
      </c>
      <c r="B77" s="509" t="n">
        <v>1101</v>
      </c>
      <c r="C77" s="228" t="inlineStr">
        <is>
          <t>Глебов</t>
        </is>
      </c>
      <c r="D77" s="515" t="n">
        <v>2776316818</v>
      </c>
      <c r="E77" s="255" t="inlineStr"/>
      <c r="F77" s="255" t="n">
        <v>38418.7</v>
      </c>
      <c r="G77" s="229">
        <f>E77-F77</f>
        <v/>
      </c>
      <c r="H77" s="230" t="n">
        <v>1</v>
      </c>
      <c r="I77" s="231">
        <f>G77*H77</f>
        <v/>
      </c>
      <c r="J77" s="231" t="n"/>
      <c r="K77" s="227" t="n">
        <v>0.32</v>
      </c>
      <c r="L77" s="232" t="n"/>
      <c r="M77" s="178">
        <f>(I77+L77)*$W$41</f>
        <v/>
      </c>
      <c r="N77" s="180">
        <f>I77*K77+I77+L77+M77</f>
        <v/>
      </c>
      <c r="O77" s="180" t="n"/>
      <c r="P77" s="186" t="n"/>
      <c r="Q77" s="159" t="n"/>
      <c r="R77" s="159" t="n"/>
    </row>
    <row customHeight="1" ht="15" r="78">
      <c r="A78" s="181" t="n">
        <v>2</v>
      </c>
      <c r="B78" s="509" t="n">
        <v>1102</v>
      </c>
      <c r="C78" s="228" t="inlineStr">
        <is>
          <t>Евровагонсервис</t>
        </is>
      </c>
      <c r="D78" s="515" t="n">
        <v>41558040</v>
      </c>
      <c r="E78" s="260" t="inlineStr"/>
      <c r="F78" s="260" t="n">
        <v>29788.7</v>
      </c>
      <c r="G78" s="229">
        <f>E78-F78</f>
        <v/>
      </c>
      <c r="H78" s="230" t="n">
        <v>1</v>
      </c>
      <c r="I78" s="231">
        <f>G78*H78</f>
        <v/>
      </c>
      <c r="J78" s="231" t="n"/>
      <c r="K78" s="227" t="n">
        <v>0.32</v>
      </c>
      <c r="L78" s="232" t="n"/>
      <c r="M78" s="178">
        <f>(I78+L78)*$W$41</f>
        <v/>
      </c>
      <c r="N78" s="180">
        <f>I78*K78+I78+L78+M78</f>
        <v/>
      </c>
      <c r="O78" s="180" t="n"/>
      <c r="P78" s="186" t="n"/>
      <c r="Q78" s="159" t="n"/>
      <c r="R78" s="159" t="n"/>
    </row>
    <row customHeight="1" ht="15" r="79">
      <c r="A79" s="181" t="n">
        <v>3</v>
      </c>
      <c r="B79" s="509" t="n">
        <v>1103</v>
      </c>
      <c r="C79" s="228" t="inlineStr">
        <is>
          <t>Смарт марин концепт</t>
        </is>
      </c>
      <c r="D79" s="515" t="n">
        <v>42721413</v>
      </c>
      <c r="E79" s="260" t="inlineStr"/>
      <c r="F79" s="260" t="n">
        <v>3207.1</v>
      </c>
      <c r="G79" s="229">
        <f>E79-F79</f>
        <v/>
      </c>
      <c r="H79" s="230" t="n">
        <v>1</v>
      </c>
      <c r="I79" s="231">
        <f>G79*H79</f>
        <v/>
      </c>
      <c r="J79" s="231" t="n"/>
      <c r="K79" s="227" t="n">
        <v>0.32</v>
      </c>
      <c r="L79" s="232" t="n">
        <v>3</v>
      </c>
      <c r="M79" s="178">
        <f>(I79+L79)*$W$41</f>
        <v/>
      </c>
      <c r="N79" s="180">
        <f>I79*K79+I79+L79+M79</f>
        <v/>
      </c>
      <c r="O79" s="180" t="n"/>
      <c r="P79" s="186" t="n"/>
      <c r="Q79" s="159" t="n"/>
      <c r="R79" s="159" t="n"/>
    </row>
    <row customHeight="1" ht="15" r="80">
      <c r="A80" s="181" t="n">
        <v>4</v>
      </c>
      <c r="B80" s="509" t="n">
        <v>1104</v>
      </c>
      <c r="C80" s="228" t="inlineStr">
        <is>
          <t>Фрателли консорциум</t>
        </is>
      </c>
      <c r="D80" s="515" t="n">
        <v>40069665</v>
      </c>
      <c r="E80" s="260" t="inlineStr"/>
      <c r="F80" s="260" t="n">
        <v>4370.6</v>
      </c>
      <c r="G80" s="229">
        <f>E80-F80</f>
        <v/>
      </c>
      <c r="H80" s="230" t="n">
        <v>1</v>
      </c>
      <c r="I80" s="231">
        <f>G80*H80</f>
        <v/>
      </c>
      <c r="J80" s="231" t="n"/>
      <c r="K80" s="227" t="n">
        <v>0.32</v>
      </c>
      <c r="L80" s="232" t="n"/>
      <c r="M80" s="178">
        <f>(I80+L80)*$W$41</f>
        <v/>
      </c>
      <c r="N80" s="180">
        <f>I80*K80+I80+L80+M80</f>
        <v/>
      </c>
      <c r="O80" s="180" t="n"/>
      <c r="P80" s="186" t="n"/>
      <c r="Q80" s="159" t="n"/>
      <c r="R80" s="159" t="n"/>
    </row>
    <row customHeight="1" ht="15" r="81">
      <c r="A81" s="181" t="n">
        <v>5</v>
      </c>
      <c r="B81" s="509" t="n">
        <v>1105</v>
      </c>
      <c r="C81" s="228" t="inlineStr">
        <is>
          <t>Ильина</t>
        </is>
      </c>
      <c r="D81" s="515" t="n">
        <v>3161413146</v>
      </c>
      <c r="E81" s="260" t="inlineStr"/>
      <c r="F81" s="260" t="n">
        <v>3962.8</v>
      </c>
      <c r="G81" s="229">
        <f>E81-F81</f>
        <v/>
      </c>
      <c r="H81" s="230" t="n">
        <v>1</v>
      </c>
      <c r="I81" s="231">
        <f>G81*H81</f>
        <v/>
      </c>
      <c r="J81" s="231" t="n"/>
      <c r="K81" s="227" t="n">
        <v>0.32</v>
      </c>
      <c r="L81" s="232" t="n">
        <v>3</v>
      </c>
      <c r="M81" s="178">
        <f>(I81+L81)*$W$41</f>
        <v/>
      </c>
      <c r="N81" s="180">
        <f>I81*K81+I81+L81+M81</f>
        <v/>
      </c>
      <c r="O81" s="180" t="n"/>
      <c r="P81" s="186" t="n"/>
      <c r="Q81" s="159" t="n"/>
      <c r="R81" s="159" t="n"/>
    </row>
    <row customHeight="1" ht="15" r="82">
      <c r="A82" s="181" t="n">
        <v>6</v>
      </c>
      <c r="B82" s="509" t="n">
        <v>1106</v>
      </c>
      <c r="C82" s="228" t="inlineStr">
        <is>
          <t>Пастух</t>
        </is>
      </c>
      <c r="D82" s="515" t="n">
        <v>3314510056</v>
      </c>
      <c r="E82" s="260" t="inlineStr"/>
      <c r="F82" s="260" t="n">
        <v>5330.7</v>
      </c>
      <c r="G82" s="229">
        <f>E82-F82</f>
        <v/>
      </c>
      <c r="H82" s="230" t="n">
        <v>1</v>
      </c>
      <c r="I82" s="231">
        <f>G82*H82</f>
        <v/>
      </c>
      <c r="J82" s="231" t="n"/>
      <c r="K82" s="227" t="n">
        <v>0.32</v>
      </c>
      <c r="L82" s="232" t="n"/>
      <c r="M82" s="178">
        <f>(I82+L82)*$W$41</f>
        <v/>
      </c>
      <c r="N82" s="180">
        <f>I82*K82+I82+L82+M82</f>
        <v/>
      </c>
      <c r="O82" s="180" t="n"/>
      <c r="P82" s="186" t="n"/>
      <c r="Q82" s="159" t="n"/>
      <c r="R82" s="159" t="n"/>
    </row>
    <row customHeight="1" ht="15" r="83">
      <c r="A83" s="181" t="n">
        <v>7</v>
      </c>
      <c r="B83" s="509" t="n">
        <v>1107</v>
      </c>
      <c r="C83" s="228" t="inlineStr">
        <is>
          <t>Благоустрий ДБК</t>
        </is>
      </c>
      <c r="D83" s="515" t="n">
        <v>37608598</v>
      </c>
      <c r="E83" s="260" t="inlineStr"/>
      <c r="F83" s="260" t="n">
        <v>3717.9</v>
      </c>
      <c r="G83" s="229">
        <f>E83-F83</f>
        <v/>
      </c>
      <c r="H83" s="230" t="n">
        <v>1</v>
      </c>
      <c r="I83" s="231">
        <f>G83*H83</f>
        <v/>
      </c>
      <c r="J83" s="231" t="n"/>
      <c r="K83" s="227" t="n">
        <v>0.32</v>
      </c>
      <c r="L83" s="232" t="n"/>
      <c r="M83" s="178">
        <f>(I83+L83)*$W$41</f>
        <v/>
      </c>
      <c r="N83" s="180">
        <f>I83*K83+I83+L83+M83</f>
        <v/>
      </c>
      <c r="O83" s="180" t="n"/>
      <c r="P83" s="186" t="n"/>
      <c r="Q83" s="159" t="n"/>
      <c r="R83" s="159" t="n"/>
    </row>
    <row customHeight="1" ht="15" r="84">
      <c r="A84" s="181" t="n">
        <v>8</v>
      </c>
      <c r="B84" s="509" t="n">
        <v>1108</v>
      </c>
      <c r="C84" s="228" t="inlineStr">
        <is>
          <t>Имтехтрейд</t>
        </is>
      </c>
      <c r="D84" s="515" t="n">
        <v>38944784</v>
      </c>
      <c r="E84" s="260" t="inlineStr"/>
      <c r="F84" s="260" t="n">
        <v>4868.5</v>
      </c>
      <c r="G84" s="229">
        <f>E84-F84</f>
        <v/>
      </c>
      <c r="H84" s="230" t="n">
        <v>1</v>
      </c>
      <c r="I84" s="231">
        <f>G84*H84</f>
        <v/>
      </c>
      <c r="J84" s="231" t="n"/>
      <c r="K84" s="227" t="n">
        <v>0.32</v>
      </c>
      <c r="L84" s="232" t="n"/>
      <c r="M84" s="178">
        <f>(I84+L84)*$W$41</f>
        <v/>
      </c>
      <c r="N84" s="180">
        <f>I84*K84+I84+L84+M84</f>
        <v/>
      </c>
      <c r="O84" s="180" t="n"/>
      <c r="P84" s="186" t="n"/>
      <c r="Q84" s="159" t="n"/>
      <c r="R84" s="159" t="n"/>
    </row>
    <row customHeight="1" ht="15" r="85">
      <c r="A85" s="181" t="n">
        <v>9</v>
      </c>
      <c r="B85" s="509" t="n">
        <v>1109</v>
      </c>
      <c r="C85" s="228" t="inlineStr">
        <is>
          <t>Аккорд крю менеджмент</t>
        </is>
      </c>
      <c r="D85" s="515" t="n">
        <v>41676192</v>
      </c>
      <c r="E85" s="234" t="inlineStr"/>
      <c r="F85" s="234" t="n">
        <v>1820.4</v>
      </c>
      <c r="G85" s="231">
        <f>E85-F85</f>
        <v/>
      </c>
      <c r="H85" s="230" t="n">
        <v>1</v>
      </c>
      <c r="I85" s="231">
        <f>G85*H85</f>
        <v/>
      </c>
      <c r="J85" s="231" t="n"/>
      <c r="K85" s="227" t="n">
        <v>0.32</v>
      </c>
      <c r="L85" s="232" t="n"/>
      <c r="M85" s="178">
        <f>(I85+L85)*$W$41</f>
        <v/>
      </c>
      <c r="N85" s="180">
        <f>I85*K85+I85+L85+M85</f>
        <v/>
      </c>
      <c r="O85" s="180" t="n"/>
      <c r="P85" s="186" t="n"/>
      <c r="Q85" s="159" t="n"/>
      <c r="R85" s="159" t="n"/>
    </row>
    <row customHeight="1" ht="15" r="86">
      <c r="A86" s="181" t="n">
        <v>10</v>
      </c>
      <c r="B86" s="509" t="n">
        <v>1110</v>
      </c>
      <c r="C86" s="228" t="inlineStr">
        <is>
          <t>Ситипаркинг</t>
        </is>
      </c>
      <c r="D86" s="515" t="n">
        <v>37607238</v>
      </c>
      <c r="E86" s="235" t="inlineStr"/>
      <c r="F86" s="235" t="n">
        <v>4286</v>
      </c>
      <c r="G86" s="231">
        <f>E86-F86</f>
        <v/>
      </c>
      <c r="H86" s="230" t="n">
        <v>1</v>
      </c>
      <c r="I86" s="231">
        <f>G86*H86</f>
        <v/>
      </c>
      <c r="J86" s="231" t="n"/>
      <c r="K86" s="227" t="n">
        <v>0.32</v>
      </c>
      <c r="L86" s="232" t="n"/>
      <c r="M86" s="178">
        <f>(I86+L86)*$W$41</f>
        <v/>
      </c>
      <c r="N86" s="180">
        <f>I86*K86+I86+L86+M86</f>
        <v/>
      </c>
      <c r="O86" s="180" t="n"/>
      <c r="P86" s="186" t="n"/>
      <c r="Q86" s="159" t="n"/>
      <c r="R86" s="159" t="n"/>
    </row>
    <row customHeight="1" ht="15" r="87">
      <c r="A87" s="181" t="n">
        <v>11</v>
      </c>
      <c r="B87" s="509" t="n">
        <v>1111</v>
      </c>
      <c r="C87" s="228" t="inlineStr">
        <is>
          <t>Евровагонсервис</t>
        </is>
      </c>
      <c r="D87" s="515" t="n">
        <v>41558040</v>
      </c>
      <c r="E87" s="235" t="inlineStr"/>
      <c r="F87" s="235" t="n">
        <v>16169.3</v>
      </c>
      <c r="G87" s="231">
        <f>E87-F87</f>
        <v/>
      </c>
      <c r="H87" s="230" t="n">
        <v>1</v>
      </c>
      <c r="I87" s="231">
        <f>G87*H87</f>
        <v/>
      </c>
      <c r="J87" s="231" t="n"/>
      <c r="K87" s="227" t="n">
        <v>0.32</v>
      </c>
      <c r="L87" s="232" t="n"/>
      <c r="M87" s="178">
        <f>(I87+L87)*$W$41</f>
        <v/>
      </c>
      <c r="N87" s="180">
        <f>I87*K87+I87+L87+M87</f>
        <v/>
      </c>
      <c r="O87" s="180" t="n"/>
      <c r="P87" s="186" t="n"/>
      <c r="Q87" s="159" t="n"/>
      <c r="R87" s="159" t="n"/>
    </row>
    <row customHeight="1" ht="15" r="88">
      <c r="A88" s="181" t="n">
        <v>12</v>
      </c>
      <c r="B88" s="509" t="n">
        <v>1111</v>
      </c>
      <c r="C88" s="228" t="inlineStr">
        <is>
          <t>Евровагонсервис</t>
        </is>
      </c>
      <c r="D88" s="515" t="n">
        <v>41558040</v>
      </c>
      <c r="E88" s="235" t="inlineStr"/>
      <c r="F88" s="235" t="n">
        <v>9827.5</v>
      </c>
      <c r="G88" s="231">
        <f>E88-F88</f>
        <v/>
      </c>
      <c r="H88" s="230" t="n">
        <v>1</v>
      </c>
      <c r="I88" s="231">
        <f>G88*H88</f>
        <v/>
      </c>
      <c r="J88" s="231" t="n"/>
      <c r="K88" s="227" t="n">
        <v>0.32</v>
      </c>
      <c r="L88" s="232" t="n"/>
      <c r="M88" s="178">
        <f>(I88+L88)*$W$41</f>
        <v/>
      </c>
      <c r="N88" s="180">
        <f>I88*K88+I88+L88+M88</f>
        <v/>
      </c>
      <c r="O88" s="180" t="n"/>
      <c r="P88" s="186" t="n"/>
      <c r="Q88" s="159" t="n"/>
      <c r="R88" s="159" t="n"/>
    </row>
    <row customHeight="1" ht="15" r="89">
      <c r="A89" s="181" t="n">
        <v>13</v>
      </c>
      <c r="B89" s="509" t="n">
        <v>1114</v>
      </c>
      <c r="C89" s="210" t="inlineStr">
        <is>
          <t>Бемоби Украина</t>
        </is>
      </c>
      <c r="D89" s="515" t="n">
        <v>37946560</v>
      </c>
      <c r="E89" s="237" t="inlineStr"/>
      <c r="F89" s="237" t="n">
        <v>11269.1</v>
      </c>
      <c r="G89" s="231">
        <f>E89-F89</f>
        <v/>
      </c>
      <c r="H89" s="230" t="n">
        <v>1</v>
      </c>
      <c r="I89" s="231">
        <f>G89*H89</f>
        <v/>
      </c>
      <c r="J89" s="231" t="n"/>
      <c r="K89" s="227" t="n">
        <v>0.32</v>
      </c>
      <c r="L89" s="232" t="n"/>
      <c r="M89" s="178">
        <f>(I89+L89)*$W$41</f>
        <v/>
      </c>
      <c r="N89" s="180">
        <f>I89*K89+I89+L89+M89</f>
        <v/>
      </c>
      <c r="O89" s="180" t="n"/>
      <c r="P89" s="186" t="n"/>
      <c r="Q89" s="159" t="n"/>
      <c r="R89" s="159" t="n"/>
    </row>
    <row customHeight="1" ht="15" r="90">
      <c r="A90" s="181" t="n">
        <v>14</v>
      </c>
      <c r="B90" s="509" t="n">
        <v>1115</v>
      </c>
      <c r="C90" s="210" t="inlineStr">
        <is>
          <t>Бемоби Украина</t>
        </is>
      </c>
      <c r="D90" s="515" t="n">
        <v>37946560</v>
      </c>
      <c r="E90" s="237" t="inlineStr"/>
      <c r="F90" s="237" t="n">
        <v>12332.6</v>
      </c>
      <c r="G90" s="231">
        <f>E90-F90</f>
        <v/>
      </c>
      <c r="H90" s="230" t="n">
        <v>1</v>
      </c>
      <c r="I90" s="231">
        <f>G90*H90</f>
        <v/>
      </c>
      <c r="J90" s="231" t="n"/>
      <c r="K90" s="227" t="n">
        <v>0.32</v>
      </c>
      <c r="L90" s="232" t="n"/>
      <c r="M90" s="178">
        <f>(I90+L90)*$W$41</f>
        <v/>
      </c>
      <c r="N90" s="180">
        <f>I90*K90+I90+L90+M90</f>
        <v/>
      </c>
      <c r="O90" s="180" t="n"/>
      <c r="P90" s="186" t="n"/>
      <c r="Q90" s="159" t="n"/>
      <c r="R90" s="159" t="n"/>
    </row>
    <row customHeight="1" ht="15" r="91">
      <c r="A91" s="181" t="n">
        <v>15</v>
      </c>
      <c r="B91" s="509" t="n">
        <v>1116</v>
      </c>
      <c r="C91" s="210" t="inlineStr">
        <is>
          <t>Бемоби Украина</t>
        </is>
      </c>
      <c r="D91" s="515" t="n">
        <v>37946560</v>
      </c>
      <c r="E91" s="237" t="inlineStr"/>
      <c r="F91" s="237" t="n">
        <v>11129.8</v>
      </c>
      <c r="G91" s="231">
        <f>E91-F91</f>
        <v/>
      </c>
      <c r="H91" s="230" t="n">
        <v>1</v>
      </c>
      <c r="I91" s="231">
        <f>G91*H91</f>
        <v/>
      </c>
      <c r="J91" s="231" t="n"/>
      <c r="K91" s="227" t="n">
        <v>0.32</v>
      </c>
      <c r="L91" s="232" t="n"/>
      <c r="M91" s="178">
        <f>(I91+L91)*$W$41</f>
        <v/>
      </c>
      <c r="N91" s="180">
        <f>I91*K91+I91+L91+M91</f>
        <v/>
      </c>
      <c r="O91" s="180" t="n"/>
      <c r="P91" s="186" t="n"/>
      <c r="Q91" s="159" t="n"/>
      <c r="R91" s="159" t="n"/>
    </row>
    <row customHeight="1" ht="15" r="92">
      <c r="A92" s="181" t="n">
        <v>16</v>
      </c>
      <c r="B92" s="509" t="n">
        <v>1117</v>
      </c>
      <c r="C92" s="210" t="inlineStr">
        <is>
          <t>Бемоби Украина</t>
        </is>
      </c>
      <c r="D92" s="515" t="n">
        <v>37946560</v>
      </c>
      <c r="E92" s="237" t="inlineStr"/>
      <c r="F92" s="237" t="n">
        <v>16591.6</v>
      </c>
      <c r="G92" s="231">
        <f>E92-F92</f>
        <v/>
      </c>
      <c r="H92" s="230" t="n">
        <v>1</v>
      </c>
      <c r="I92" s="231">
        <f>G92*H92</f>
        <v/>
      </c>
      <c r="J92" s="231" t="n"/>
      <c r="K92" s="227" t="n">
        <v>0.32</v>
      </c>
      <c r="L92" s="232" t="n"/>
      <c r="M92" s="178">
        <f>(I92+L92)*$W$41</f>
        <v/>
      </c>
      <c r="N92" s="180">
        <f>I92*K92+I92+L92+M92</f>
        <v/>
      </c>
      <c r="O92" s="180" t="n"/>
      <c r="P92" s="186" t="n"/>
      <c r="Q92" s="159" t="n"/>
      <c r="R92" s="159" t="n"/>
    </row>
    <row customHeight="1" ht="15" r="93">
      <c r="A93" s="181" t="n">
        <v>17</v>
      </c>
      <c r="B93" s="509" t="n">
        <v>1118</v>
      </c>
      <c r="C93" s="210" t="inlineStr">
        <is>
          <t>СФ Агро</t>
        </is>
      </c>
      <c r="D93" s="515" t="n">
        <v>41331968</v>
      </c>
      <c r="E93" s="237" t="inlineStr"/>
      <c r="F93" s="237" t="n">
        <v>9565.799999999999</v>
      </c>
      <c r="G93" s="237">
        <f>E93-F93</f>
        <v/>
      </c>
      <c r="H93" s="230" t="n">
        <v>1</v>
      </c>
      <c r="I93" s="231">
        <f>G93*H93</f>
        <v/>
      </c>
      <c r="J93" s="231" t="n"/>
      <c r="K93" s="227" t="n">
        <v>0.32</v>
      </c>
      <c r="L93" s="232" t="n"/>
      <c r="M93" s="178">
        <f>(I93+L93)*$W$41</f>
        <v/>
      </c>
      <c r="N93" s="180">
        <f>I93*K93+I93+L93+M93</f>
        <v/>
      </c>
      <c r="O93" s="180" t="n"/>
      <c r="P93" s="186" t="n"/>
      <c r="Q93" s="159" t="n"/>
      <c r="R93" s="159" t="n"/>
    </row>
    <row customHeight="1" ht="15" r="94">
      <c r="A94" s="238" t="n">
        <v>18</v>
      </c>
      <c r="B94" s="509" t="n">
        <v>1119</v>
      </c>
      <c r="C94" s="210" t="inlineStr">
        <is>
          <t>Материк</t>
        </is>
      </c>
      <c r="D94" s="515" t="n">
        <v>40308440</v>
      </c>
      <c r="E94" s="237" t="inlineStr"/>
      <c r="F94" s="237" t="n">
        <v>12237.6</v>
      </c>
      <c r="G94" s="231">
        <f>E94-F94</f>
        <v/>
      </c>
      <c r="H94" s="230" t="n">
        <v>1</v>
      </c>
      <c r="I94" s="231">
        <f>G94*H94</f>
        <v/>
      </c>
      <c r="J94" s="231" t="n"/>
      <c r="K94" s="227" t="n">
        <v>0.32</v>
      </c>
      <c r="L94" s="232" t="n"/>
      <c r="M94" s="178">
        <f>(I94+L94)*$W$41</f>
        <v/>
      </c>
      <c r="N94" s="180">
        <f>I94*K94+I94+L94+M94</f>
        <v/>
      </c>
      <c r="O94" s="180" t="n"/>
      <c r="P94" s="84" t="n"/>
      <c r="Q94" s="159" t="n"/>
      <c r="R94" s="159" t="n"/>
    </row>
    <row customHeight="1" ht="15" r="95">
      <c r="A95" s="262" t="n">
        <v>19</v>
      </c>
      <c r="B95" s="509" t="n"/>
      <c r="C95" s="239" t="inlineStr">
        <is>
          <t>Химченко</t>
        </is>
      </c>
      <c r="D95" s="240" t="n">
        <v>3280010593</v>
      </c>
      <c r="E95" s="241" t="inlineStr"/>
      <c r="F95" s="241" t="n">
        <v>162081.4</v>
      </c>
      <c r="G95" s="242">
        <f>E95-F95</f>
        <v/>
      </c>
      <c r="H95" s="243" t="n">
        <v>1</v>
      </c>
      <c r="I95" s="241">
        <f>G95*H95</f>
        <v/>
      </c>
      <c r="J95" s="241" t="n"/>
      <c r="K95" s="227" t="n">
        <v>0.32</v>
      </c>
      <c r="L95" s="244" t="n"/>
      <c r="M95" s="178">
        <f>(I95+L95)*$W$41</f>
        <v/>
      </c>
      <c r="N95" s="180">
        <f>I95*K95+I95+L95+M95</f>
        <v/>
      </c>
      <c r="O95" s="180" t="n"/>
      <c r="P95" s="84" t="n"/>
      <c r="Q95" s="159" t="n"/>
      <c r="R95" s="159" t="n"/>
    </row>
    <row customHeight="1" ht="15" r="96">
      <c r="A96" s="262" t="n">
        <v>20</v>
      </c>
      <c r="B96" s="509" t="n"/>
      <c r="C96" s="239" t="inlineStr">
        <is>
          <t>Бойлер фитнес</t>
        </is>
      </c>
      <c r="D96" s="240" t="n"/>
      <c r="E96" s="241" t="inlineStr"/>
      <c r="F96" s="241" t="n">
        <v>26488.3</v>
      </c>
      <c r="G96" s="242">
        <f>E96-F96</f>
        <v/>
      </c>
      <c r="H96" s="243" t="n">
        <v>1</v>
      </c>
      <c r="I96" s="241" t="n"/>
      <c r="J96" s="241" t="n"/>
      <c r="K96" s="227" t="n">
        <v>0.32</v>
      </c>
      <c r="L96" s="244" t="n"/>
      <c r="M96" s="178">
        <f>(I96+L96)*$W$41</f>
        <v/>
      </c>
      <c r="N96" s="245" t="n"/>
      <c r="O96" s="180" t="n"/>
      <c r="P96" s="84" t="n"/>
      <c r="Q96" s="159" t="n"/>
      <c r="R96" s="159" t="n"/>
    </row>
    <row customHeight="1" ht="15" r="97">
      <c r="A97" s="181" t="n">
        <v>22</v>
      </c>
      <c r="B97" s="509" t="n"/>
      <c r="C97" s="182" t="inlineStr">
        <is>
          <t>Автоторино(склад возле входа в подвал)</t>
        </is>
      </c>
      <c r="D97" s="515" t="n">
        <v>35768568</v>
      </c>
      <c r="E97" s="284" t="inlineStr"/>
      <c r="F97" s="284" t="n">
        <v>8455.700000000001</v>
      </c>
      <c r="G97" s="231">
        <f>E97-F97</f>
        <v/>
      </c>
      <c r="H97" s="534" t="n">
        <v>1</v>
      </c>
      <c r="I97" s="184">
        <f>G97*H97</f>
        <v/>
      </c>
      <c r="J97" s="184" t="n"/>
      <c r="K97" s="227" t="n">
        <v>0.32</v>
      </c>
      <c r="L97" s="178" t="n"/>
      <c r="M97" s="178">
        <f>(I97+L97)*$W$41</f>
        <v/>
      </c>
      <c r="N97" s="180">
        <f>I97*K97+I97+L97+M97</f>
        <v/>
      </c>
      <c r="O97" s="180" t="n"/>
      <c r="P97" s="186" t="n"/>
      <c r="Q97" s="159" t="n"/>
      <c r="R97" s="159" t="n"/>
    </row>
    <row customFormat="1" customHeight="1" ht="15" r="98" s="252">
      <c r="A98" s="181" t="n"/>
      <c r="B98" s="216" t="n"/>
      <c r="C98" s="246" t="n"/>
      <c r="D98" s="247" t="n"/>
      <c r="E98" s="248" t="inlineStr"/>
      <c r="F98" s="248" t="n"/>
      <c r="G98" s="249" t="n"/>
      <c r="H98" s="216" t="n"/>
      <c r="I98" s="223" t="n"/>
      <c r="J98" s="223" t="n"/>
      <c r="K98" s="217" t="n"/>
      <c r="L98" s="217" t="n"/>
      <c r="M98" s="217" t="n"/>
      <c r="N98" s="224" t="n"/>
      <c r="O98" s="224" t="n"/>
      <c r="P98" s="250" t="n"/>
      <c r="Q98" s="251" t="n"/>
      <c r="R98" s="251" t="n"/>
    </row>
    <row customHeight="1" ht="15" r="99">
      <c r="A99" s="189" t="n"/>
      <c r="B99" s="534" t="n"/>
      <c r="C99" s="192" t="inlineStr">
        <is>
          <t>Потребление арендаторов:</t>
        </is>
      </c>
      <c r="D99" s="192" t="n"/>
      <c r="E99" s="255" t="inlineStr"/>
      <c r="F99" s="189" t="n"/>
      <c r="G99" s="231" t="n"/>
      <c r="H99" s="534" t="n"/>
      <c r="J99" s="231">
        <f>SUM(I77:J97)+I65</f>
        <v/>
      </c>
      <c r="K99" s="178" t="n"/>
      <c r="L99" s="178" t="n"/>
      <c r="M99" s="178" t="n"/>
      <c r="O99" s="180">
        <f>K99*L99+K99</f>
        <v/>
      </c>
      <c r="P99" s="194">
        <f>J99*K99+J99</f>
        <v/>
      </c>
      <c r="Q99" s="159" t="n"/>
      <c r="R99" s="159" t="n"/>
    </row>
    <row customHeight="1" ht="15" r="100">
      <c r="A100" s="189" t="n"/>
      <c r="B100" s="534" t="n"/>
      <c r="C100" s="192" t="inlineStr">
        <is>
          <t>Стройка</t>
        </is>
      </c>
      <c r="D100" s="192" t="n"/>
      <c r="E100" s="255" t="inlineStr"/>
      <c r="F100" s="255" t="n">
        <v>118707</v>
      </c>
      <c r="G100" s="231">
        <f>E100-F100</f>
        <v/>
      </c>
      <c r="H100" s="534" t="n">
        <v>1</v>
      </c>
      <c r="J100" s="184">
        <f>G100*H100</f>
        <v/>
      </c>
      <c r="K100" s="178" t="n"/>
      <c r="L100" s="178" t="n"/>
      <c r="M100" s="178" t="n"/>
      <c r="O100" s="180" t="n"/>
      <c r="P100" s="194">
        <f>J100</f>
        <v/>
      </c>
      <c r="Q100" s="159" t="n"/>
      <c r="R100" s="159" t="n"/>
    </row>
    <row customHeight="1" ht="15" r="101">
      <c r="A101" s="189" t="n"/>
      <c r="B101" s="534" t="n"/>
      <c r="C101" s="192" t="inlineStr">
        <is>
          <t>Генераторная склад под рампой</t>
        </is>
      </c>
      <c r="D101" s="192" t="n"/>
      <c r="E101" s="255" t="inlineStr"/>
      <c r="F101" s="255" t="n">
        <v>94.5</v>
      </c>
      <c r="G101" s="231">
        <f>E101-F101</f>
        <v/>
      </c>
      <c r="H101" s="534" t="n">
        <v>1</v>
      </c>
      <c r="J101" s="184">
        <f>G101*H101</f>
        <v/>
      </c>
      <c r="K101" s="178" t="n"/>
      <c r="L101" s="178" t="n"/>
      <c r="M101" s="178" t="n"/>
      <c r="O101" s="180" t="n"/>
      <c r="P101" s="194" t="n"/>
      <c r="Q101" s="159" t="n"/>
      <c r="R101" s="159" t="n"/>
    </row>
    <row customHeight="1" ht="15" r="102">
      <c r="A102" s="189" t="n"/>
      <c r="B102" s="534" t="n"/>
      <c r="C102" s="192" t="inlineStr">
        <is>
          <t>Теплопункт</t>
        </is>
      </c>
      <c r="D102" s="192" t="n"/>
      <c r="E102" s="255" t="inlineStr"/>
      <c r="F102" s="189" t="n"/>
      <c r="G102" s="231" t="n"/>
      <c r="H102" s="534" t="n"/>
      <c r="J102" s="255" t="n">
        <v>0</v>
      </c>
      <c r="K102" s="178" t="n"/>
      <c r="L102" s="178" t="n"/>
      <c r="M102" s="178" t="n"/>
      <c r="O102" s="180" t="n"/>
      <c r="P102" s="194">
        <f>J102</f>
        <v/>
      </c>
      <c r="Q102" s="159" t="n"/>
      <c r="R102" s="159" t="n"/>
    </row>
    <row customHeight="1" ht="15" r="103">
      <c r="A103" s="189" t="n"/>
      <c r="B103" s="534" t="n"/>
      <c r="C103" s="192" t="inlineStr">
        <is>
          <t>Потребление коридора:</t>
        </is>
      </c>
      <c r="D103" s="192" t="n"/>
      <c r="E103" s="255" t="inlineStr"/>
      <c r="F103" s="189" t="n"/>
      <c r="G103" s="231" t="n"/>
      <c r="H103" s="534" t="n"/>
      <c r="J103" s="231">
        <f>J105-J99-I65</f>
        <v/>
      </c>
      <c r="K103" s="178" t="n"/>
      <c r="L103" s="178" t="n"/>
      <c r="M103" s="178" t="n"/>
      <c r="O103" s="180">
        <f>K103*L103+K103</f>
        <v/>
      </c>
      <c r="P103" s="194">
        <f>J103*K103+J103</f>
        <v/>
      </c>
      <c r="Q103" s="159" t="n"/>
      <c r="R103" s="159" t="n"/>
    </row>
    <row customHeight="1" ht="15.75" r="104">
      <c r="A104" s="255" t="n"/>
      <c r="B104" s="534" t="n"/>
      <c r="C104" s="192" t="inlineStr">
        <is>
          <t>Выставляем арендаторам :</t>
        </is>
      </c>
      <c r="D104" s="192" t="n"/>
      <c r="E104" s="197" t="inlineStr"/>
      <c r="F104" s="197" t="n"/>
      <c r="G104" s="231" t="n"/>
      <c r="H104" s="534" t="n"/>
      <c r="J104" s="255" t="n"/>
      <c r="K104" s="198" t="n"/>
      <c r="L104" s="178" t="n"/>
      <c r="M104" s="178" t="n"/>
      <c r="O104" s="180" t="n"/>
      <c r="P104" s="199">
        <f>SUM(N77:N97)</f>
        <v/>
      </c>
      <c r="Q104" s="200" t="n"/>
      <c r="R104" s="201" t="n"/>
      <c r="S104" s="202" t="n"/>
      <c r="T104" s="427" t="n"/>
      <c r="U104" s="427" t="n"/>
      <c r="V104" s="427" t="n"/>
      <c r="W104" s="427" t="n"/>
      <c r="X104" s="427" t="n"/>
      <c r="Y104" s="427" t="n"/>
    </row>
    <row customHeight="1" ht="15" r="105">
      <c r="A105" s="255" t="n"/>
      <c r="B105" s="534" t="n"/>
      <c r="C105" s="192" t="inlineStr">
        <is>
          <t>Учет 1-й этаж секция А общий :</t>
        </is>
      </c>
      <c r="D105" s="192" t="n"/>
      <c r="E105" s="219" t="inlineStr"/>
      <c r="F105" s="219" t="n">
        <v>8972.209999999999</v>
      </c>
      <c r="G105" s="253">
        <f>E105-F105</f>
        <v/>
      </c>
      <c r="H105" s="418" t="n">
        <v>60</v>
      </c>
      <c r="J105" s="119">
        <f>G105*H105</f>
        <v/>
      </c>
      <c r="K105" s="198" t="n"/>
      <c r="L105" s="178" t="n"/>
      <c r="M105" s="178" t="n"/>
      <c r="O105" s="180">
        <f>K105*L105+K105</f>
        <v/>
      </c>
      <c r="P105" s="194">
        <f>J105*K105+J105</f>
        <v/>
      </c>
      <c r="Q105" s="200" t="n"/>
      <c r="R105" s="201" t="n"/>
      <c r="S105" s="202" t="n"/>
      <c r="T105" s="427" t="n"/>
      <c r="U105" s="427" t="n"/>
      <c r="V105" s="427" t="n"/>
      <c r="W105" s="427" t="n"/>
      <c r="X105" s="427" t="n"/>
      <c r="Y105" s="427" t="n"/>
    </row>
    <row customHeight="1" ht="15.75" r="106">
      <c r="A106" s="255" t="n"/>
      <c r="B106" s="534" t="n"/>
      <c r="C106" s="192" t="n"/>
      <c r="D106" s="192" t="n"/>
      <c r="E106" s="197" t="inlineStr"/>
      <c r="F106" s="197" t="n"/>
      <c r="G106" s="231" t="n"/>
      <c r="H106" s="534" t="n"/>
      <c r="I106" s="255" t="n"/>
      <c r="J106" s="255" t="n"/>
      <c r="K106" s="198" t="n"/>
      <c r="L106" s="178" t="n"/>
      <c r="M106" s="178" t="n"/>
      <c r="O106" s="180" t="n"/>
      <c r="P106" s="199">
        <f>P104</f>
        <v/>
      </c>
      <c r="Q106" s="200" t="n"/>
      <c r="R106" s="201" t="n"/>
      <c r="S106" s="202" t="n"/>
      <c r="T106" s="427" t="n"/>
      <c r="U106" s="427" t="n"/>
      <c r="V106" s="427" t="n"/>
      <c r="W106" s="427" t="n"/>
      <c r="X106" s="427" t="n"/>
      <c r="Y106" s="427" t="n"/>
    </row>
    <row customHeight="1" ht="15" r="107">
      <c r="A107" s="255" t="n"/>
      <c r="B107" s="534" t="n"/>
      <c r="C107" s="192" t="inlineStr">
        <is>
          <t>Общий итог :</t>
        </is>
      </c>
      <c r="D107" s="192" t="n"/>
      <c r="E107" s="197" t="inlineStr"/>
      <c r="F107" s="197" t="n"/>
      <c r="G107" s="231" t="n"/>
      <c r="H107" s="534" t="n"/>
      <c r="I107" s="255" t="n"/>
      <c r="J107" s="255" t="n"/>
      <c r="K107" s="198" t="n"/>
      <c r="L107" s="178" t="n"/>
      <c r="M107" s="178" t="n"/>
      <c r="O107" s="180" t="n"/>
      <c r="P107" s="194">
        <f>P106-P105</f>
        <v/>
      </c>
      <c r="Q107" s="200" t="n"/>
      <c r="R107" s="201" t="n"/>
      <c r="S107" s="202" t="n"/>
      <c r="T107" s="427" t="n"/>
      <c r="U107" s="427" t="n"/>
      <c r="V107" s="427" t="n"/>
      <c r="W107" s="427" t="n"/>
      <c r="X107" s="427" t="n"/>
      <c r="Y107" s="427" t="n"/>
    </row>
    <row customHeight="1" ht="15" r="108">
      <c r="A108" s="255" t="n"/>
      <c r="B108" s="534" t="n"/>
      <c r="C108" s="192" t="inlineStr">
        <is>
          <t>Общий итог с потерями РЭСа:</t>
        </is>
      </c>
      <c r="D108" s="192" t="n"/>
      <c r="E108" s="197" t="inlineStr"/>
      <c r="F108" s="197" t="n"/>
      <c r="G108" s="231" t="n"/>
      <c r="H108" s="534" t="n"/>
      <c r="I108" s="255" t="n"/>
      <c r="J108" s="255" t="n"/>
      <c r="K108" s="198" t="n"/>
      <c r="L108" s="178" t="n"/>
      <c r="M108" s="178" t="n"/>
      <c r="O108" s="180" t="n"/>
      <c r="P108" s="194">
        <f>P106-(P105*AC59+P105)</f>
        <v/>
      </c>
      <c r="Q108" s="200" t="n"/>
      <c r="R108" s="201" t="n"/>
      <c r="S108" s="202" t="n"/>
      <c r="T108" s="427" t="n"/>
      <c r="U108" s="427" t="n"/>
      <c r="V108" s="427" t="n"/>
      <c r="W108" s="427" t="n"/>
      <c r="X108" s="427" t="n"/>
      <c r="Y108" s="427" t="n"/>
    </row>
    <row customHeight="1" ht="18" r="109">
      <c r="A109" s="536" t="n"/>
      <c r="B109" s="537" t="n"/>
      <c r="C109" s="536" t="n"/>
      <c r="D109" s="536" t="n"/>
      <c r="E109" s="537" t="inlineStr"/>
      <c r="F109" s="537" t="n"/>
      <c r="G109" s="537" t="n"/>
      <c r="H109" s="537" t="n"/>
      <c r="I109" s="537" t="n"/>
      <c r="J109" s="536" t="n"/>
      <c r="K109" s="537" t="n"/>
      <c r="L109" s="537" t="n"/>
      <c r="M109" s="537" t="n"/>
      <c r="N109" s="536" t="n"/>
      <c r="O109" s="536" t="n"/>
      <c r="P109" s="84" t="n"/>
      <c r="Q109" s="159" t="n"/>
      <c r="R109" s="159" t="n"/>
    </row>
    <row customHeight="1" ht="15" r="110">
      <c r="A110" s="203" t="n"/>
      <c r="B110" s="164" t="n"/>
      <c r="C110" s="165" t="inlineStr">
        <is>
          <t>2-й этаж секция А:</t>
        </is>
      </c>
      <c r="D110" s="165" t="inlineStr">
        <is>
          <t>код ОКПО</t>
        </is>
      </c>
      <c r="E110" s="204" t="inlineStr"/>
      <c r="F110" s="204" t="n"/>
      <c r="G110" s="206" t="n"/>
      <c r="H110" s="164" t="n"/>
      <c r="I110" s="206" t="n"/>
      <c r="J110" s="206" t="n"/>
      <c r="K110" s="254" t="n">
        <v>0.32</v>
      </c>
      <c r="L110" s="208" t="n"/>
      <c r="M110" s="208" t="n"/>
      <c r="N110" s="209" t="n"/>
      <c r="O110" s="209" t="n"/>
      <c r="P110" s="186" t="n"/>
      <c r="Q110" s="159" t="n"/>
      <c r="R110" s="159" t="n"/>
    </row>
    <row customHeight="1" ht="15" r="111">
      <c r="A111" s="255" t="n">
        <v>1</v>
      </c>
      <c r="B111" s="508" t="n">
        <v>1201</v>
      </c>
      <c r="C111" s="210" t="inlineStr">
        <is>
          <t>Мазур</t>
        </is>
      </c>
      <c r="D111" s="515" t="n">
        <v>2779421418</v>
      </c>
      <c r="E111" s="284" t="inlineStr"/>
      <c r="F111" s="284" t="n">
        <v>2123.8</v>
      </c>
      <c r="G111" s="231">
        <f>E111-F111</f>
        <v/>
      </c>
      <c r="H111" s="534" t="n">
        <v>1</v>
      </c>
      <c r="I111" s="255">
        <f>G111*H111</f>
        <v/>
      </c>
      <c r="J111" s="255" t="n"/>
      <c r="K111" s="185">
        <f>K110</f>
        <v/>
      </c>
      <c r="L111" s="178" t="n">
        <v>4</v>
      </c>
      <c r="M111" s="178">
        <f>(I111+L111)*$W$41</f>
        <v/>
      </c>
      <c r="N111" s="180">
        <f>I111*K111+I111+L111+M111</f>
        <v/>
      </c>
      <c r="O111" s="180" t="n"/>
      <c r="P111" s="84" t="n"/>
      <c r="Q111" s="159" t="n"/>
      <c r="R111" s="159" t="n"/>
    </row>
    <row customHeight="1" ht="15" r="112">
      <c r="A112" s="255" t="n">
        <v>2</v>
      </c>
      <c r="B112" s="508" t="n">
        <v>1202</v>
      </c>
      <c r="C112" s="210" t="inlineStr">
        <is>
          <t>Ропак</t>
        </is>
      </c>
      <c r="D112" s="515" t="n">
        <v>40240545</v>
      </c>
      <c r="E112" s="284" t="inlineStr"/>
      <c r="F112" s="284" t="n">
        <v>1510.9</v>
      </c>
      <c r="G112" s="231">
        <f>E112-F112</f>
        <v/>
      </c>
      <c r="H112" s="534" t="n">
        <v>1</v>
      </c>
      <c r="I112" s="255">
        <f>G112*H112</f>
        <v/>
      </c>
      <c r="J112" s="255" t="n"/>
      <c r="K112" s="185">
        <f>K111</f>
        <v/>
      </c>
      <c r="L112" s="178" t="n"/>
      <c r="M112" s="178">
        <f>(I112+L112)*$W$41</f>
        <v/>
      </c>
      <c r="N112" s="180">
        <f>I112*K112+I112+L112+M112</f>
        <v/>
      </c>
      <c r="O112" s="180" t="n"/>
      <c r="P112" s="84" t="n"/>
      <c r="Q112" s="159" t="n"/>
      <c r="R112" s="159" t="n"/>
    </row>
    <row customHeight="1" ht="15" r="113">
      <c r="A113" s="255" t="n">
        <v>3</v>
      </c>
      <c r="B113" s="508" t="n">
        <v>1203</v>
      </c>
      <c r="C113" s="210" t="inlineStr">
        <is>
          <t>Шоу рент</t>
        </is>
      </c>
      <c r="D113" s="515" t="n">
        <v>41559107</v>
      </c>
      <c r="E113" s="284" t="inlineStr"/>
      <c r="F113" s="284" t="n">
        <v>3744</v>
      </c>
      <c r="G113" s="231">
        <f>E113-F113</f>
        <v/>
      </c>
      <c r="H113" s="534" t="n">
        <v>1</v>
      </c>
      <c r="I113" s="255">
        <f>G113*H113</f>
        <v/>
      </c>
      <c r="J113" s="255" t="n"/>
      <c r="K113" s="185">
        <f>K112</f>
        <v/>
      </c>
      <c r="L113" s="178" t="n"/>
      <c r="M113" s="178">
        <f>(I113+L113)*$W$41</f>
        <v/>
      </c>
      <c r="N113" s="180">
        <f>I113*K113+I113+L113+M113</f>
        <v/>
      </c>
      <c r="O113" s="180" t="n"/>
      <c r="P113" s="84" t="n"/>
      <c r="Q113" s="159" t="n"/>
      <c r="R113" s="159" t="n"/>
    </row>
    <row customHeight="1" ht="15" r="114">
      <c r="A114" s="255" t="n">
        <v>4</v>
      </c>
      <c r="B114" s="508" t="n">
        <v>1204</v>
      </c>
      <c r="C114" s="210" t="inlineStr">
        <is>
          <t>Варганов</t>
        </is>
      </c>
      <c r="D114" s="517" t="n">
        <v>3071314991</v>
      </c>
      <c r="E114" s="284" t="inlineStr"/>
      <c r="F114" s="284" t="n">
        <v>5211</v>
      </c>
      <c r="G114" s="231">
        <f>E114-F114</f>
        <v/>
      </c>
      <c r="H114" s="534" t="n">
        <v>1</v>
      </c>
      <c r="I114" s="255">
        <f>G114*H114</f>
        <v/>
      </c>
      <c r="J114" s="255" t="n"/>
      <c r="K114" s="185">
        <f>K113</f>
        <v/>
      </c>
      <c r="L114" s="178" t="n"/>
      <c r="M114" s="178">
        <f>(I114+L114)*$W$41</f>
        <v/>
      </c>
      <c r="N114" s="180">
        <f>I114*K114+I114+L114+M114</f>
        <v/>
      </c>
      <c r="O114" s="180" t="n"/>
      <c r="P114" s="84" t="n"/>
      <c r="Q114" s="159" t="n"/>
      <c r="R114" s="159" t="n"/>
    </row>
    <row customHeight="1" ht="15" r="115">
      <c r="A115" s="255" t="n">
        <v>5</v>
      </c>
      <c r="B115" s="508" t="n">
        <v>1205</v>
      </c>
      <c r="C115" s="210" t="inlineStr">
        <is>
          <t>Лекситер проджект</t>
        </is>
      </c>
      <c r="D115" s="515" t="n">
        <v>39352161</v>
      </c>
      <c r="E115" s="284" t="inlineStr"/>
      <c r="F115" s="284" t="n">
        <v>3992.5</v>
      </c>
      <c r="G115" s="231">
        <f>E115-F115</f>
        <v/>
      </c>
      <c r="H115" s="534" t="n">
        <v>1</v>
      </c>
      <c r="I115" s="255">
        <f>G115*H115</f>
        <v/>
      </c>
      <c r="J115" s="255" t="n"/>
      <c r="K115" s="185">
        <f>K114</f>
        <v/>
      </c>
      <c r="L115" s="178" t="n"/>
      <c r="M115" s="178">
        <f>(I115+L115)*$W$41</f>
        <v/>
      </c>
      <c r="N115" s="180">
        <f>I115*K115+I115+L115+M115</f>
        <v/>
      </c>
      <c r="O115" s="180" t="n"/>
      <c r="P115" s="84" t="n"/>
      <c r="Q115" s="159" t="n"/>
      <c r="R115" s="159" t="n"/>
    </row>
    <row customHeight="1" ht="15" r="116">
      <c r="A116" s="255" t="n">
        <v>6</v>
      </c>
      <c r="B116" s="508" t="n">
        <v>1206</v>
      </c>
      <c r="C116" s="210" t="inlineStr">
        <is>
          <t>Хамиди</t>
        </is>
      </c>
      <c r="D116" s="515" t="n">
        <v>3234324878</v>
      </c>
      <c r="E116" s="284" t="inlineStr"/>
      <c r="F116" s="284" t="n">
        <v>8182.7</v>
      </c>
      <c r="G116" s="231">
        <f>E116-F116</f>
        <v/>
      </c>
      <c r="H116" s="534" t="n">
        <v>1</v>
      </c>
      <c r="I116" s="255">
        <f>G116*H116</f>
        <v/>
      </c>
      <c r="J116" s="255" t="n"/>
      <c r="K116" s="185">
        <f>K115</f>
        <v/>
      </c>
      <c r="L116" s="178" t="n">
        <v>15</v>
      </c>
      <c r="M116" s="178">
        <f>(I116+L116)*$W$41</f>
        <v/>
      </c>
      <c r="N116" s="180">
        <f>I116*K116+I116+L116+M116</f>
        <v/>
      </c>
      <c r="O116" s="180" t="n"/>
      <c r="P116" s="84" t="n"/>
      <c r="Q116" s="159" t="n"/>
      <c r="R116" s="159" t="n"/>
    </row>
    <row customHeight="1" ht="15" r="117">
      <c r="A117" s="255" t="n">
        <v>7</v>
      </c>
      <c r="B117" s="508" t="n">
        <v>1207</v>
      </c>
      <c r="C117" s="210" t="inlineStr">
        <is>
          <t>Зильберштейн</t>
        </is>
      </c>
      <c r="D117" s="515" t="n">
        <v>2765514718</v>
      </c>
      <c r="E117" s="284" t="inlineStr"/>
      <c r="F117" s="284" t="n">
        <v>13459</v>
      </c>
      <c r="G117" s="231">
        <f>E117-F117</f>
        <v/>
      </c>
      <c r="H117" s="534" t="n">
        <v>1</v>
      </c>
      <c r="I117" s="255">
        <f>G117*H117</f>
        <v/>
      </c>
      <c r="J117" s="255" t="n"/>
      <c r="K117" s="185">
        <f>K116</f>
        <v/>
      </c>
      <c r="L117" s="178" t="n"/>
      <c r="M117" s="178">
        <f>(I117+L117)*$W$41</f>
        <v/>
      </c>
      <c r="N117" s="180">
        <f>I117*K117+I117+L117+M117</f>
        <v/>
      </c>
      <c r="O117" s="180" t="n"/>
      <c r="P117" s="84" t="n"/>
      <c r="Q117" s="159" t="n"/>
      <c r="R117" s="159" t="n"/>
    </row>
    <row customHeight="1" ht="15" r="118">
      <c r="A118" s="255" t="n">
        <v>8</v>
      </c>
      <c r="B118" s="508" t="n">
        <v>1208</v>
      </c>
      <c r="C118" s="210" t="n"/>
      <c r="D118" s="515" t="n"/>
      <c r="E118" s="284" t="inlineStr"/>
      <c r="F118" s="284" t="n">
        <v>4466.3</v>
      </c>
      <c r="G118" s="231">
        <f>E118-F118</f>
        <v/>
      </c>
      <c r="H118" s="534" t="n">
        <v>1</v>
      </c>
      <c r="I118" s="255">
        <f>G118*H118</f>
        <v/>
      </c>
      <c r="J118" s="255" t="n"/>
      <c r="K118" s="185">
        <f>K117</f>
        <v/>
      </c>
      <c r="L118" s="178" t="n"/>
      <c r="M118" s="178">
        <f>(I118+L118)*$W$41</f>
        <v/>
      </c>
      <c r="N118" s="180">
        <f>I118*K118+I118+L118+M118</f>
        <v/>
      </c>
      <c r="O118" s="180" t="n"/>
      <c r="P118" s="84" t="n"/>
      <c r="Q118" s="159" t="n"/>
      <c r="R118" s="159" t="n"/>
    </row>
    <row customHeight="1" ht="15" r="119">
      <c r="A119" s="255" t="n">
        <v>9</v>
      </c>
      <c r="B119" s="508" t="n">
        <v>1209</v>
      </c>
      <c r="C119" s="210" t="inlineStr">
        <is>
          <t>Шоу рент</t>
        </is>
      </c>
      <c r="D119" s="515" t="n">
        <v>41559107</v>
      </c>
      <c r="E119" s="284" t="inlineStr"/>
      <c r="F119" s="284" t="n">
        <v>6387.5</v>
      </c>
      <c r="G119" s="231">
        <f>E119-F119</f>
        <v/>
      </c>
      <c r="H119" s="534" t="n">
        <v>1</v>
      </c>
      <c r="I119" s="255">
        <f>G119*H119</f>
        <v/>
      </c>
      <c r="J119" s="255" t="n"/>
      <c r="K119" s="185">
        <f>K118</f>
        <v/>
      </c>
      <c r="L119" s="178" t="n"/>
      <c r="M119" s="178">
        <f>(I119+L119)*$W$41</f>
        <v/>
      </c>
      <c r="N119" s="180">
        <f>I119*K119+I119+L119+M119</f>
        <v/>
      </c>
      <c r="O119" s="180" t="n"/>
      <c r="P119" s="84" t="n"/>
      <c r="Q119" s="159" t="n"/>
      <c r="R119" s="159" t="n"/>
    </row>
    <row customHeight="1" ht="15" r="120">
      <c r="A120" s="255" t="n">
        <v>10</v>
      </c>
      <c r="B120" s="508" t="n">
        <v>1210</v>
      </c>
      <c r="C120" s="210" t="inlineStr">
        <is>
          <t>Сафронов</t>
        </is>
      </c>
      <c r="D120" s="515" t="n">
        <v>3155014118</v>
      </c>
      <c r="E120" s="284" t="inlineStr"/>
      <c r="F120" s="284" t="n">
        <v>18131.8</v>
      </c>
      <c r="G120" s="231">
        <f>E120-F120</f>
        <v/>
      </c>
      <c r="H120" s="534" t="n">
        <v>1</v>
      </c>
      <c r="I120" s="255">
        <f>G120*H120</f>
        <v/>
      </c>
      <c r="J120" s="255" t="n"/>
      <c r="K120" s="185">
        <f>K119</f>
        <v/>
      </c>
      <c r="L120" s="178" t="n"/>
      <c r="M120" s="178">
        <f>(I120+L120)*$W$41</f>
        <v/>
      </c>
      <c r="N120" s="180">
        <f>I120*K120+I120+L120+M120</f>
        <v/>
      </c>
      <c r="O120" s="180" t="n"/>
      <c r="P120" s="84" t="n"/>
      <c r="Q120" s="159" t="n"/>
      <c r="R120" s="159" t="n"/>
    </row>
    <row customHeight="1" ht="15" r="121">
      <c r="A121" s="255" t="n">
        <v>11</v>
      </c>
      <c r="B121" s="508" t="n">
        <v>1211</v>
      </c>
      <c r="C121" s="210" t="inlineStr">
        <is>
          <t>Лайтек трейдинг</t>
        </is>
      </c>
      <c r="D121" s="515" t="n">
        <v>41091141</v>
      </c>
      <c r="E121" s="284" t="inlineStr"/>
      <c r="F121" s="284" t="n">
        <v>14675.1</v>
      </c>
      <c r="G121" s="231">
        <f>E121-F121</f>
        <v/>
      </c>
      <c r="H121" s="534" t="n">
        <v>1</v>
      </c>
      <c r="I121" s="255">
        <f>G121*H121</f>
        <v/>
      </c>
      <c r="J121" s="255" t="n"/>
      <c r="K121" s="185">
        <f>K120</f>
        <v/>
      </c>
      <c r="L121" s="178" t="n"/>
      <c r="M121" s="178">
        <f>(I121+L121)*$W$41</f>
        <v/>
      </c>
      <c r="N121" s="180">
        <f>I121*K121+I121+L121+M121</f>
        <v/>
      </c>
      <c r="O121" s="180" t="n"/>
      <c r="P121" s="84" t="n"/>
      <c r="Q121" s="159" t="n"/>
      <c r="R121" s="159" t="n"/>
    </row>
    <row customHeight="1" ht="15" r="122">
      <c r="A122" s="255" t="n">
        <v>12</v>
      </c>
      <c r="B122" s="508" t="n">
        <v>1212</v>
      </c>
      <c r="C122" s="210" t="inlineStr">
        <is>
          <t>Стейдж проджект</t>
        </is>
      </c>
      <c r="D122" s="515" t="n">
        <v>39757408</v>
      </c>
      <c r="E122" s="284" t="inlineStr"/>
      <c r="F122" s="284" t="n">
        <v>11595.4</v>
      </c>
      <c r="G122" s="231">
        <f>E122-F122</f>
        <v/>
      </c>
      <c r="H122" s="534" t="n">
        <v>1</v>
      </c>
      <c r="I122" s="255">
        <f>G122*H122</f>
        <v/>
      </c>
      <c r="J122" s="255" t="n"/>
      <c r="K122" s="185">
        <f>K121</f>
        <v/>
      </c>
      <c r="L122" s="178" t="n"/>
      <c r="M122" s="178">
        <f>(I122+L122)*$W$41</f>
        <v/>
      </c>
      <c r="N122" s="180">
        <f>I122*K122+I122+L122+M122</f>
        <v/>
      </c>
      <c r="O122" s="180" t="n"/>
      <c r="P122" s="84" t="n"/>
      <c r="Q122" s="159" t="n"/>
      <c r="R122" s="159" t="n"/>
    </row>
    <row customHeight="1" ht="15" r="123">
      <c r="A123" s="255" t="n">
        <v>13</v>
      </c>
      <c r="B123" s="508" t="n">
        <v>1213</v>
      </c>
      <c r="C123" s="210" t="inlineStr">
        <is>
          <t>Остапчук</t>
        </is>
      </c>
      <c r="D123" s="515" t="n">
        <v>2889012049</v>
      </c>
      <c r="E123" s="284" t="inlineStr"/>
      <c r="F123" s="284" t="n">
        <v>3723.8</v>
      </c>
      <c r="G123" s="231">
        <f>E123-F123</f>
        <v/>
      </c>
      <c r="H123" s="534" t="n">
        <v>1</v>
      </c>
      <c r="I123" s="255">
        <f>G123*H123</f>
        <v/>
      </c>
      <c r="J123" s="255" t="n"/>
      <c r="K123" s="185">
        <f>K122</f>
        <v/>
      </c>
      <c r="L123" s="178" t="n"/>
      <c r="M123" s="178">
        <f>(I123+L123)*$W$41</f>
        <v/>
      </c>
      <c r="N123" s="180">
        <f>I123*K123+I123+L123+M123</f>
        <v/>
      </c>
      <c r="O123" s="180" t="n"/>
      <c r="P123" s="84" t="n"/>
      <c r="Q123" s="159" t="n"/>
      <c r="R123" s="159" t="n"/>
    </row>
    <row customHeight="1" ht="15" r="124">
      <c r="A124" s="255" t="n">
        <v>14</v>
      </c>
      <c r="B124" s="508" t="inlineStr">
        <is>
          <t>1214-1219</t>
        </is>
      </c>
      <c r="C124" s="210" t="inlineStr">
        <is>
          <t>Лайтек трейдинг</t>
        </is>
      </c>
      <c r="D124" s="515" t="n">
        <v>41091141</v>
      </c>
      <c r="E124" s="284" t="inlineStr"/>
      <c r="F124" s="284" t="n">
        <v>14423.2</v>
      </c>
      <c r="G124" s="231">
        <f>E124-F124</f>
        <v/>
      </c>
      <c r="H124" s="534" t="n">
        <v>1</v>
      </c>
      <c r="I124" s="255">
        <f>G124*H124</f>
        <v/>
      </c>
      <c r="J124" s="255" t="n"/>
      <c r="K124" s="185">
        <f>K123</f>
        <v/>
      </c>
      <c r="L124" s="178" t="n"/>
      <c r="M124" s="178">
        <f>(I124+L124)*$W$41</f>
        <v/>
      </c>
      <c r="N124" s="180">
        <f>I124*K124+I124+L124+M124</f>
        <v/>
      </c>
      <c r="O124" s="180" t="n"/>
      <c r="P124" s="84" t="n"/>
      <c r="Q124" s="159" t="n"/>
      <c r="R124" s="159" t="n"/>
    </row>
    <row customHeight="1" ht="15" r="125">
      <c r="A125" s="255" t="n">
        <v>15</v>
      </c>
      <c r="B125" s="508" t="n">
        <v>1215</v>
      </c>
      <c r="C125" s="210" t="inlineStr">
        <is>
          <t>Лекситер проджект</t>
        </is>
      </c>
      <c r="D125" s="515" t="n">
        <v>39352161</v>
      </c>
      <c r="E125" s="284" t="inlineStr"/>
      <c r="F125" s="284" t="n">
        <v>14212</v>
      </c>
      <c r="G125" s="231">
        <f>E125-F125</f>
        <v/>
      </c>
      <c r="H125" s="534" t="n">
        <v>1</v>
      </c>
      <c r="I125" s="255">
        <f>G125*H125</f>
        <v/>
      </c>
      <c r="J125" s="255" t="n"/>
      <c r="K125" s="185">
        <f>K124</f>
        <v/>
      </c>
      <c r="L125" s="178" t="n"/>
      <c r="M125" s="178">
        <f>(I125+L125)*$W$41</f>
        <v/>
      </c>
      <c r="N125" s="180">
        <f>I125*K125+I125+L125+M125</f>
        <v/>
      </c>
      <c r="O125" s="180" t="n"/>
      <c r="P125" s="84" t="n"/>
      <c r="Q125" s="159" t="n"/>
      <c r="R125" s="159" t="n"/>
    </row>
    <row customHeight="1" ht="15" r="126">
      <c r="A126" s="255" t="n">
        <v>16</v>
      </c>
      <c r="B126" s="508" t="n">
        <v>1216</v>
      </c>
      <c r="C126" s="210" t="inlineStr">
        <is>
          <t>Проценко</t>
        </is>
      </c>
      <c r="D126" s="515" t="n">
        <v>3039319968</v>
      </c>
      <c r="E126" s="284" t="inlineStr"/>
      <c r="F126" s="284" t="n">
        <v>6666.2</v>
      </c>
      <c r="G126" s="231">
        <f>E126-F126</f>
        <v/>
      </c>
      <c r="H126" s="534" t="n">
        <v>1</v>
      </c>
      <c r="I126" s="255">
        <f>G126*H126</f>
        <v/>
      </c>
      <c r="J126" s="255" t="n"/>
      <c r="K126" s="185">
        <f>K125</f>
        <v/>
      </c>
      <c r="L126" s="178" t="n"/>
      <c r="M126" s="178">
        <f>(I126+L126)*$W$41</f>
        <v/>
      </c>
      <c r="N126" s="180">
        <f>I126*K126+I126+L126+M126</f>
        <v/>
      </c>
      <c r="O126" s="180" t="n"/>
      <c r="P126" s="84" t="n"/>
      <c r="Q126" s="159" t="n"/>
      <c r="R126" s="159" t="n"/>
    </row>
    <row customHeight="1" ht="15" r="127">
      <c r="A127" s="255" t="n">
        <v>17</v>
      </c>
      <c r="B127" s="508" t="n">
        <v>1217</v>
      </c>
      <c r="C127" s="210" t="inlineStr">
        <is>
          <t>Лайтек трейдинг</t>
        </is>
      </c>
      <c r="D127" s="518" t="n">
        <v>41091141</v>
      </c>
      <c r="E127" s="284" t="inlineStr"/>
      <c r="F127" s="284" t="n">
        <v>3406.9</v>
      </c>
      <c r="G127" s="231">
        <f>E127-F127</f>
        <v/>
      </c>
      <c r="H127" s="534" t="n">
        <v>1</v>
      </c>
      <c r="I127" s="255">
        <f>G127*H127</f>
        <v/>
      </c>
      <c r="J127" s="255" t="n"/>
      <c r="K127" s="185">
        <f>K126</f>
        <v/>
      </c>
      <c r="L127" s="178" t="n"/>
      <c r="M127" s="178">
        <f>(I127+L127)*$W$41</f>
        <v/>
      </c>
      <c r="N127" s="180">
        <f>I127*K127+I127+L127+M127</f>
        <v/>
      </c>
      <c r="O127" s="180" t="n"/>
      <c r="P127" s="84" t="n"/>
      <c r="Q127" s="159" t="n"/>
      <c r="R127" s="159" t="n"/>
    </row>
    <row customHeight="1" ht="15" r="128">
      <c r="A128" s="255" t="n">
        <v>18</v>
      </c>
      <c r="B128" s="508" t="n">
        <v>1218</v>
      </c>
      <c r="C128" s="228" t="inlineStr">
        <is>
          <t>КД Элит тех</t>
        </is>
      </c>
      <c r="D128" s="519" t="n">
        <v>39990386</v>
      </c>
      <c r="E128" s="256" t="inlineStr"/>
      <c r="F128" s="256" t="n">
        <v>13115.1</v>
      </c>
      <c r="G128" s="231">
        <f>E128-F128</f>
        <v/>
      </c>
      <c r="H128" s="534" t="n">
        <v>1</v>
      </c>
      <c r="I128" s="255">
        <f>G128*H128</f>
        <v/>
      </c>
      <c r="J128" s="255" t="n"/>
      <c r="K128" s="185">
        <f>K127</f>
        <v/>
      </c>
      <c r="L128" s="178" t="n">
        <v>2</v>
      </c>
      <c r="M128" s="178">
        <f>(I128+L128)*$W$41</f>
        <v/>
      </c>
      <c r="N128" s="180">
        <f>I128*K128+I128+L128+M128</f>
        <v/>
      </c>
      <c r="O128" s="180" t="n"/>
      <c r="P128" s="84" t="n"/>
      <c r="Q128" s="159" t="n"/>
      <c r="R128" s="159" t="n"/>
    </row>
    <row customHeight="1" ht="15" r="129">
      <c r="A129" s="255" t="n">
        <v>19</v>
      </c>
      <c r="B129" s="508" t="n">
        <v>1220</v>
      </c>
      <c r="C129" s="210" t="inlineStr">
        <is>
          <t>Ковалишин</t>
        </is>
      </c>
      <c r="D129" s="520" t="n">
        <v>2537810616</v>
      </c>
      <c r="E129" s="284" t="inlineStr"/>
      <c r="F129" s="284" t="n">
        <v>5602</v>
      </c>
      <c r="G129" s="231">
        <f>E129-F129</f>
        <v/>
      </c>
      <c r="H129" s="534" t="n">
        <v>1</v>
      </c>
      <c r="I129" s="255">
        <f>G129*H129</f>
        <v/>
      </c>
      <c r="J129" s="255" t="n"/>
      <c r="K129" s="185">
        <f>K128</f>
        <v/>
      </c>
      <c r="L129" s="178" t="n"/>
      <c r="M129" s="178">
        <f>(I129+L129)*$W$41</f>
        <v/>
      </c>
      <c r="N129" s="180">
        <f>I129*K129+I129+L129+M129</f>
        <v/>
      </c>
      <c r="O129" s="180" t="n"/>
      <c r="P129" s="84" t="n"/>
      <c r="Q129" s="159" t="n"/>
      <c r="R129" s="159" t="n"/>
    </row>
    <row customHeight="1" ht="15" r="130">
      <c r="A130" s="255" t="n">
        <v>20</v>
      </c>
      <c r="B130" s="508" t="n">
        <v>1221</v>
      </c>
      <c r="C130" s="210" t="inlineStr">
        <is>
          <t>Стейдж проджект</t>
        </is>
      </c>
      <c r="D130" s="515" t="n">
        <v>39757408</v>
      </c>
      <c r="E130" s="284" t="inlineStr"/>
      <c r="F130" s="284" t="n">
        <v>18407.5</v>
      </c>
      <c r="G130" s="231">
        <f>E130-F130</f>
        <v/>
      </c>
      <c r="H130" s="534" t="n">
        <v>1</v>
      </c>
      <c r="I130" s="255">
        <f>G130*H130</f>
        <v/>
      </c>
      <c r="J130" s="255" t="n"/>
      <c r="K130" s="185">
        <f>K129</f>
        <v/>
      </c>
      <c r="L130" s="178" t="n"/>
      <c r="M130" s="178">
        <f>(I130+L130)*$W$41</f>
        <v/>
      </c>
      <c r="N130" s="180">
        <f>I130*K130+I130+L130+M130</f>
        <v/>
      </c>
      <c r="O130" s="180" t="n"/>
      <c r="P130" s="84" t="n"/>
      <c r="Q130" s="159" t="n"/>
      <c r="R130" s="159" t="n"/>
    </row>
    <row customHeight="1" ht="15" r="131">
      <c r="A131" s="255" t="n">
        <v>21</v>
      </c>
      <c r="B131" s="508" t="n">
        <v>1222</v>
      </c>
      <c r="C131" s="210" t="inlineStr">
        <is>
          <t>Каминкер</t>
        </is>
      </c>
      <c r="D131" s="515" t="n">
        <v>2743508990</v>
      </c>
      <c r="E131" s="284" t="inlineStr"/>
      <c r="F131" s="284" t="n">
        <v>9564.799999999999</v>
      </c>
      <c r="G131" s="231">
        <f>E131-F131</f>
        <v/>
      </c>
      <c r="H131" s="534" t="n">
        <v>1</v>
      </c>
      <c r="I131" s="255">
        <f>G131*H131</f>
        <v/>
      </c>
      <c r="J131" s="255" t="n"/>
      <c r="K131" s="185">
        <f>K130</f>
        <v/>
      </c>
      <c r="L131" s="178" t="n"/>
      <c r="M131" s="178">
        <f>(I131+L131)*$W$41</f>
        <v/>
      </c>
      <c r="N131" s="180">
        <f>I131*K131+I131+L131+M131</f>
        <v/>
      </c>
      <c r="O131" s="180" t="n"/>
      <c r="P131" s="84" t="n"/>
      <c r="Q131" s="159" t="n"/>
      <c r="R131" s="159" t="n"/>
    </row>
    <row customHeight="1" ht="15" r="132">
      <c r="A132" s="255" t="n">
        <v>22</v>
      </c>
      <c r="B132" s="508" t="n">
        <v>1223</v>
      </c>
      <c r="C132" s="210" t="inlineStr">
        <is>
          <t>Лайтек трейдинг</t>
        </is>
      </c>
      <c r="D132" s="515" t="n">
        <v>41091141</v>
      </c>
      <c r="E132" s="284" t="inlineStr"/>
      <c r="F132" s="284" t="n">
        <v>20499.6</v>
      </c>
      <c r="G132" s="231">
        <f>E132-F132</f>
        <v/>
      </c>
      <c r="H132" s="534" t="n">
        <v>1</v>
      </c>
      <c r="I132" s="255">
        <f>G132*H132</f>
        <v/>
      </c>
      <c r="J132" s="255" t="n"/>
      <c r="K132" s="185">
        <f>K131</f>
        <v/>
      </c>
      <c r="L132" s="178" t="n"/>
      <c r="M132" s="178">
        <f>(I132+L132)*$W$41</f>
        <v/>
      </c>
      <c r="N132" s="180">
        <f>I132*K132+I132+L132+M132</f>
        <v/>
      </c>
      <c r="O132" s="180" t="n"/>
      <c r="P132" s="84" t="n"/>
      <c r="Q132" s="159" t="n"/>
      <c r="R132" s="159" t="n"/>
    </row>
    <row customHeight="1" ht="15" r="133">
      <c r="A133" s="255" t="n">
        <v>23</v>
      </c>
      <c r="B133" s="508" t="n">
        <v>1224</v>
      </c>
      <c r="C133" s="210" t="inlineStr">
        <is>
          <t>Лайтек трейдинг</t>
        </is>
      </c>
      <c r="D133" s="515" t="n">
        <v>41091141</v>
      </c>
      <c r="E133" s="284" t="inlineStr"/>
      <c r="F133" s="284" t="n">
        <v>6768.8</v>
      </c>
      <c r="G133" s="231">
        <f>E133-F133</f>
        <v/>
      </c>
      <c r="H133" s="534" t="n">
        <v>1</v>
      </c>
      <c r="I133" s="255">
        <f>G133*H133</f>
        <v/>
      </c>
      <c r="J133" s="255" t="n"/>
      <c r="K133" s="185">
        <f>K132</f>
        <v/>
      </c>
      <c r="L133" s="178" t="n"/>
      <c r="M133" s="178">
        <f>(I133+L133)*$W$41</f>
        <v/>
      </c>
      <c r="N133" s="180">
        <f>I133*K133+I133+L133+M133</f>
        <v/>
      </c>
      <c r="O133" s="180" t="n"/>
      <c r="P133" s="84" t="n"/>
      <c r="Q133" s="159" t="n"/>
      <c r="R133" s="159" t="n"/>
    </row>
    <row customHeight="1" ht="15" r="134">
      <c r="A134" s="255" t="n">
        <v>24</v>
      </c>
      <c r="B134" s="508" t="n">
        <v>1225</v>
      </c>
      <c r="C134" s="210" t="inlineStr">
        <is>
          <t>Лайтек трейдинг</t>
        </is>
      </c>
      <c r="D134" s="515" t="n">
        <v>41091141</v>
      </c>
      <c r="E134" s="284" t="inlineStr"/>
      <c r="F134" s="284" t="n">
        <v>3445.9</v>
      </c>
      <c r="G134" s="231">
        <f>E134-F134</f>
        <v/>
      </c>
      <c r="H134" s="534" t="n">
        <v>1</v>
      </c>
      <c r="I134" s="255">
        <f>G134*H134</f>
        <v/>
      </c>
      <c r="J134" s="255" t="n"/>
      <c r="K134" s="185">
        <f>K133</f>
        <v/>
      </c>
      <c r="L134" s="178" t="n"/>
      <c r="M134" s="178">
        <f>(I134+L134)*$W$41</f>
        <v/>
      </c>
      <c r="N134" s="180">
        <f>I134*K134+I134+L134+M134</f>
        <v/>
      </c>
      <c r="O134" s="180" t="n"/>
      <c r="P134" s="84" t="n"/>
      <c r="Q134" s="159" t="n"/>
      <c r="R134" s="159" t="n"/>
    </row>
    <row customHeight="1" ht="15" r="135">
      <c r="A135" s="255" t="n">
        <v>25</v>
      </c>
      <c r="B135" s="508" t="n">
        <v>1226</v>
      </c>
      <c r="C135" s="210" t="inlineStr">
        <is>
          <t>Смарт инжиниринг</t>
        </is>
      </c>
      <c r="D135" s="515" t="n">
        <v>41613567</v>
      </c>
      <c r="E135" s="284" t="inlineStr"/>
      <c r="F135" s="284" t="n">
        <v>12905.6</v>
      </c>
      <c r="G135" s="231">
        <f>E135-F135</f>
        <v/>
      </c>
      <c r="H135" s="534" t="n">
        <v>1</v>
      </c>
      <c r="I135" s="255">
        <f>G135*H135</f>
        <v/>
      </c>
      <c r="J135" s="255" t="n"/>
      <c r="K135" s="185">
        <f>K134</f>
        <v/>
      </c>
      <c r="L135" s="178" t="n"/>
      <c r="M135" s="178">
        <f>(I135+L135)*$W$41</f>
        <v/>
      </c>
      <c r="N135" s="180">
        <f>I135*K135+I135+L135+M135</f>
        <v/>
      </c>
      <c r="O135" s="180" t="n"/>
      <c r="P135" s="84" t="n"/>
      <c r="Q135" s="159" t="n"/>
      <c r="R135" s="159" t="n"/>
    </row>
    <row customHeight="1" ht="15" r="136">
      <c r="A136" s="255" t="n">
        <v>26</v>
      </c>
      <c r="B136" s="508" t="n">
        <v>1227</v>
      </c>
      <c r="C136" s="210" t="inlineStr">
        <is>
          <t>Кушнир</t>
        </is>
      </c>
      <c r="D136" s="515" t="n">
        <v>3249707070</v>
      </c>
      <c r="E136" s="284" t="inlineStr"/>
      <c r="F136" s="284" t="n">
        <v>3865.5</v>
      </c>
      <c r="G136" s="231">
        <f>E136-F136</f>
        <v/>
      </c>
      <c r="H136" s="534" t="n">
        <v>1</v>
      </c>
      <c r="I136" s="255">
        <f>G136*H136</f>
        <v/>
      </c>
      <c r="J136" s="255" t="n"/>
      <c r="K136" s="185">
        <f>K135</f>
        <v/>
      </c>
      <c r="L136" s="178" t="n"/>
      <c r="M136" s="178">
        <f>(I136+L136)*$W$41</f>
        <v/>
      </c>
      <c r="N136" s="180">
        <f>I136*K136+I136+L136+M136</f>
        <v/>
      </c>
      <c r="O136" s="180" t="n"/>
      <c r="P136" s="84" t="n"/>
      <c r="Q136" s="159" t="n"/>
      <c r="R136" s="159" t="n"/>
    </row>
    <row customHeight="1" ht="15" r="137">
      <c r="A137" s="255" t="n">
        <v>27</v>
      </c>
      <c r="B137" s="508" t="n">
        <v>1228</v>
      </c>
      <c r="C137" s="210" t="inlineStr">
        <is>
          <t>Смарт инжиниринг</t>
        </is>
      </c>
      <c r="D137" s="515" t="n">
        <v>41613567</v>
      </c>
      <c r="E137" s="284" t="inlineStr"/>
      <c r="F137" s="284" t="n">
        <v>6009</v>
      </c>
      <c r="G137" s="231">
        <f>E137-F137</f>
        <v/>
      </c>
      <c r="H137" s="534" t="n">
        <v>1</v>
      </c>
      <c r="I137" s="255">
        <f>G137*H137</f>
        <v/>
      </c>
      <c r="J137" s="255" t="n"/>
      <c r="K137" s="185">
        <f>K136</f>
        <v/>
      </c>
      <c r="L137" s="178" t="n"/>
      <c r="M137" s="178">
        <f>(I137+L137)*$W$41</f>
        <v/>
      </c>
      <c r="N137" s="180" t="n">
        <v>27</v>
      </c>
      <c r="O137" s="180" t="n"/>
      <c r="P137" s="84" t="n"/>
      <c r="Q137" s="159" t="n"/>
      <c r="R137" s="159" t="n"/>
    </row>
    <row customHeight="1" ht="15" r="138">
      <c r="A138" s="255" t="n">
        <v>28</v>
      </c>
      <c r="B138" s="508" t="n">
        <v>1229</v>
      </c>
      <c r="C138" s="210" t="inlineStr">
        <is>
          <t>Макаренко</t>
        </is>
      </c>
      <c r="D138" s="517" t="n">
        <v>3153820547</v>
      </c>
      <c r="E138" s="284" t="inlineStr"/>
      <c r="F138" s="284" t="n">
        <v>3762</v>
      </c>
      <c r="G138" s="231">
        <f>E138-F138</f>
        <v/>
      </c>
      <c r="H138" s="534" t="n">
        <v>1</v>
      </c>
      <c r="I138" s="255">
        <f>G138*H138</f>
        <v/>
      </c>
      <c r="J138" s="255" t="n"/>
      <c r="K138" s="185">
        <f>K137</f>
        <v/>
      </c>
      <c r="L138" s="178" t="n"/>
      <c r="M138" s="178">
        <f>(I138+L138)*$W$41</f>
        <v/>
      </c>
      <c r="N138" s="180">
        <f>I138*K138+I138+L138+M138</f>
        <v/>
      </c>
      <c r="O138" s="180" t="n"/>
      <c r="P138" s="84" t="n"/>
      <c r="Q138" s="159" t="n"/>
      <c r="R138" s="159" t="n"/>
    </row>
    <row customHeight="1" ht="15" r="139">
      <c r="A139" s="255" t="n">
        <v>29</v>
      </c>
      <c r="B139" s="508" t="n">
        <v>1230</v>
      </c>
      <c r="C139" s="210" t="inlineStr">
        <is>
          <t>Мотов</t>
        </is>
      </c>
      <c r="D139" s="515" t="n">
        <v>2599022497</v>
      </c>
      <c r="E139" s="284" t="inlineStr"/>
      <c r="F139" s="284" t="n">
        <v>3767.8</v>
      </c>
      <c r="G139" s="231">
        <f>E139-F139</f>
        <v/>
      </c>
      <c r="H139" s="534" t="n">
        <v>1</v>
      </c>
      <c r="I139" s="255">
        <f>G139*H139</f>
        <v/>
      </c>
      <c r="J139" s="255" t="n"/>
      <c r="K139" s="185">
        <f>K138</f>
        <v/>
      </c>
      <c r="L139" s="178" t="n">
        <v>4</v>
      </c>
      <c r="M139" s="178">
        <f>(I139+L139)*$W$41</f>
        <v/>
      </c>
      <c r="N139" s="180">
        <f>I139*K139+I139+L139+M139</f>
        <v/>
      </c>
      <c r="O139" s="180" t="n"/>
      <c r="P139" s="84" t="n"/>
      <c r="Q139" s="159" t="n"/>
      <c r="R139" s="159" t="n"/>
    </row>
    <row customHeight="1" ht="15" r="140">
      <c r="A140" s="255" t="n">
        <v>30</v>
      </c>
      <c r="B140" s="508" t="n">
        <v>1231</v>
      </c>
      <c r="C140" s="210" t="inlineStr">
        <is>
          <t>Смарт инжиниринг</t>
        </is>
      </c>
      <c r="D140" s="521" t="n">
        <v>41613567</v>
      </c>
      <c r="E140" s="284" t="inlineStr"/>
      <c r="F140" s="284" t="n">
        <v>47970.8</v>
      </c>
      <c r="G140" s="231">
        <f>E140-F140</f>
        <v/>
      </c>
      <c r="H140" s="534" t="n">
        <v>1</v>
      </c>
      <c r="I140" s="255">
        <f>G140*H140</f>
        <v/>
      </c>
      <c r="J140" s="255" t="n"/>
      <c r="K140" s="185">
        <f>K139</f>
        <v/>
      </c>
      <c r="L140" s="178" t="n"/>
      <c r="M140" s="178">
        <f>(I140+L140)*$W$41</f>
        <v/>
      </c>
      <c r="N140" s="180">
        <f>I140*K140+I140+L140+M140</f>
        <v/>
      </c>
      <c r="O140" s="180" t="n"/>
      <c r="P140" s="84" t="n"/>
      <c r="Q140" s="159" t="n"/>
      <c r="R140" s="159" t="n"/>
    </row>
    <row customHeight="1" ht="15" r="141">
      <c r="A141" s="255" t="n">
        <v>31</v>
      </c>
      <c r="B141" s="508" t="n">
        <v>1232</v>
      </c>
      <c r="C141" s="257" t="inlineStr">
        <is>
          <t>Тенет</t>
        </is>
      </c>
      <c r="D141" s="515" t="n">
        <v>22485498</v>
      </c>
      <c r="E141" s="284" t="inlineStr"/>
      <c r="F141" s="284" t="n">
        <v>47534</v>
      </c>
      <c r="G141" s="231">
        <f>E141-F141</f>
        <v/>
      </c>
      <c r="H141" s="534" t="n">
        <v>1</v>
      </c>
      <c r="I141" s="258">
        <f>G141*H141</f>
        <v/>
      </c>
      <c r="J141" s="255" t="n"/>
      <c r="K141" s="185">
        <f>K140</f>
        <v/>
      </c>
      <c r="L141" s="178" t="n"/>
      <c r="M141" s="178">
        <f>(I141+L141)*$W$41</f>
        <v/>
      </c>
      <c r="N141" s="180">
        <f>I141*K141+I141+L141+M141</f>
        <v/>
      </c>
      <c r="O141" s="180" t="n"/>
      <c r="P141" s="84" t="n"/>
      <c r="Q141" s="159" t="n"/>
      <c r="R141" s="159" t="n"/>
    </row>
    <row customHeight="1" ht="15" r="142">
      <c r="A142" s="255" t="n">
        <v>32</v>
      </c>
      <c r="B142" s="508" t="n">
        <v>1233</v>
      </c>
      <c r="C142" s="257" t="inlineStr">
        <is>
          <t>Бонус транс</t>
        </is>
      </c>
      <c r="D142" s="515" t="n">
        <v>38619773</v>
      </c>
      <c r="E142" s="284" t="inlineStr"/>
      <c r="F142" s="284" t="n">
        <v>19053.8</v>
      </c>
      <c r="G142" s="231">
        <f>E142-F142</f>
        <v/>
      </c>
      <c r="H142" s="259" t="n">
        <v>1</v>
      </c>
      <c r="I142" s="258">
        <f>G142*H142</f>
        <v/>
      </c>
      <c r="J142" s="260" t="n"/>
      <c r="K142" s="185">
        <f>K141</f>
        <v/>
      </c>
      <c r="L142" s="178" t="n"/>
      <c r="M142" s="178">
        <f>(I142+L142)*$W$41</f>
        <v/>
      </c>
      <c r="N142" s="180">
        <f>I142*K142+I142+L142+M142</f>
        <v/>
      </c>
      <c r="O142" s="180" t="n"/>
      <c r="P142" s="84" t="n"/>
      <c r="Q142" s="159" t="n"/>
      <c r="R142" s="159" t="n"/>
    </row>
    <row customHeight="1" ht="15" r="143">
      <c r="A143" s="255" t="n">
        <v>33</v>
      </c>
      <c r="B143" s="508" t="n">
        <v>1234</v>
      </c>
      <c r="C143" s="257" t="inlineStr">
        <is>
          <t>АБВ транс</t>
        </is>
      </c>
      <c r="D143" s="515" t="n">
        <v>43298802</v>
      </c>
      <c r="E143" s="284" t="inlineStr"/>
      <c r="F143" s="284" t="n">
        <v>4799.2</v>
      </c>
      <c r="G143" s="231">
        <f>E143-F143</f>
        <v/>
      </c>
      <c r="H143" s="259" t="n">
        <v>1</v>
      </c>
      <c r="I143" s="258">
        <f>G143*H143</f>
        <v/>
      </c>
      <c r="J143" s="260" t="n"/>
      <c r="K143" s="185">
        <f>K142</f>
        <v/>
      </c>
      <c r="L143" s="178" t="n"/>
      <c r="M143" s="178">
        <f>(I143)*$W$41</f>
        <v/>
      </c>
      <c r="N143" s="180">
        <f>I143*K143+I143+L143+M143</f>
        <v/>
      </c>
      <c r="O143" s="180" t="n"/>
      <c r="P143" s="84" t="n"/>
      <c r="Q143" s="159" t="n"/>
      <c r="R143" s="159" t="n"/>
    </row>
    <row customHeight="1" ht="15" r="144">
      <c r="A144" s="255" t="n">
        <v>34</v>
      </c>
      <c r="B144" s="508" t="n">
        <v>1235</v>
      </c>
      <c r="C144" s="257" t="inlineStr">
        <is>
          <t>Осыка</t>
        </is>
      </c>
      <c r="D144" s="515" t="n">
        <v>3013501397</v>
      </c>
      <c r="E144" s="284" t="inlineStr"/>
      <c r="F144" s="284" t="n">
        <v>14314.7</v>
      </c>
      <c r="G144" s="231">
        <f>E144-F144</f>
        <v/>
      </c>
      <c r="H144" s="259" t="n">
        <v>1</v>
      </c>
      <c r="I144" s="255">
        <f>G144*H144</f>
        <v/>
      </c>
      <c r="J144" s="260" t="n"/>
      <c r="K144" s="185">
        <f>K143</f>
        <v/>
      </c>
      <c r="L144" s="178" t="n"/>
      <c r="M144" s="178">
        <f>(I144+L144)*$W$41</f>
        <v/>
      </c>
      <c r="N144" s="180">
        <f>I144*K144+I144+L144+M144</f>
        <v/>
      </c>
      <c r="O144" s="180" t="n"/>
      <c r="P144" s="84" t="n"/>
      <c r="Q144" s="159" t="n"/>
      <c r="R144" s="159" t="n"/>
    </row>
    <row customHeight="1" ht="15" r="145">
      <c r="A145" s="255" t="n">
        <v>35</v>
      </c>
      <c r="B145" s="508" t="n">
        <v>1236</v>
      </c>
      <c r="C145" s="210" t="inlineStr">
        <is>
          <t>Веритас Украина</t>
        </is>
      </c>
      <c r="D145" s="515" t="n">
        <v>21674731</v>
      </c>
      <c r="E145" s="284" t="inlineStr"/>
      <c r="F145" s="284" t="n">
        <v>2599.1</v>
      </c>
      <c r="G145" s="231">
        <f>E145-F145</f>
        <v/>
      </c>
      <c r="H145" s="259" t="n">
        <v>1</v>
      </c>
      <c r="I145" s="255">
        <f>G145*H145</f>
        <v/>
      </c>
      <c r="J145" s="260" t="n"/>
      <c r="K145" s="185">
        <f>K144</f>
        <v/>
      </c>
      <c r="L145" s="178" t="n"/>
      <c r="M145" s="178">
        <f>(I145+L145)*$W$41</f>
        <v/>
      </c>
      <c r="N145" s="180">
        <f>I145*K145+I145+L145+M145</f>
        <v/>
      </c>
      <c r="O145" s="180" t="n"/>
      <c r="P145" s="84" t="n"/>
      <c r="Q145" s="159" t="n"/>
      <c r="R145" s="159" t="n"/>
    </row>
    <row customHeight="1" ht="15" r="146">
      <c r="A146" s="255" t="n">
        <v>36</v>
      </c>
      <c r="B146" s="508" t="n">
        <v>1237</v>
      </c>
      <c r="C146" s="210" t="inlineStr">
        <is>
          <t>Веритас Украина</t>
        </is>
      </c>
      <c r="D146" s="515" t="n">
        <v>21674731</v>
      </c>
      <c r="E146" s="284" t="inlineStr"/>
      <c r="F146" s="284" t="n">
        <v>4188.5</v>
      </c>
      <c r="G146" s="231">
        <f>E146-F146</f>
        <v/>
      </c>
      <c r="H146" s="534" t="n">
        <v>1</v>
      </c>
      <c r="I146" s="261">
        <f>G146*H146</f>
        <v/>
      </c>
      <c r="J146" s="255" t="n"/>
      <c r="K146" s="185">
        <f>K145</f>
        <v/>
      </c>
      <c r="L146" s="178" t="n"/>
      <c r="M146" s="178">
        <f>(I146+L146)*$W$41</f>
        <v/>
      </c>
      <c r="N146" s="180">
        <f>I146*K146+I146+L146+M146</f>
        <v/>
      </c>
      <c r="O146" s="180" t="n"/>
      <c r="P146" s="84" t="n"/>
      <c r="Q146" s="159" t="n"/>
      <c r="R146" s="159" t="n"/>
    </row>
    <row customHeight="1" ht="15" r="147">
      <c r="A147" s="255" t="n">
        <v>37</v>
      </c>
      <c r="B147" s="508" t="n">
        <v>1238</v>
      </c>
      <c r="C147" s="210" t="inlineStr">
        <is>
          <t>Веритас Украина</t>
        </is>
      </c>
      <c r="D147" s="515" t="n">
        <v>21674731</v>
      </c>
      <c r="E147" s="284" t="inlineStr"/>
      <c r="F147" s="284" t="n">
        <v>15359.8</v>
      </c>
      <c r="G147" s="231">
        <f>E147-F147</f>
        <v/>
      </c>
      <c r="H147" s="534" t="n">
        <v>1</v>
      </c>
      <c r="I147" s="255">
        <f>G147*H147</f>
        <v/>
      </c>
      <c r="J147" s="255" t="n"/>
      <c r="K147" s="185">
        <f>K146</f>
        <v/>
      </c>
      <c r="L147" s="178" t="n"/>
      <c r="M147" s="178">
        <f>(I147+L147)*$W$41</f>
        <v/>
      </c>
      <c r="N147" s="180">
        <f>I147*K147+I147+L147+M147</f>
        <v/>
      </c>
      <c r="O147" s="180" t="n"/>
      <c r="P147" s="84" t="n"/>
      <c r="Q147" s="159" t="n"/>
      <c r="R147" s="159" t="n"/>
    </row>
    <row customHeight="1" ht="12.75" r="148">
      <c r="A148" s="262" t="n"/>
      <c r="B148" s="216" t="n"/>
      <c r="C148" s="262" t="n"/>
      <c r="D148" s="262" t="n"/>
      <c r="E148" s="248" t="inlineStr"/>
      <c r="F148" s="248" t="n"/>
      <c r="G148" s="217" t="n"/>
      <c r="H148" s="216" t="n"/>
      <c r="I148" s="262" t="n"/>
      <c r="J148" s="262" t="n"/>
      <c r="K148" s="217" t="n"/>
      <c r="L148" s="217" t="n"/>
      <c r="M148" s="217" t="n"/>
      <c r="N148" s="224" t="n"/>
      <c r="O148" s="224" t="n"/>
      <c r="P148" s="84" t="n"/>
      <c r="Q148" s="159" t="n"/>
      <c r="R148" s="159" t="n"/>
    </row>
    <row customHeight="1" ht="15" r="149">
      <c r="A149" s="189" t="n"/>
      <c r="B149" s="534" t="n"/>
      <c r="C149" s="192" t="inlineStr">
        <is>
          <t>Потребление арендаторов:</t>
        </is>
      </c>
      <c r="D149" s="192" t="n"/>
      <c r="E149" s="255" t="inlineStr"/>
      <c r="F149" s="189" t="n"/>
      <c r="G149" s="231" t="n"/>
      <c r="H149" s="534" t="n"/>
      <c r="J149" s="255">
        <f>SUM(I111:J148)</f>
        <v/>
      </c>
      <c r="K149" s="178" t="n"/>
      <c r="L149" s="178" t="n"/>
      <c r="M149" s="178" t="n"/>
      <c r="O149" s="180">
        <f>K149*L149+K149</f>
        <v/>
      </c>
      <c r="P149" s="194">
        <f>J149*K149+J149</f>
        <v/>
      </c>
      <c r="Q149" s="159" t="n"/>
      <c r="R149" s="159" t="n"/>
    </row>
    <row customHeight="1" ht="32.65" r="150">
      <c r="A150" s="189" t="n"/>
      <c r="B150" s="534" t="n"/>
      <c r="C150" s="263" t="inlineStr">
        <is>
          <t>Потребление коридора,с/у,наружное освещение,утепление ливнестоков</t>
        </is>
      </c>
      <c r="D150" s="263" t="n"/>
      <c r="E150" s="255" t="inlineStr"/>
      <c r="F150" s="189" t="n"/>
      <c r="G150" s="231" t="n"/>
      <c r="H150" s="534" t="n"/>
      <c r="J150" s="255">
        <f>J151-J149</f>
        <v/>
      </c>
      <c r="K150" s="178" t="n"/>
      <c r="L150" s="178" t="n"/>
      <c r="M150" s="178" t="n"/>
      <c r="O150" s="180">
        <f>K150*L150+K150</f>
        <v/>
      </c>
      <c r="P150" s="194">
        <f>J150*K150+J150</f>
        <v/>
      </c>
      <c r="Q150" s="159" t="n"/>
      <c r="R150" s="159" t="n"/>
    </row>
    <row customHeight="1" ht="15" r="151">
      <c r="A151" s="255" t="n"/>
      <c r="B151" s="534" t="n"/>
      <c r="C151" s="192" t="inlineStr">
        <is>
          <t>Учет 2-й этаж секция А общий :</t>
        </is>
      </c>
      <c r="D151" s="192" t="n"/>
      <c r="E151" s="284" t="inlineStr"/>
      <c r="F151" s="284" t="n">
        <v>14859.06</v>
      </c>
      <c r="G151" s="253">
        <f>E151-F151</f>
        <v/>
      </c>
      <c r="H151" s="418" t="n">
        <v>40</v>
      </c>
      <c r="J151" s="119">
        <f>G151*H151</f>
        <v/>
      </c>
      <c r="K151" s="198" t="n"/>
      <c r="L151" s="178" t="n"/>
      <c r="M151" s="178" t="n"/>
      <c r="O151" s="180">
        <f>K151*L151+K151</f>
        <v/>
      </c>
      <c r="P151" s="194">
        <f>J151*K151+J151</f>
        <v/>
      </c>
      <c r="Q151" s="200" t="n"/>
      <c r="R151" s="201" t="n"/>
      <c r="S151" s="202" t="n"/>
      <c r="T151" s="427" t="n"/>
      <c r="U151" s="427" t="n"/>
      <c r="V151" s="427" t="n"/>
      <c r="W151" s="427" t="n"/>
      <c r="X151" s="427" t="n"/>
      <c r="Y151" s="427" t="n"/>
    </row>
    <row customHeight="1" ht="15.75" r="152">
      <c r="A152" s="255" t="n"/>
      <c r="B152" s="534" t="n"/>
      <c r="C152" s="192" t="inlineStr">
        <is>
          <t>Выставляем арендаторам :</t>
        </is>
      </c>
      <c r="D152" s="192" t="n"/>
      <c r="E152" s="197" t="inlineStr"/>
      <c r="F152" s="197" t="n"/>
      <c r="G152" s="231" t="n"/>
      <c r="H152" s="534" t="n"/>
      <c r="I152" s="255" t="n"/>
      <c r="J152" s="255" t="n"/>
      <c r="K152" s="198" t="n"/>
      <c r="L152" s="178" t="n"/>
      <c r="M152" s="178" t="n"/>
      <c r="O152" s="180" t="n"/>
      <c r="P152" s="199">
        <f>SUM(N111:N147)</f>
        <v/>
      </c>
      <c r="Q152" s="200" t="n"/>
      <c r="R152" s="201" t="n"/>
      <c r="S152" s="202" t="n"/>
      <c r="T152" s="427" t="n"/>
      <c r="U152" s="427" t="n"/>
      <c r="V152" s="427" t="n"/>
      <c r="W152" s="427" t="n"/>
      <c r="X152" s="427" t="n"/>
      <c r="Y152" s="427" t="n"/>
    </row>
    <row customHeight="1" ht="15" r="153">
      <c r="A153" s="255" t="n"/>
      <c r="B153" s="534" t="n"/>
      <c r="C153" s="192" t="inlineStr">
        <is>
          <t>Общий итог :</t>
        </is>
      </c>
      <c r="D153" s="192" t="n"/>
      <c r="E153" s="197" t="inlineStr"/>
      <c r="F153" s="197" t="n"/>
      <c r="G153" s="231" t="n"/>
      <c r="H153" s="534" t="n"/>
      <c r="I153" s="255" t="n"/>
      <c r="J153" s="255" t="n"/>
      <c r="K153" s="198" t="n"/>
      <c r="L153" s="178" t="n"/>
      <c r="M153" s="178" t="n"/>
      <c r="O153" s="180" t="n"/>
      <c r="P153" s="194">
        <f>P152-P151</f>
        <v/>
      </c>
      <c r="Q153" s="200" t="n"/>
      <c r="R153" s="201" t="n"/>
      <c r="S153" s="202" t="n"/>
      <c r="T153" s="427" t="n"/>
      <c r="U153" s="427" t="n"/>
      <c r="V153" s="427" t="n"/>
      <c r="W153" s="427" t="n"/>
      <c r="X153" s="427" t="n"/>
      <c r="Y153" s="427" t="n"/>
    </row>
    <row customHeight="1" ht="15" r="154">
      <c r="A154" s="255" t="n"/>
      <c r="B154" s="534" t="n"/>
      <c r="C154" s="192" t="inlineStr">
        <is>
          <t>Общий итог с потерями РЭСа:</t>
        </is>
      </c>
      <c r="D154" s="192" t="n"/>
      <c r="E154" s="197" t="inlineStr"/>
      <c r="F154" s="197" t="n"/>
      <c r="G154" s="231" t="n"/>
      <c r="H154" s="534" t="n"/>
      <c r="I154" s="255" t="n"/>
      <c r="J154" s="255" t="n"/>
      <c r="K154" s="198" t="n"/>
      <c r="L154" s="178" t="n"/>
      <c r="M154" s="178" t="n"/>
      <c r="O154" s="180" t="n"/>
      <c r="P154" s="194">
        <f>P152-(P151*AC25+P151)</f>
        <v/>
      </c>
      <c r="Q154" s="200" t="n"/>
      <c r="R154" s="201" t="n"/>
      <c r="S154" s="202" t="n"/>
      <c r="T154" s="427" t="n"/>
      <c r="U154" s="427" t="n"/>
      <c r="V154" s="427" t="n"/>
      <c r="W154" s="427" t="n"/>
      <c r="X154" s="427" t="n"/>
      <c r="Y154" s="427" t="n"/>
    </row>
    <row customHeight="1" ht="15" r="155">
      <c r="A155" s="262" t="n"/>
      <c r="B155" s="216" t="n"/>
      <c r="C155" s="262" t="n"/>
      <c r="D155" s="262" t="n"/>
      <c r="E155" s="248" t="inlineStr"/>
      <c r="F155" s="248" t="n"/>
      <c r="G155" s="217" t="n"/>
      <c r="H155" s="216" t="n"/>
      <c r="I155" s="262" t="n"/>
      <c r="J155" s="262" t="n"/>
      <c r="K155" s="217" t="n"/>
      <c r="L155" s="217" t="n"/>
      <c r="M155" s="217" t="n"/>
      <c r="N155" s="224" t="n"/>
      <c r="O155" s="224" t="n"/>
      <c r="P155" s="84" t="n"/>
      <c r="Q155" s="159" t="n"/>
      <c r="R155" s="159" t="n"/>
    </row>
    <row customHeight="1" ht="15" r="156">
      <c r="A156" s="203" t="n"/>
      <c r="B156" s="164" t="n"/>
      <c r="C156" s="165" t="inlineStr">
        <is>
          <t>Итого секция А</t>
        </is>
      </c>
      <c r="D156" s="165" t="n"/>
      <c r="E156" s="204" t="inlineStr"/>
      <c r="F156" s="204" t="n"/>
      <c r="G156" s="206" t="n"/>
      <c r="H156" s="164" t="n"/>
      <c r="I156" s="206" t="n"/>
      <c r="J156" s="206" t="n"/>
      <c r="K156" s="208" t="n"/>
      <c r="L156" s="208" t="n"/>
      <c r="M156" s="208" t="n"/>
      <c r="N156" s="209" t="n"/>
      <c r="O156" s="209" t="n"/>
      <c r="P156" s="186" t="n"/>
      <c r="Q156" s="159" t="n"/>
      <c r="R156" s="159" t="n"/>
    </row>
    <row customHeight="1" ht="15" r="157">
      <c r="A157" s="262" t="n"/>
      <c r="B157" s="216" t="n"/>
      <c r="C157" s="262" t="n"/>
      <c r="D157" s="262" t="n"/>
      <c r="E157" s="248" t="inlineStr"/>
      <c r="F157" s="248" t="n"/>
      <c r="G157" s="217" t="n"/>
      <c r="H157" s="216" t="n"/>
      <c r="I157" s="262" t="n"/>
      <c r="J157" s="262" t="n"/>
      <c r="K157" s="217" t="n"/>
      <c r="L157" s="217" t="n"/>
      <c r="M157" s="217" t="n"/>
      <c r="N157" s="224" t="n"/>
      <c r="O157" s="224" t="n"/>
      <c r="P157" s="84" t="n"/>
      <c r="Q157" s="159" t="n"/>
      <c r="R157" s="159" t="n"/>
    </row>
    <row customHeight="1" ht="15" r="158">
      <c r="A158" s="266" t="n"/>
      <c r="B158" s="265" t="n"/>
      <c r="C158" s="266" t="inlineStr">
        <is>
          <t>Ввод в секцию А(1)</t>
        </is>
      </c>
      <c r="D158" s="266" t="n"/>
      <c r="E158" s="267" t="inlineStr"/>
      <c r="F158" s="267" t="n">
        <v>18395.5</v>
      </c>
      <c r="G158" s="268">
        <f>E158-F158</f>
        <v/>
      </c>
      <c r="H158" s="269" t="n">
        <v>60</v>
      </c>
      <c r="J158" s="266">
        <f>G158*H158</f>
        <v/>
      </c>
      <c r="K158" s="270" t="n"/>
      <c r="L158" s="270" t="n"/>
      <c r="M158" s="270" t="n"/>
      <c r="N158" s="271" t="n"/>
      <c r="O158" s="271" t="n"/>
      <c r="P158" s="84" t="n"/>
      <c r="Q158" s="159" t="n"/>
      <c r="R158" s="159" t="n"/>
    </row>
    <row customHeight="1" ht="15" r="159">
      <c r="A159" s="266" t="n"/>
      <c r="B159" s="265" t="n"/>
      <c r="C159" s="266" t="inlineStr">
        <is>
          <t>Ввод в секцию А(2)</t>
        </is>
      </c>
      <c r="D159" s="266" t="n"/>
      <c r="E159" s="267" t="inlineStr"/>
      <c r="F159" s="267" t="n">
        <v>17710.1</v>
      </c>
      <c r="G159" s="268">
        <f>E159-F159</f>
        <v/>
      </c>
      <c r="H159" s="269" t="n">
        <v>60</v>
      </c>
      <c r="J159" s="266">
        <f>G159*H159</f>
        <v/>
      </c>
      <c r="K159" s="270">
        <f>J158+J159</f>
        <v/>
      </c>
      <c r="L159" s="270" t="n"/>
      <c r="M159" s="270" t="n"/>
      <c r="O159" s="271" t="n"/>
      <c r="P159" s="272">
        <f>K159</f>
        <v/>
      </c>
      <c r="Q159" s="159" t="n"/>
      <c r="R159" s="159" t="n"/>
    </row>
    <row customHeight="1" ht="15" r="160">
      <c r="A160" s="255" t="n"/>
      <c r="B160" s="273" t="n"/>
      <c r="C160" s="167" t="inlineStr">
        <is>
          <t>Учет 2-го этажа</t>
        </is>
      </c>
      <c r="D160" s="167" t="n"/>
      <c r="E160" s="284" t="inlineStr"/>
      <c r="F160" s="284" t="n"/>
      <c r="G160" s="231">
        <f>E160-F160</f>
        <v/>
      </c>
      <c r="H160" s="534" t="n">
        <v>40</v>
      </c>
      <c r="J160" s="255">
        <f>G160*H160</f>
        <v/>
      </c>
      <c r="K160" s="198" t="n"/>
      <c r="L160" s="198" t="n"/>
      <c r="M160" s="198" t="n"/>
      <c r="O160" s="180">
        <f>P152</f>
        <v/>
      </c>
      <c r="P160" s="194">
        <f>J160</f>
        <v/>
      </c>
      <c r="Q160" s="159" t="n"/>
      <c r="R160" s="159" t="n"/>
    </row>
    <row customHeight="1" ht="15" r="161">
      <c r="A161" s="255" t="n"/>
      <c r="B161" s="273" t="n"/>
      <c r="C161" s="167" t="inlineStr">
        <is>
          <t>Учет 1-го этажа</t>
        </is>
      </c>
      <c r="D161" s="167" t="n"/>
      <c r="E161" s="219" t="inlineStr"/>
      <c r="F161" s="219" t="n"/>
      <c r="G161" s="231">
        <f>E161-F161</f>
        <v/>
      </c>
      <c r="H161" s="534" t="n">
        <v>60</v>
      </c>
      <c r="J161" s="255">
        <f>J100+J105</f>
        <v/>
      </c>
      <c r="K161" s="198" t="n"/>
      <c r="L161" s="198" t="n"/>
      <c r="M161" s="198" t="n"/>
      <c r="O161" s="180">
        <f>P106</f>
        <v/>
      </c>
      <c r="P161" s="194">
        <f>J161</f>
        <v/>
      </c>
      <c r="Q161" s="159" t="n"/>
      <c r="R161" s="159" t="n"/>
    </row>
    <row customHeight="1" ht="15" r="162">
      <c r="A162" s="255" t="n"/>
      <c r="B162" s="273" t="n"/>
      <c r="C162" s="167" t="inlineStr">
        <is>
          <t>Учет подвала секция А общий :</t>
        </is>
      </c>
      <c r="D162" s="167" t="n"/>
      <c r="E162" s="219" t="inlineStr"/>
      <c r="F162" s="219" t="n"/>
      <c r="G162" s="231">
        <f>E162-F162</f>
        <v/>
      </c>
      <c r="H162" s="534" t="n">
        <v>60</v>
      </c>
      <c r="J162" s="255">
        <f>G162*H162</f>
        <v/>
      </c>
      <c r="K162" s="198" t="n"/>
      <c r="L162" s="198" t="n"/>
      <c r="M162" s="198" t="n"/>
      <c r="O162" s="180">
        <f>P72</f>
        <v/>
      </c>
      <c r="P162" s="194">
        <f>J162</f>
        <v/>
      </c>
      <c r="Q162" s="159" t="n"/>
      <c r="R162" s="159" t="n"/>
    </row>
    <row customHeight="1" ht="15" r="163">
      <c r="A163" s="255" t="n"/>
      <c r="B163" s="273" t="n"/>
      <c r="C163" s="167" t="inlineStr">
        <is>
          <t>Учет Италавто</t>
        </is>
      </c>
      <c r="D163" s="167" t="n"/>
      <c r="E163" s="284" t="inlineStr"/>
      <c r="F163" s="284" t="n"/>
      <c r="G163" s="231">
        <f>J47</f>
        <v/>
      </c>
      <c r="H163" s="534" t="n">
        <v>1</v>
      </c>
      <c r="J163" s="189">
        <f>G163*H163</f>
        <v/>
      </c>
      <c r="K163" s="198" t="n"/>
      <c r="L163" s="198" t="n"/>
      <c r="M163" s="198" t="n"/>
      <c r="O163" s="180">
        <f>P49</f>
        <v/>
      </c>
      <c r="P163" s="194">
        <f>J163</f>
        <v/>
      </c>
      <c r="Q163" s="159" t="n"/>
      <c r="R163" s="159" t="n"/>
    </row>
    <row customHeight="1" ht="15" r="164">
      <c r="A164" s="255" t="n"/>
      <c r="B164" s="534" t="n"/>
      <c r="C164" s="167" t="inlineStr">
        <is>
          <t>Всего секция А по учетам</t>
        </is>
      </c>
      <c r="D164" s="167" t="n"/>
      <c r="E164" s="284" t="inlineStr"/>
      <c r="F164" s="284" t="n"/>
      <c r="G164" s="231" t="n"/>
      <c r="H164" s="534" t="n"/>
      <c r="J164" s="255">
        <f>SUM(J160:J163)</f>
        <v/>
      </c>
      <c r="K164" s="198" t="n"/>
      <c r="L164" s="198" t="n"/>
      <c r="M164" s="198" t="n"/>
      <c r="O164" s="180" t="n"/>
      <c r="P164" s="194" t="n"/>
      <c r="Q164" s="159" t="n"/>
      <c r="R164" s="159" t="n"/>
    </row>
    <row customHeight="1" ht="15" r="165">
      <c r="A165" s="255" t="n"/>
      <c r="B165" s="534" t="n"/>
      <c r="C165" s="167" t="inlineStr">
        <is>
          <t>Арендаторы по учетам</t>
        </is>
      </c>
      <c r="D165" s="167" t="n"/>
      <c r="E165" s="284" t="inlineStr"/>
      <c r="F165" s="284" t="n"/>
      <c r="G165" s="231" t="n"/>
      <c r="H165" s="534" t="n"/>
      <c r="J165" s="189">
        <f>J47+J68+J99+J149</f>
        <v/>
      </c>
      <c r="K165" s="198" t="n"/>
      <c r="L165" s="198" t="n"/>
      <c r="M165" s="198" t="n"/>
      <c r="O165" s="180">
        <f>O160+O161+O162+O163</f>
        <v/>
      </c>
      <c r="P165" s="194">
        <f>J165</f>
        <v/>
      </c>
      <c r="Q165" s="159" t="n"/>
      <c r="R165" s="159" t="n"/>
    </row>
    <row customHeight="1" ht="15" r="166">
      <c r="A166" s="266" t="n"/>
      <c r="B166" s="269" t="n"/>
      <c r="C166" s="266" t="inlineStr">
        <is>
          <t>Итого по учетам секции А</t>
        </is>
      </c>
      <c r="D166" s="266" t="n"/>
      <c r="E166" s="267" t="inlineStr"/>
      <c r="F166" s="267" t="n"/>
      <c r="G166" s="274" t="n"/>
      <c r="H166" s="269" t="n"/>
      <c r="I166" s="269" t="n"/>
      <c r="J166" s="269" t="n"/>
      <c r="K166" s="270" t="n"/>
      <c r="L166" s="270" t="n"/>
      <c r="M166" s="270" t="n"/>
      <c r="N166" s="271" t="n"/>
      <c r="O166" s="271">
        <f>-(P159-O165)</f>
        <v/>
      </c>
      <c r="P166" s="84" t="n"/>
      <c r="Q166" s="159" t="n"/>
      <c r="R166" s="159" t="n"/>
    </row>
    <row customHeight="1" ht="15" r="167">
      <c r="A167" s="266" t="n"/>
      <c r="B167" s="269" t="n"/>
      <c r="C167" s="266" t="inlineStr">
        <is>
          <t>Итого с потерями РЭСа</t>
        </is>
      </c>
      <c r="D167" s="266" t="n"/>
      <c r="E167" s="267" t="inlineStr"/>
      <c r="F167" s="267" t="n"/>
      <c r="G167" s="274" t="n"/>
      <c r="H167" s="269" t="n"/>
      <c r="I167" s="269" t="n"/>
      <c r="J167" s="269" t="n"/>
      <c r="K167" s="270" t="n"/>
      <c r="L167" s="270" t="n"/>
      <c r="M167" s="270" t="n"/>
      <c r="N167" s="271" t="n"/>
      <c r="O167" s="271">
        <f>O166*AC25+O166</f>
        <v/>
      </c>
      <c r="P167" s="84" t="n"/>
      <c r="Q167" s="159" t="n"/>
      <c r="R167" s="159" t="n"/>
    </row>
    <row customHeight="1" ht="15" r="168">
      <c r="A168" s="266" t="n"/>
      <c r="B168" s="269" t="n"/>
      <c r="C168" s="266" t="n"/>
      <c r="D168" s="266" t="n"/>
      <c r="E168" s="267" t="inlineStr"/>
      <c r="F168" s="267" t="n"/>
      <c r="G168" s="274" t="n"/>
      <c r="H168" s="269" t="n"/>
      <c r="I168" s="269" t="n"/>
      <c r="J168" s="269" t="n"/>
      <c r="K168" s="270" t="n"/>
      <c r="L168" s="270" t="n"/>
      <c r="M168" s="270" t="n"/>
      <c r="N168" s="271" t="n"/>
      <c r="O168" s="271" t="n"/>
      <c r="P168" s="84" t="n"/>
      <c r="Q168" s="159" t="n"/>
      <c r="R168" s="159" t="n"/>
    </row>
    <row customHeight="1" ht="15" r="169">
      <c r="A169" s="255" t="n"/>
      <c r="B169" s="534" t="n"/>
      <c r="C169" s="167" t="n"/>
      <c r="D169" s="167" t="n"/>
      <c r="E169" s="284" t="inlineStr"/>
      <c r="F169" s="284" t="n"/>
      <c r="G169" s="231" t="n"/>
      <c r="H169" s="534" t="n"/>
      <c r="I169" s="534" t="n"/>
      <c r="J169" s="534" t="n"/>
      <c r="K169" s="198" t="n"/>
      <c r="L169" s="198" t="n"/>
      <c r="M169" s="198" t="n"/>
      <c r="N169" s="180" t="n"/>
      <c r="O169" s="180" t="n"/>
      <c r="P169" s="84" t="n"/>
      <c r="Q169" s="159" t="n"/>
      <c r="R169" s="159" t="n"/>
    </row>
    <row customHeight="1" ht="23.25" r="170">
      <c r="A170" s="536" t="n"/>
      <c r="B170" s="537" t="n"/>
      <c r="C170" s="536" t="n"/>
      <c r="D170" s="536" t="n"/>
      <c r="E170" s="537" t="inlineStr"/>
      <c r="F170" s="537" t="n"/>
      <c r="G170" s="537" t="n"/>
      <c r="H170" s="537" t="n"/>
      <c r="I170" s="537" t="n"/>
      <c r="J170" s="536" t="n"/>
      <c r="K170" s="537" t="n"/>
      <c r="L170" s="537" t="n"/>
      <c r="M170" s="537" t="n"/>
      <c r="N170" s="536" t="n"/>
      <c r="O170" s="536" t="n"/>
      <c r="P170" s="275" t="n"/>
      <c r="Q170" s="159" t="n"/>
      <c r="R170" s="159" t="n"/>
    </row>
    <row customHeight="1" ht="15" r="171">
      <c r="A171" s="203" t="n"/>
      <c r="B171" s="165" t="inlineStr">
        <is>
          <t>корп.2Б</t>
        </is>
      </c>
      <c r="C171" s="165" t="inlineStr">
        <is>
          <t>Арендаторы:</t>
        </is>
      </c>
      <c r="D171" s="166" t="inlineStr">
        <is>
          <t>код ОКПО</t>
        </is>
      </c>
      <c r="E171" s="204" t="inlineStr"/>
      <c r="F171" s="204" t="n"/>
      <c r="G171" s="208" t="n"/>
      <c r="H171" s="164" t="n"/>
      <c r="I171" s="276" t="n"/>
      <c r="J171" s="276" t="n"/>
      <c r="K171" s="254" t="n">
        <v>0.32</v>
      </c>
      <c r="L171" s="206" t="n"/>
      <c r="M171" s="206" t="n"/>
      <c r="N171" s="277" t="n"/>
      <c r="O171" s="278" t="n"/>
      <c r="P171" s="279" t="n"/>
      <c r="Q171" s="159" t="n"/>
      <c r="R171" s="159" t="n"/>
    </row>
    <row customHeight="1" ht="15" r="172">
      <c r="A172" s="189" t="n"/>
      <c r="B172" s="534" t="n"/>
      <c r="C172" s="538" t="inlineStr">
        <is>
          <t>подвал</t>
        </is>
      </c>
      <c r="D172" s="538" t="n"/>
      <c r="E172" s="284" t="inlineStr"/>
      <c r="F172" s="284" t="n"/>
      <c r="G172" s="231" t="n"/>
      <c r="H172" s="534" t="n"/>
      <c r="I172" s="280" t="n"/>
      <c r="J172" s="280" t="n"/>
      <c r="K172" s="281" t="n"/>
      <c r="L172" s="223" t="n"/>
      <c r="M172" s="223" t="n"/>
      <c r="N172" s="282" t="n"/>
      <c r="O172" s="283" t="n"/>
      <c r="P172" s="279" t="n"/>
      <c r="Q172" s="159" t="n"/>
      <c r="R172" s="159" t="n"/>
    </row>
    <row customHeight="1" ht="15" r="173">
      <c r="A173" s="181" t="n"/>
      <c r="B173" s="509" t="n">
        <v>2902</v>
      </c>
      <c r="C173" s="210" t="inlineStr">
        <is>
          <t>Ладышкина</t>
        </is>
      </c>
      <c r="D173" s="515" t="n">
        <v>2812700705</v>
      </c>
      <c r="E173" s="284" t="inlineStr"/>
      <c r="F173" s="284" t="n">
        <v>1144.5</v>
      </c>
      <c r="G173" s="184">
        <f>E173-F173</f>
        <v/>
      </c>
      <c r="H173" s="534" t="n">
        <v>1</v>
      </c>
      <c r="I173" s="184">
        <f>G173*H173</f>
        <v/>
      </c>
      <c r="J173" s="184" t="n"/>
      <c r="K173" s="185" t="n">
        <v>0.32</v>
      </c>
      <c r="L173" s="178" t="n"/>
      <c r="M173" s="178">
        <f>(I173+L173)*$W$41</f>
        <v/>
      </c>
      <c r="N173" s="180">
        <f>I173*K173+I173+L173+M173</f>
        <v/>
      </c>
      <c r="O173" s="194" t="n"/>
      <c r="P173" s="279" t="n"/>
      <c r="Q173" s="159" t="n"/>
      <c r="R173" s="159" t="n"/>
    </row>
    <row customHeight="1" ht="15" r="174">
      <c r="A174" s="189" t="n"/>
      <c r="B174" s="509" t="n">
        <v>2910</v>
      </c>
      <c r="C174" s="210" t="inlineStr">
        <is>
          <t>Данилюк</t>
        </is>
      </c>
      <c r="D174" s="515" t="n">
        <v>2893003115</v>
      </c>
      <c r="E174" s="284" t="inlineStr"/>
      <c r="F174" s="284" t="n">
        <v>603.3</v>
      </c>
      <c r="G174" s="184">
        <f>E174-F174</f>
        <v/>
      </c>
      <c r="H174" s="534" t="n">
        <v>1</v>
      </c>
      <c r="I174" s="184">
        <f>G174*H174</f>
        <v/>
      </c>
      <c r="J174" s="184" t="n"/>
      <c r="K174" s="185" t="n">
        <v>0.32</v>
      </c>
      <c r="L174" s="178" t="n"/>
      <c r="M174" s="178">
        <f>(I174+L174)*$W$41</f>
        <v/>
      </c>
      <c r="N174" s="180">
        <f>I174*K174+I174+L174+M174</f>
        <v/>
      </c>
      <c r="O174" s="194" t="n"/>
      <c r="P174" s="279" t="n"/>
      <c r="Q174" s="159" t="n"/>
      <c r="R174" s="159" t="n"/>
    </row>
    <row customHeight="1" ht="15" r="175">
      <c r="A175" s="189" t="n"/>
      <c r="B175" s="509" t="n">
        <v>2909</v>
      </c>
      <c r="C175" s="210" t="inlineStr">
        <is>
          <t>Данилюк</t>
        </is>
      </c>
      <c r="D175" s="515" t="n">
        <v>2893003115</v>
      </c>
      <c r="E175" s="284" t="inlineStr"/>
      <c r="F175" s="284" t="n">
        <v>52254.5</v>
      </c>
      <c r="G175" s="285">
        <f>E175-F175</f>
        <v/>
      </c>
      <c r="H175" s="534" t="n">
        <v>1</v>
      </c>
      <c r="I175" s="184">
        <f>G175*H175</f>
        <v/>
      </c>
      <c r="J175" s="184" t="n"/>
      <c r="K175" s="185" t="n">
        <v>0.32</v>
      </c>
      <c r="L175" s="178" t="n"/>
      <c r="M175" s="178">
        <f>(I175+L175)*$W$41</f>
        <v/>
      </c>
      <c r="N175" s="180">
        <f>I175*K175+I175+L175+M175</f>
        <v/>
      </c>
      <c r="O175" s="194" t="n"/>
      <c r="P175" s="279" t="n"/>
      <c r="Q175" s="159" t="n"/>
      <c r="R175" s="159" t="n"/>
    </row>
    <row customHeight="1" ht="15" r="176">
      <c r="A176" s="189" t="n"/>
      <c r="B176" s="509" t="n">
        <v>2924</v>
      </c>
      <c r="C176" s="210" t="inlineStr">
        <is>
          <t>Кривоцюк</t>
        </is>
      </c>
      <c r="D176" s="515" t="n">
        <v>2842707632</v>
      </c>
      <c r="E176" s="284" t="inlineStr"/>
      <c r="F176" s="284" t="n">
        <v>560.8</v>
      </c>
      <c r="G176" s="285">
        <f>E176-F176</f>
        <v/>
      </c>
      <c r="H176" s="534" t="n">
        <v>1</v>
      </c>
      <c r="I176" s="184">
        <f>G176*H176</f>
        <v/>
      </c>
      <c r="J176" s="184" t="n"/>
      <c r="K176" s="185" t="n">
        <v>0.32</v>
      </c>
      <c r="L176" s="178" t="n">
        <v>10</v>
      </c>
      <c r="M176" s="178">
        <f>(I176+L176)*$W$41</f>
        <v/>
      </c>
      <c r="N176" s="180">
        <f>I176*K176+I176+L176+M176</f>
        <v/>
      </c>
      <c r="O176" s="194" t="n"/>
      <c r="P176" s="279" t="n"/>
      <c r="Q176" s="159" t="n"/>
      <c r="R176" s="159" t="n"/>
    </row>
    <row customHeight="1" ht="15" r="177">
      <c r="A177" s="189" t="n"/>
      <c r="B177" s="509" t="n">
        <v>2934</v>
      </c>
      <c r="C177" s="210" t="inlineStr">
        <is>
          <t>свободно</t>
        </is>
      </c>
      <c r="D177" s="515" t="n"/>
      <c r="E177" s="284" t="inlineStr"/>
      <c r="F177" s="284" t="n"/>
      <c r="G177" s="285">
        <f>E177-F177</f>
        <v/>
      </c>
      <c r="H177" s="534" t="n">
        <v>1</v>
      </c>
      <c r="I177" s="184">
        <f>G177*H177</f>
        <v/>
      </c>
      <c r="J177" s="184" t="n"/>
      <c r="K177" s="185" t="n">
        <v>0.32</v>
      </c>
      <c r="L177" s="178" t="n"/>
      <c r="M177" s="178">
        <f>(I177+L177)*$W$41</f>
        <v/>
      </c>
      <c r="N177" s="180">
        <f>I177*K177+I177+L177+M177</f>
        <v/>
      </c>
      <c r="O177" s="194" t="n"/>
      <c r="P177" s="279" t="n"/>
      <c r="Q177" s="159" t="n"/>
      <c r="R177" s="159" t="n"/>
    </row>
    <row customHeight="1" ht="15" r="178">
      <c r="A178" s="189" t="n"/>
      <c r="B178" s="509" t="n">
        <v>2905</v>
      </c>
      <c r="C178" s="210" t="inlineStr">
        <is>
          <t>Лацин</t>
        </is>
      </c>
      <c r="D178" s="515" t="n">
        <v>2087309414</v>
      </c>
      <c r="E178" s="284" t="inlineStr"/>
      <c r="F178" s="284" t="n">
        <v>4048.1</v>
      </c>
      <c r="G178" s="285">
        <f>E178-F178</f>
        <v/>
      </c>
      <c r="H178" s="534" t="n">
        <v>1</v>
      </c>
      <c r="I178" s="184">
        <f>G178*H178</f>
        <v/>
      </c>
      <c r="J178" s="184" t="n"/>
      <c r="K178" s="185" t="n">
        <v>0.32</v>
      </c>
      <c r="L178" s="178" t="n"/>
      <c r="M178" s="178">
        <f>(I178+L178)*$W$41</f>
        <v/>
      </c>
      <c r="N178" s="180">
        <f>I178*K178+I178+L178+M178</f>
        <v/>
      </c>
      <c r="O178" s="194" t="n"/>
      <c r="P178" s="279" t="n"/>
      <c r="Q178" s="159" t="n"/>
      <c r="R178" s="159" t="n"/>
    </row>
    <row customHeight="1" ht="15" r="179">
      <c r="A179" s="181" t="n"/>
      <c r="B179" s="509" t="n">
        <v>2911</v>
      </c>
      <c r="C179" s="210" t="inlineStr">
        <is>
          <t>Шоу рент</t>
        </is>
      </c>
      <c r="D179" s="515" t="n">
        <v>41559107</v>
      </c>
      <c r="E179" s="284" t="inlineStr"/>
      <c r="F179" s="284" t="n">
        <v>1663.6</v>
      </c>
      <c r="G179" s="285">
        <f>E179-F179</f>
        <v/>
      </c>
      <c r="H179" s="534" t="n">
        <v>1</v>
      </c>
      <c r="I179" s="184">
        <f>G179*H179</f>
        <v/>
      </c>
      <c r="J179" s="184" t="n"/>
      <c r="K179" s="185" t="n">
        <v>0.32</v>
      </c>
      <c r="L179" s="178" t="n"/>
      <c r="M179" s="178">
        <f>(I179+L179)*$W$41</f>
        <v/>
      </c>
      <c r="N179" s="180">
        <f>I179*K179+I179+L179+M179</f>
        <v/>
      </c>
      <c r="O179" s="194" t="n"/>
      <c r="P179" s="279" t="n"/>
      <c r="Q179" s="159" t="n"/>
      <c r="R179" s="159" t="n"/>
    </row>
    <row customHeight="1" ht="15" r="180">
      <c r="A180" s="189" t="n"/>
      <c r="B180" s="509" t="n">
        <v>2915</v>
      </c>
      <c r="C180" s="210" t="inlineStr">
        <is>
          <t xml:space="preserve">Доскевич </t>
        </is>
      </c>
      <c r="D180" s="515" t="n">
        <v>3272511157</v>
      </c>
      <c r="E180" s="284" t="inlineStr"/>
      <c r="F180" s="284" t="n">
        <v>3246.7</v>
      </c>
      <c r="G180" s="285">
        <f>E180-F180</f>
        <v/>
      </c>
      <c r="H180" s="534" t="n">
        <v>1</v>
      </c>
      <c r="I180" s="184">
        <f>G180*H180</f>
        <v/>
      </c>
      <c r="J180" s="184" t="n"/>
      <c r="K180" s="185" t="n">
        <v>0.32</v>
      </c>
      <c r="L180" s="178" t="n"/>
      <c r="M180" s="178">
        <f>(I180+L180)*$W$41</f>
        <v/>
      </c>
      <c r="N180" s="180">
        <f>I180*K180+I180+L180+M180</f>
        <v/>
      </c>
      <c r="O180" s="194" t="n"/>
      <c r="P180" s="279" t="n"/>
      <c r="Q180" s="159" t="n"/>
      <c r="R180" s="159" t="n"/>
    </row>
    <row customHeight="1" ht="15" r="181">
      <c r="A181" s="189" t="n"/>
      <c r="B181" s="509" t="n">
        <v>2916</v>
      </c>
      <c r="C181" s="210" t="inlineStr">
        <is>
          <t>Администрация (ТМСИ)</t>
        </is>
      </c>
      <c r="D181" s="515" t="n"/>
      <c r="E181" s="284" t="inlineStr"/>
      <c r="F181" s="284" t="n"/>
      <c r="G181" s="184">
        <f>E181-F181</f>
        <v/>
      </c>
      <c r="H181" s="534" t="n">
        <v>1</v>
      </c>
      <c r="I181" s="184">
        <f>G181*H181</f>
        <v/>
      </c>
      <c r="J181" s="184" t="n"/>
      <c r="K181" s="185" t="n">
        <v>0.32</v>
      </c>
      <c r="L181" s="178" t="n"/>
      <c r="M181" s="178">
        <f>(I181+L181)*$W$41</f>
        <v/>
      </c>
      <c r="N181" s="180">
        <f>I181*K181+I181+L181+M181</f>
        <v/>
      </c>
      <c r="O181" s="194" t="n"/>
      <c r="P181" s="279" t="n"/>
      <c r="Q181" s="159" t="n"/>
      <c r="R181" s="159" t="n"/>
    </row>
    <row customHeight="1" ht="15" r="182">
      <c r="A182" s="189" t="n"/>
      <c r="B182" s="509" t="n">
        <v>2908</v>
      </c>
      <c r="C182" s="210" t="inlineStr">
        <is>
          <t xml:space="preserve">Бондаренко Елена </t>
        </is>
      </c>
      <c r="D182" s="515" t="n">
        <v>2825716588</v>
      </c>
      <c r="E182" s="284" t="inlineStr"/>
      <c r="F182" s="284" t="n">
        <v>3519.8</v>
      </c>
      <c r="G182" s="231">
        <f>E182-F182</f>
        <v/>
      </c>
      <c r="H182" s="534" t="n">
        <v>1</v>
      </c>
      <c r="I182" s="184">
        <f>G182*H182</f>
        <v/>
      </c>
      <c r="J182" s="184" t="n"/>
      <c r="K182" s="185" t="n">
        <v>0.32</v>
      </c>
      <c r="L182" s="178" t="n"/>
      <c r="M182" s="178">
        <f>(I182+L182)*$W$41</f>
        <v/>
      </c>
      <c r="N182" s="180">
        <f>I182*K182+I182+L182+M182</f>
        <v/>
      </c>
      <c r="O182" s="194" t="n"/>
      <c r="P182" s="279" t="n"/>
      <c r="Q182" s="159" t="n"/>
      <c r="R182" s="159" t="n"/>
    </row>
    <row customHeight="1" ht="15" r="183">
      <c r="A183" s="189" t="n"/>
      <c r="B183" s="509" t="n">
        <v>2913</v>
      </c>
      <c r="C183" s="210" t="inlineStr">
        <is>
          <t>Администрация (ТМСИ)</t>
        </is>
      </c>
      <c r="D183" s="515" t="n"/>
      <c r="E183" s="284" t="inlineStr"/>
      <c r="F183" s="284" t="n"/>
      <c r="G183" s="231">
        <f>E183-F183</f>
        <v/>
      </c>
      <c r="H183" s="534" t="n">
        <v>1</v>
      </c>
      <c r="I183" s="184">
        <f>G183*H183</f>
        <v/>
      </c>
      <c r="J183" s="184" t="n"/>
      <c r="K183" s="185" t="n">
        <v>0.32</v>
      </c>
      <c r="L183" s="178" t="n"/>
      <c r="M183" s="178">
        <f>(I183+L183)*$W$41</f>
        <v/>
      </c>
      <c r="N183" s="180">
        <f>I183*K183+I183+L183+M183</f>
        <v/>
      </c>
      <c r="O183" s="194" t="n"/>
      <c r="P183" s="279" t="n"/>
      <c r="Q183" s="159" t="n"/>
      <c r="R183" s="159" t="n"/>
    </row>
    <row customHeight="1" ht="15" r="184">
      <c r="A184" s="181" t="n"/>
      <c r="B184" s="509" t="n">
        <v>2907</v>
      </c>
      <c r="C184" s="210" t="inlineStr">
        <is>
          <t xml:space="preserve">Пожтехбезпека </t>
        </is>
      </c>
      <c r="D184" s="515" t="n">
        <v>36501956</v>
      </c>
      <c r="E184" s="284" t="inlineStr"/>
      <c r="F184" s="284" t="n">
        <v>1.4</v>
      </c>
      <c r="G184" s="231">
        <f>E184-F184</f>
        <v/>
      </c>
      <c r="H184" s="534" t="n">
        <v>1</v>
      </c>
      <c r="I184" s="184">
        <f>G184*H184</f>
        <v/>
      </c>
      <c r="J184" s="184" t="n"/>
      <c r="K184" s="185" t="n">
        <v>0.32</v>
      </c>
      <c r="L184" s="178" t="n">
        <v>7</v>
      </c>
      <c r="M184" s="178">
        <f>(I184+L184)*$W$41</f>
        <v/>
      </c>
      <c r="N184" s="180">
        <f>I184*K184+I184+L184+M184</f>
        <v/>
      </c>
      <c r="O184" s="194" t="n"/>
      <c r="P184" s="279" t="n"/>
      <c r="Q184" s="159" t="n"/>
      <c r="R184" s="159" t="n"/>
    </row>
    <row customHeight="1" ht="15" r="185">
      <c r="A185" s="181" t="n"/>
      <c r="B185" s="510" t="n">
        <v>2929</v>
      </c>
      <c r="C185" s="286" t="inlineStr">
        <is>
          <t>МПСС</t>
        </is>
      </c>
      <c r="D185" s="515" t="n">
        <v>38017026</v>
      </c>
      <c r="E185" s="284" t="inlineStr"/>
      <c r="F185" s="284" t="n">
        <v>1341.5</v>
      </c>
      <c r="G185" s="231">
        <f>E185-F185</f>
        <v/>
      </c>
      <c r="H185" s="534" t="n">
        <v>1</v>
      </c>
      <c r="I185" s="184">
        <f>G185*H185</f>
        <v/>
      </c>
      <c r="J185" s="184" t="n"/>
      <c r="K185" s="215">
        <f>K62</f>
        <v/>
      </c>
      <c r="L185" s="178" t="n"/>
      <c r="M185" s="178">
        <f>(I185+L185)*$W$41</f>
        <v/>
      </c>
      <c r="N185" s="180">
        <f>I185*K185+I185+L185+M185</f>
        <v/>
      </c>
      <c r="O185" s="194" t="n"/>
      <c r="P185" s="287" t="n"/>
      <c r="Q185" s="159" t="n"/>
      <c r="R185" s="159" t="n"/>
    </row>
    <row customHeight="1" ht="15" r="186">
      <c r="A186" s="189" t="n"/>
      <c r="B186" s="509" t="n">
        <v>2176</v>
      </c>
      <c r="C186" s="210" t="inlineStr">
        <is>
          <t>Захариев</t>
        </is>
      </c>
      <c r="D186" s="521" t="n">
        <v>2014817655</v>
      </c>
      <c r="E186" s="284" t="inlineStr"/>
      <c r="F186" s="284" t="n">
        <v>20708.3</v>
      </c>
      <c r="G186" s="184">
        <f>E186-F186</f>
        <v/>
      </c>
      <c r="H186" s="534" t="n">
        <v>1</v>
      </c>
      <c r="I186" s="184">
        <f>G186*H186</f>
        <v/>
      </c>
      <c r="J186" s="184" t="n"/>
      <c r="K186" s="185" t="n">
        <v>0.32</v>
      </c>
      <c r="L186" s="178" t="n"/>
      <c r="M186" s="178">
        <f>(I186+L186)*$W$41</f>
        <v/>
      </c>
      <c r="N186" s="180">
        <f>I186*K186+I186+L186+M186</f>
        <v/>
      </c>
      <c r="O186" s="194" t="n"/>
      <c r="P186" s="279" t="n"/>
      <c r="Q186" s="159" t="n"/>
      <c r="R186" s="159" t="n"/>
    </row>
    <row customHeight="1" ht="15" r="187">
      <c r="A187" s="181" t="n"/>
      <c r="B187" s="247" t="n"/>
      <c r="C187" s="246" t="n"/>
      <c r="D187" s="246" t="n"/>
      <c r="E187" s="248" t="inlineStr"/>
      <c r="F187" s="248" t="n"/>
      <c r="G187" s="217" t="n"/>
      <c r="H187" s="262" t="n"/>
      <c r="I187" s="223" t="n"/>
      <c r="J187" s="223" t="n"/>
      <c r="K187" s="217" t="n"/>
      <c r="L187" s="217" t="n"/>
      <c r="M187" s="217" t="n"/>
      <c r="N187" s="224" t="n"/>
      <c r="O187" s="288" t="n"/>
      <c r="P187" s="287" t="n"/>
      <c r="Q187" s="159" t="n"/>
      <c r="R187" s="159" t="n"/>
    </row>
    <row customHeight="1" ht="15" r="188">
      <c r="A188" s="189" t="n"/>
      <c r="B188" s="534" t="n"/>
      <c r="C188" s="192" t="inlineStr">
        <is>
          <t>Потребление арендаторов:</t>
        </is>
      </c>
      <c r="D188" s="192" t="n"/>
      <c r="E188" s="255" t="inlineStr"/>
      <c r="F188" s="255" t="n"/>
      <c r="G188" s="231" t="n"/>
      <c r="H188" s="534" t="n"/>
      <c r="J188" s="255">
        <f>SUM(I173:I186)</f>
        <v/>
      </c>
      <c r="K188" s="178" t="n"/>
      <c r="L188" s="289" t="n"/>
      <c r="M188" s="289" t="n"/>
      <c r="O188" s="194">
        <f>K188*L188+K188</f>
        <v/>
      </c>
      <c r="P188" s="290">
        <f>SUM(I173:I186)+L188</f>
        <v/>
      </c>
      <c r="Q188" s="159" t="n"/>
      <c r="R188" s="159" t="n"/>
    </row>
    <row customHeight="1" ht="15" r="189">
      <c r="A189" s="255" t="n"/>
      <c r="B189" s="534" t="n"/>
      <c r="C189" s="192" t="inlineStr">
        <is>
          <t>Учет подвал секция Б общий :</t>
        </is>
      </c>
      <c r="D189" s="192" t="n"/>
      <c r="E189" s="255" t="inlineStr"/>
      <c r="F189" s="255" t="n">
        <v>39229.3</v>
      </c>
      <c r="G189" s="253">
        <f>E189-F189</f>
        <v/>
      </c>
      <c r="H189" s="418" t="n">
        <v>1</v>
      </c>
      <c r="J189" s="119">
        <f>G189*H189</f>
        <v/>
      </c>
      <c r="K189" s="198" t="n"/>
      <c r="L189" s="178" t="n"/>
      <c r="M189" s="178" t="n"/>
      <c r="O189" s="194">
        <f>K189*L189+K189</f>
        <v/>
      </c>
      <c r="P189" s="194">
        <f>J189*K189+J189</f>
        <v/>
      </c>
      <c r="Q189" s="200" t="n"/>
      <c r="R189" s="201" t="n"/>
      <c r="S189" s="202" t="n"/>
      <c r="T189" s="427" t="n"/>
      <c r="U189" s="427" t="n"/>
      <c r="V189" s="427" t="n"/>
      <c r="W189" s="427" t="n"/>
      <c r="X189" s="427" t="n"/>
      <c r="Y189" s="427" t="n"/>
    </row>
    <row customHeight="1" ht="15" r="190">
      <c r="A190" s="189" t="n"/>
      <c r="B190" s="534" t="n"/>
      <c r="C190" s="192" t="inlineStr">
        <is>
          <t>Потребление коридора:</t>
        </is>
      </c>
      <c r="D190" s="192" t="n"/>
      <c r="E190" s="255" t="inlineStr"/>
      <c r="F190" s="189" t="n"/>
      <c r="G190" s="231" t="n"/>
      <c r="H190" s="534" t="n"/>
      <c r="J190" s="255">
        <f>J189-J188</f>
        <v/>
      </c>
      <c r="K190" s="178" t="n"/>
      <c r="L190" s="178" t="n"/>
      <c r="M190" s="178" t="n"/>
      <c r="O190" s="194">
        <f>K190*L190+K190</f>
        <v/>
      </c>
      <c r="P190" s="194">
        <f>J190*K190+J190</f>
        <v/>
      </c>
      <c r="Q190" s="159" t="n"/>
      <c r="R190" s="159" t="n"/>
    </row>
    <row customHeight="1" ht="15.75" r="191">
      <c r="A191" s="255" t="n"/>
      <c r="B191" s="534" t="n"/>
      <c r="C191" s="192" t="inlineStr">
        <is>
          <t>Выставляем арендаторам :</t>
        </is>
      </c>
      <c r="D191" s="192" t="n"/>
      <c r="E191" s="197" t="inlineStr"/>
      <c r="F191" s="197" t="n"/>
      <c r="G191" s="231" t="n"/>
      <c r="H191" s="534" t="n"/>
      <c r="I191" s="255" t="n"/>
      <c r="J191" s="255" t="n"/>
      <c r="K191" s="198" t="n"/>
      <c r="L191" s="178" t="n"/>
      <c r="M191" s="178" t="n"/>
      <c r="O191" s="194" t="n"/>
      <c r="P191" s="199">
        <f>SUM(N173:N186)</f>
        <v/>
      </c>
      <c r="Q191" s="200" t="n"/>
      <c r="R191" s="201" t="n"/>
      <c r="S191" s="202" t="n"/>
      <c r="T191" s="427" t="n"/>
      <c r="U191" s="427" t="n"/>
      <c r="V191" s="427" t="n"/>
      <c r="W191" s="427" t="n"/>
      <c r="X191" s="427" t="n"/>
      <c r="Y191" s="427" t="n"/>
    </row>
    <row customHeight="1" ht="15" r="192">
      <c r="A192" s="255" t="n"/>
      <c r="B192" s="534" t="n"/>
      <c r="C192" s="192" t="inlineStr">
        <is>
          <t>Общий итог :</t>
        </is>
      </c>
      <c r="D192" s="192" t="n"/>
      <c r="E192" s="197" t="inlineStr"/>
      <c r="F192" s="197" t="n"/>
      <c r="G192" s="231" t="n"/>
      <c r="H192" s="534" t="n"/>
      <c r="I192" s="255" t="n"/>
      <c r="J192" s="255" t="n"/>
      <c r="K192" s="198" t="n"/>
      <c r="L192" s="178" t="n"/>
      <c r="M192" s="178" t="n"/>
      <c r="O192" s="194" t="n"/>
      <c r="P192" s="194">
        <f>P191-P189</f>
        <v/>
      </c>
      <c r="Q192" s="200" t="n"/>
      <c r="R192" s="201" t="n"/>
      <c r="S192" s="202" t="n"/>
      <c r="T192" s="427" t="n"/>
      <c r="U192" s="427" t="n"/>
      <c r="V192" s="427" t="n"/>
      <c r="W192" s="427" t="n"/>
      <c r="X192" s="427" t="n"/>
      <c r="Y192" s="427" t="n"/>
    </row>
    <row customHeight="1" ht="15" r="193">
      <c r="A193" s="255" t="n"/>
      <c r="B193" s="534" t="n"/>
      <c r="C193" s="192" t="inlineStr">
        <is>
          <t>Общий итог с потерями РЭСа:</t>
        </is>
      </c>
      <c r="D193" s="192" t="n"/>
      <c r="E193" s="197" t="inlineStr"/>
      <c r="F193" s="197" t="n"/>
      <c r="G193" s="231" t="n"/>
      <c r="H193" s="534" t="n"/>
      <c r="I193" s="255" t="n"/>
      <c r="J193" s="255" t="n"/>
      <c r="K193" s="198" t="n"/>
      <c r="L193" s="178" t="n"/>
      <c r="M193" s="178" t="n"/>
      <c r="O193" s="194" t="n"/>
      <c r="P193" s="194">
        <f>P191-(P189*AC25+P189)</f>
        <v/>
      </c>
      <c r="Q193" s="200" t="n"/>
      <c r="R193" s="201" t="n"/>
      <c r="S193" s="202" t="n"/>
      <c r="T193" s="427" t="n"/>
      <c r="U193" s="427" t="n"/>
      <c r="V193" s="427" t="n"/>
      <c r="W193" s="427" t="n"/>
      <c r="X193" s="427" t="n"/>
      <c r="Y193" s="427" t="n"/>
    </row>
    <row customHeight="1" ht="18.75" r="194">
      <c r="A194" s="536" t="n"/>
      <c r="B194" s="537" t="n"/>
      <c r="C194" s="536" t="n"/>
      <c r="D194" s="536" t="n"/>
      <c r="E194" s="537" t="inlineStr"/>
      <c r="F194" s="537" t="n"/>
      <c r="G194" s="537" t="n"/>
      <c r="H194" s="537" t="n"/>
      <c r="I194" s="537" t="n"/>
      <c r="J194" s="536" t="n"/>
      <c r="K194" s="537" t="n"/>
      <c r="L194" s="537" t="n"/>
      <c r="M194" s="537" t="n"/>
      <c r="N194" s="536" t="n"/>
      <c r="O194" s="536" t="n"/>
      <c r="P194" s="287" t="n"/>
      <c r="Q194" s="159" t="n"/>
      <c r="R194" s="159" t="n"/>
    </row>
    <row customHeight="1" ht="15" r="195">
      <c r="A195" s="164" t="n"/>
      <c r="B195" s="165" t="inlineStr">
        <is>
          <t>корп.2Б</t>
        </is>
      </c>
      <c r="C195" s="165" t="inlineStr">
        <is>
          <t>1-й этаж</t>
        </is>
      </c>
      <c r="D195" s="166" t="inlineStr">
        <is>
          <t>код ОКПО</t>
        </is>
      </c>
      <c r="E195" s="204" t="inlineStr"/>
      <c r="F195" s="204" t="n"/>
      <c r="G195" s="291" t="n"/>
      <c r="H195" s="164" t="n"/>
      <c r="I195" s="164" t="n"/>
      <c r="J195" s="164" t="n"/>
      <c r="K195" s="292" t="n">
        <v>0.32</v>
      </c>
      <c r="L195" s="164" t="n"/>
      <c r="M195" s="164" t="n"/>
      <c r="N195" s="293" t="n"/>
      <c r="O195" s="294" t="n"/>
      <c r="P195" s="295" t="n"/>
      <c r="Q195" s="159" t="n"/>
      <c r="R195" s="159" t="n"/>
    </row>
    <row customHeight="1" ht="15" r="196">
      <c r="A196" s="181" t="n"/>
      <c r="B196" s="511" t="n">
        <v>2119</v>
      </c>
      <c r="C196" s="182" t="inlineStr">
        <is>
          <t>Уклон</t>
        </is>
      </c>
      <c r="D196" s="515" t="n">
        <v>40625367</v>
      </c>
      <c r="E196" s="284" t="inlineStr"/>
      <c r="F196" s="284" t="n">
        <v>25240</v>
      </c>
      <c r="G196" s="184">
        <f>E196-F196</f>
        <v/>
      </c>
      <c r="H196" s="534" t="n">
        <v>1</v>
      </c>
      <c r="I196" s="184">
        <f>G196*H196</f>
        <v/>
      </c>
      <c r="J196" s="184" t="n"/>
      <c r="K196" s="292" t="n">
        <v>0.32</v>
      </c>
      <c r="L196" s="178" t="n"/>
      <c r="M196" s="178">
        <f>(I196)*$W$41</f>
        <v/>
      </c>
      <c r="N196" s="180">
        <f>I196*K196+I196+L196+M196</f>
        <v/>
      </c>
      <c r="O196" s="194" t="n"/>
      <c r="P196" s="279" t="n"/>
      <c r="Q196" s="159" t="n"/>
      <c r="R196" s="159" t="n"/>
    </row>
    <row customHeight="1" ht="15" r="197">
      <c r="A197" s="189" t="n"/>
      <c r="B197" s="508" t="n">
        <v>2118</v>
      </c>
      <c r="C197" s="213" t="inlineStr">
        <is>
          <t>Капитал</t>
        </is>
      </c>
      <c r="D197" s="516" t="n">
        <v>21029284</v>
      </c>
      <c r="E197" s="284" t="inlineStr"/>
      <c r="F197" s="284" t="n">
        <v>325554</v>
      </c>
      <c r="G197" s="184">
        <f>E197-F197</f>
        <v/>
      </c>
      <c r="H197" s="534" t="n">
        <v>1</v>
      </c>
      <c r="I197" s="184">
        <f>G197*0.388</f>
        <v/>
      </c>
      <c r="J197" s="184" t="n"/>
      <c r="K197" s="292" t="n">
        <v>0.32</v>
      </c>
      <c r="L197" s="178" t="n"/>
      <c r="M197" s="178">
        <f>(I197+L197)*$W$41</f>
        <v/>
      </c>
      <c r="N197" s="180">
        <f>I197*K197+I197+L197+M197</f>
        <v/>
      </c>
      <c r="O197" s="194" t="n"/>
      <c r="P197" s="279" t="n"/>
      <c r="Q197" s="159" t="n"/>
      <c r="R197" s="159" t="n"/>
    </row>
    <row customHeight="1" ht="15" r="198">
      <c r="A198" s="262" t="n"/>
      <c r="B198" s="508" t="n"/>
      <c r="C198" s="182" t="inlineStr">
        <is>
          <t>Лобанов</t>
        </is>
      </c>
      <c r="D198" s="515" t="n">
        <v>2510006838</v>
      </c>
      <c r="E198" s="284" t="inlineStr"/>
      <c r="F198" s="284" t="n"/>
      <c r="G198" s="184" t="n"/>
      <c r="H198" s="534" t="n"/>
      <c r="I198" s="184">
        <f>G197*0.229</f>
        <v/>
      </c>
      <c r="J198" s="184" t="n"/>
      <c r="K198" s="292" t="n">
        <v>0.32</v>
      </c>
      <c r="L198" s="178" t="n"/>
      <c r="M198" s="178">
        <f>(I198+L198)*$W$41</f>
        <v/>
      </c>
      <c r="N198" s="180">
        <f>I198*K198+I198+L198+M198</f>
        <v/>
      </c>
      <c r="O198" s="194" t="n"/>
      <c r="P198" s="279" t="n"/>
      <c r="Q198" s="159" t="n"/>
      <c r="R198" s="159" t="n"/>
    </row>
    <row customHeight="1" ht="15" r="199">
      <c r="A199" s="189" t="n"/>
      <c r="B199" s="508" t="n">
        <v>2320</v>
      </c>
      <c r="C199" s="210" t="inlineStr">
        <is>
          <t>Старова</t>
        </is>
      </c>
      <c r="D199" s="515" t="n">
        <v>1819601522</v>
      </c>
      <c r="E199" s="284" t="inlineStr"/>
      <c r="F199" s="284" t="n"/>
      <c r="G199" s="184" t="n"/>
      <c r="H199" s="534" t="n"/>
      <c r="I199" s="255">
        <f>G197-I197-I198</f>
        <v/>
      </c>
      <c r="J199" s="255" t="n"/>
      <c r="K199" s="292" t="n">
        <v>0.32</v>
      </c>
      <c r="L199" s="178" t="n"/>
      <c r="M199" s="178">
        <f>(I199+L199)*$W$41</f>
        <v/>
      </c>
      <c r="N199" s="180">
        <f>I199*K199+I199+L199+M199</f>
        <v/>
      </c>
      <c r="O199" s="194" t="n"/>
      <c r="P199" s="279" t="n"/>
      <c r="Q199" s="159" t="n"/>
      <c r="R199" s="159" t="n"/>
    </row>
    <row customHeight="1" ht="15" r="200">
      <c r="A200" s="181" t="n"/>
      <c r="B200" s="508" t="n">
        <v>2118</v>
      </c>
      <c r="C200" s="210" t="inlineStr">
        <is>
          <t>Лобанов</t>
        </is>
      </c>
      <c r="D200" s="515" t="n">
        <v>3268521096</v>
      </c>
      <c r="E200" s="284" t="inlineStr"/>
      <c r="F200" s="284" t="n">
        <v>3001.8</v>
      </c>
      <c r="G200" s="184">
        <f>E200-F200</f>
        <v/>
      </c>
      <c r="H200" s="534" t="n">
        <v>1</v>
      </c>
      <c r="I200" s="255">
        <f>G200*H200</f>
        <v/>
      </c>
      <c r="J200" s="255" t="n"/>
      <c r="K200" s="292" t="n">
        <v>0.32</v>
      </c>
      <c r="L200" s="178" t="n"/>
      <c r="M200" s="178">
        <f>(I200+L200)*$W$41</f>
        <v/>
      </c>
      <c r="N200" s="180">
        <f>I200*K200+I200+L200+M200</f>
        <v/>
      </c>
      <c r="O200" s="194" t="n"/>
      <c r="P200" s="279" t="n"/>
      <c r="Q200" s="159" t="n"/>
      <c r="R200" s="159" t="n"/>
    </row>
    <row customHeight="1" ht="15" r="201">
      <c r="A201" s="181" t="n"/>
      <c r="B201" s="508" t="n"/>
      <c r="C201" s="210" t="n"/>
      <c r="D201" s="515" t="n"/>
      <c r="E201" s="284" t="inlineStr"/>
      <c r="F201" s="284" t="n"/>
      <c r="G201" s="184">
        <f>E201-F201</f>
        <v/>
      </c>
      <c r="H201" s="534" t="n">
        <v>1</v>
      </c>
      <c r="I201" s="255">
        <f>G201*H201</f>
        <v/>
      </c>
      <c r="J201" s="255" t="n"/>
      <c r="K201" s="292" t="n">
        <v>0.32</v>
      </c>
      <c r="L201" s="178" t="n"/>
      <c r="M201" s="178">
        <f>(I201+L201)*$W$41</f>
        <v/>
      </c>
      <c r="N201" s="180">
        <f>I201*K201+I201+L201+M201</f>
        <v/>
      </c>
      <c r="O201" s="194" t="n"/>
      <c r="P201" s="279" t="n"/>
      <c r="Q201" s="159" t="n"/>
      <c r="R201" s="159" t="n"/>
    </row>
    <row customHeight="1" ht="15" r="202">
      <c r="A202" s="181" t="n"/>
      <c r="B202" s="508" t="n">
        <v>2100</v>
      </c>
      <c r="C202" s="210" t="inlineStr">
        <is>
          <t>Ищенко</t>
        </is>
      </c>
      <c r="D202" s="515" t="n">
        <v>1992601899</v>
      </c>
      <c r="E202" s="284" t="inlineStr"/>
      <c r="F202" s="284" t="n">
        <v>8833.4</v>
      </c>
      <c r="G202" s="184">
        <f>E202-F202</f>
        <v/>
      </c>
      <c r="H202" s="534" t="n">
        <v>1</v>
      </c>
      <c r="I202" s="184">
        <f>G202*H202</f>
        <v/>
      </c>
      <c r="J202" s="184" t="n"/>
      <c r="K202" s="292" t="n">
        <v>0.32</v>
      </c>
      <c r="L202" s="178" t="n"/>
      <c r="M202" s="178">
        <f>(I202+L202)*$W$41</f>
        <v/>
      </c>
      <c r="N202" s="180">
        <f>I202*K202+I202+L202+M202</f>
        <v/>
      </c>
      <c r="O202" s="194" t="n"/>
      <c r="P202" s="279" t="n"/>
      <c r="Q202" s="159" t="n"/>
      <c r="R202" s="159" t="n"/>
    </row>
    <row customHeight="1" ht="15" r="203">
      <c r="A203" s="181" t="n"/>
      <c r="B203" s="508" t="n">
        <v>2169</v>
      </c>
      <c r="C203" s="210" t="inlineStr">
        <is>
          <t>Югсвет</t>
        </is>
      </c>
      <c r="D203" s="515" t="n">
        <v>39115503</v>
      </c>
      <c r="E203" s="284" t="inlineStr"/>
      <c r="F203" s="284" t="n">
        <v>25993.2</v>
      </c>
      <c r="G203" s="184">
        <f>E203-F203</f>
        <v/>
      </c>
      <c r="H203" s="534" t="n">
        <v>1</v>
      </c>
      <c r="I203" s="184">
        <f>G203*H203</f>
        <v/>
      </c>
      <c r="J203" s="184" t="n"/>
      <c r="K203" s="292" t="n">
        <v>0.32</v>
      </c>
      <c r="L203" s="178" t="n"/>
      <c r="M203" s="178">
        <f>(I203+L203)*$W$41</f>
        <v/>
      </c>
      <c r="N203" s="180">
        <f>I203*K203+I203+L203+M203</f>
        <v/>
      </c>
      <c r="O203" s="194" t="n"/>
      <c r="P203" s="279" t="n"/>
      <c r="Q203" s="159" t="n"/>
      <c r="R203" s="159" t="n"/>
    </row>
    <row customHeight="1" ht="15" r="204">
      <c r="A204" s="181" t="n"/>
      <c r="B204" s="508" t="n"/>
      <c r="C204" s="210" t="inlineStr">
        <is>
          <t>Лайт системс</t>
        </is>
      </c>
      <c r="D204" s="515" t="n">
        <v>41111817</v>
      </c>
      <c r="E204" s="296" t="inlineStr"/>
      <c r="F204" s="296" t="n"/>
      <c r="G204" s="184" t="n"/>
      <c r="H204" s="534" t="n"/>
      <c r="I204" s="184" t="n"/>
      <c r="J204" s="184" t="n"/>
      <c r="K204" s="292" t="n">
        <v>0.32</v>
      </c>
      <c r="L204" s="178" t="n"/>
      <c r="M204" s="178">
        <f>(I204+L204)*$W$41</f>
        <v/>
      </c>
      <c r="N204" s="180">
        <f>L204</f>
        <v/>
      </c>
      <c r="O204" s="194" t="n"/>
      <c r="P204" s="279" t="n"/>
      <c r="Q204" s="159" t="n"/>
      <c r="R204" s="159" t="n"/>
    </row>
    <row customHeight="1" ht="15" r="205">
      <c r="A205" s="262" t="n"/>
      <c r="B205" s="508" t="n"/>
      <c r="C205" s="210" t="n"/>
      <c r="D205" s="515" t="n"/>
      <c r="E205" s="284" t="inlineStr"/>
      <c r="F205" s="284" t="n"/>
      <c r="G205" s="184">
        <f>E205-F205</f>
        <v/>
      </c>
      <c r="H205" s="534" t="n">
        <v>1</v>
      </c>
      <c r="I205" s="184">
        <f>G205*H205</f>
        <v/>
      </c>
      <c r="J205" s="184" t="n"/>
      <c r="K205" s="292" t="n">
        <v>0.32</v>
      </c>
      <c r="L205" s="178" t="n"/>
      <c r="M205" s="178">
        <f>(I205+L205)*$W$41</f>
        <v/>
      </c>
      <c r="N205" s="180">
        <f>I205*K205+I205+L205+M205</f>
        <v/>
      </c>
      <c r="O205" s="194" t="n"/>
      <c r="P205" s="279" t="n"/>
      <c r="Q205" s="159" t="n"/>
      <c r="R205" s="159" t="n"/>
    </row>
    <row customHeight="1" ht="15" r="206">
      <c r="A206" s="255" t="n"/>
      <c r="B206" s="216" t="n"/>
      <c r="C206" s="262" t="n"/>
      <c r="D206" s="262" t="n"/>
      <c r="E206" s="248" t="inlineStr"/>
      <c r="F206" s="248" t="n"/>
      <c r="G206" s="297" t="n"/>
      <c r="H206" s="216" t="n"/>
      <c r="I206" s="223" t="n"/>
      <c r="J206" s="223" t="n"/>
      <c r="K206" s="217" t="n"/>
      <c r="L206" s="217" t="n"/>
      <c r="M206" s="217" t="n"/>
      <c r="N206" s="224" t="n"/>
      <c r="O206" s="288" t="n"/>
      <c r="P206" s="279" t="n"/>
      <c r="Q206" s="159" t="n"/>
      <c r="R206" s="159" t="n"/>
    </row>
    <row customHeight="1" ht="15" r="207">
      <c r="A207" s="189" t="n"/>
      <c r="B207" s="534" t="n"/>
      <c r="C207" s="192" t="inlineStr">
        <is>
          <t>Потребление арендаторов:</t>
        </is>
      </c>
      <c r="D207" s="192" t="n"/>
      <c r="E207" s="255" t="inlineStr"/>
      <c r="F207" s="189" t="n"/>
      <c r="G207" s="231" t="n"/>
      <c r="H207" s="534" t="n"/>
      <c r="J207" s="255">
        <f>SUM(I196:I205)</f>
        <v/>
      </c>
      <c r="K207" s="178" t="n"/>
      <c r="L207" s="178" t="n"/>
      <c r="M207" s="178" t="n"/>
      <c r="O207" s="194">
        <f>K207*L207+K207</f>
        <v/>
      </c>
      <c r="P207" s="290">
        <f>SUM(I196:I205)</f>
        <v/>
      </c>
      <c r="Q207" s="159" t="n"/>
      <c r="R207" s="159" t="n"/>
    </row>
    <row customHeight="1" ht="15" r="208">
      <c r="A208" s="255" t="n"/>
      <c r="B208" s="534" t="n"/>
      <c r="C208" s="192" t="inlineStr">
        <is>
          <t>Учет 1-й этаж секция Б общий :</t>
        </is>
      </c>
      <c r="D208" s="192" t="n"/>
      <c r="E208" s="255" t="inlineStr"/>
      <c r="F208" s="284" t="n"/>
      <c r="G208" s="253">
        <f>E208-F208</f>
        <v/>
      </c>
      <c r="H208" s="418" t="n">
        <v>1</v>
      </c>
      <c r="J208" s="119">
        <f>G208*H208</f>
        <v/>
      </c>
      <c r="K208" s="198" t="n"/>
      <c r="L208" s="178" t="n"/>
      <c r="M208" s="178" t="n"/>
      <c r="O208" s="194">
        <f>K208*L208+K208</f>
        <v/>
      </c>
      <c r="P208" s="194">
        <f>J208*K208+J208</f>
        <v/>
      </c>
      <c r="Q208" s="200" t="n"/>
      <c r="R208" s="201" t="n"/>
      <c r="S208" s="202" t="n"/>
      <c r="T208" s="427" t="n"/>
      <c r="U208" s="427" t="n"/>
      <c r="V208" s="427" t="n"/>
      <c r="W208" s="427" t="n"/>
      <c r="X208" s="427" t="n"/>
      <c r="Y208" s="427" t="n"/>
    </row>
    <row customHeight="1" ht="15" r="209">
      <c r="A209" s="189" t="n"/>
      <c r="B209" s="534" t="n"/>
      <c r="C209" s="192" t="inlineStr">
        <is>
          <t>Потребление коридора:</t>
        </is>
      </c>
      <c r="D209" s="192" t="n"/>
      <c r="E209" s="255" t="inlineStr"/>
      <c r="F209" s="189" t="n"/>
      <c r="G209" s="231" t="n"/>
      <c r="H209" s="534" t="n"/>
      <c r="I209" s="255" t="n"/>
      <c r="J209" s="255" t="n"/>
      <c r="K209" s="178" t="n"/>
      <c r="L209" s="178" t="n"/>
      <c r="M209" s="178" t="n"/>
      <c r="O209" s="194">
        <f>K209*L209+K209</f>
        <v/>
      </c>
      <c r="P209" s="194">
        <f>I209*K209+I209</f>
        <v/>
      </c>
      <c r="Q209" s="159" t="n"/>
      <c r="R209" s="159" t="n"/>
    </row>
    <row customHeight="1" ht="15.75" r="210">
      <c r="A210" s="255" t="n"/>
      <c r="B210" s="534" t="n"/>
      <c r="C210" s="192" t="inlineStr">
        <is>
          <t>Выставляем арендаторам :</t>
        </is>
      </c>
      <c r="D210" s="192" t="n"/>
      <c r="E210" s="197" t="inlineStr"/>
      <c r="F210" s="197" t="n"/>
      <c r="G210" s="231" t="n"/>
      <c r="H210" s="534" t="n"/>
      <c r="I210" s="255" t="n"/>
      <c r="J210" s="255" t="n"/>
      <c r="K210" s="198" t="n"/>
      <c r="L210" s="178" t="n"/>
      <c r="M210" s="178" t="n"/>
      <c r="O210" s="194" t="n"/>
      <c r="P210" s="199">
        <f>SUM(N196:N205)</f>
        <v/>
      </c>
      <c r="Q210" s="200" t="n"/>
      <c r="R210" s="201" t="n"/>
      <c r="S210" s="202" t="n"/>
      <c r="T210" s="427" t="n"/>
      <c r="U210" s="427" t="n"/>
      <c r="V210" s="427" t="n"/>
      <c r="W210" s="427" t="n"/>
      <c r="X210" s="427" t="n"/>
      <c r="Y210" s="427" t="n"/>
    </row>
    <row customHeight="1" ht="15" r="211">
      <c r="A211" s="255" t="n"/>
      <c r="B211" s="534" t="n"/>
      <c r="C211" s="192" t="inlineStr">
        <is>
          <t>Общий итог :</t>
        </is>
      </c>
      <c r="D211" s="192" t="n"/>
      <c r="E211" s="197" t="inlineStr"/>
      <c r="F211" s="197" t="n"/>
      <c r="G211" s="231" t="n"/>
      <c r="H211" s="534" t="n"/>
      <c r="I211" s="255" t="n"/>
      <c r="J211" s="255" t="n"/>
      <c r="K211" s="198" t="n"/>
      <c r="L211" s="178" t="n"/>
      <c r="M211" s="178" t="n"/>
      <c r="O211" s="194" t="n"/>
      <c r="P211" s="194">
        <f>P210-P207</f>
        <v/>
      </c>
      <c r="Q211" s="200" t="n"/>
      <c r="R211" s="201" t="n"/>
      <c r="S211" s="202" t="n"/>
      <c r="T211" s="427" t="n"/>
      <c r="U211" s="427" t="n"/>
      <c r="V211" s="427" t="n"/>
      <c r="W211" s="427" t="n"/>
      <c r="X211" s="427" t="n"/>
      <c r="Y211" s="427" t="n"/>
    </row>
    <row customHeight="1" ht="15" r="212">
      <c r="A212" s="255" t="n"/>
      <c r="B212" s="534" t="n"/>
      <c r="C212" s="192" t="inlineStr">
        <is>
          <t>Общий итог с потерями РЭСа:</t>
        </is>
      </c>
      <c r="D212" s="192" t="n"/>
      <c r="E212" s="197" t="inlineStr"/>
      <c r="F212" s="197" t="n"/>
      <c r="G212" s="231" t="n"/>
      <c r="H212" s="534" t="n"/>
      <c r="I212" s="255" t="n"/>
      <c r="J212" s="255" t="n"/>
      <c r="K212" s="198" t="n"/>
      <c r="L212" s="178" t="n"/>
      <c r="M212" s="178" t="n"/>
      <c r="O212" s="194" t="n"/>
      <c r="P212" s="194">
        <f>P210-(P207*AC25+P207)</f>
        <v/>
      </c>
      <c r="Q212" s="200" t="n"/>
      <c r="R212" s="201" t="n"/>
      <c r="S212" s="202" t="n"/>
      <c r="T212" s="427" t="n"/>
      <c r="U212" s="427" t="n"/>
      <c r="V212" s="427" t="n"/>
      <c r="W212" s="427" t="n"/>
      <c r="X212" s="427" t="n"/>
      <c r="Y212" s="427" t="n"/>
    </row>
    <row customHeight="1" ht="20.25" r="213">
      <c r="A213" s="536" t="n"/>
      <c r="B213" s="537" t="n"/>
      <c r="C213" s="536" t="n"/>
      <c r="D213" s="536" t="n"/>
      <c r="E213" s="537" t="inlineStr"/>
      <c r="F213" s="537" t="n"/>
      <c r="G213" s="537" t="n"/>
      <c r="H213" s="537" t="n"/>
      <c r="I213" s="537" t="n"/>
      <c r="J213" s="536" t="n"/>
      <c r="K213" s="537" t="n"/>
      <c r="L213" s="537" t="n"/>
      <c r="M213" s="537" t="n"/>
      <c r="N213" s="536" t="n"/>
      <c r="O213" s="536" t="n"/>
      <c r="P213" s="279" t="n"/>
      <c r="Q213" s="159" t="n"/>
      <c r="R213" s="159" t="n"/>
    </row>
    <row customHeight="1" ht="15" r="214">
      <c r="A214" s="203" t="n"/>
      <c r="B214" s="165" t="inlineStr">
        <is>
          <t>корп.2Б</t>
        </is>
      </c>
      <c r="C214" s="298" t="inlineStr">
        <is>
          <t>2-й этаж</t>
        </is>
      </c>
      <c r="D214" s="298" t="inlineStr">
        <is>
          <t>код ОКПО</t>
        </is>
      </c>
      <c r="E214" s="204" t="inlineStr"/>
      <c r="F214" s="204" t="n"/>
      <c r="G214" s="208" t="n"/>
      <c r="H214" s="164" t="n"/>
      <c r="I214" s="167" t="n"/>
      <c r="J214" s="167" t="n"/>
      <c r="K214" s="254" t="n">
        <v>0.32</v>
      </c>
      <c r="L214" s="167" t="n"/>
      <c r="M214" s="167" t="n"/>
      <c r="N214" s="299" t="n"/>
      <c r="O214" s="300" t="n"/>
      <c r="P214" s="279" t="n"/>
      <c r="Q214" s="159" t="n"/>
      <c r="R214" s="159" t="n"/>
    </row>
    <row customHeight="1" ht="15" r="215">
      <c r="A215" s="189" t="n"/>
      <c r="B215" s="508" t="n">
        <v>2202</v>
      </c>
      <c r="C215" s="182" t="inlineStr">
        <is>
          <t>Центр комплектации Николаев</t>
        </is>
      </c>
      <c r="D215" s="515" t="n">
        <v>34318880</v>
      </c>
      <c r="E215" s="284" t="inlineStr"/>
      <c r="F215" s="284" t="n">
        <v>6655.7</v>
      </c>
      <c r="G215" s="184">
        <f>E215-F215</f>
        <v/>
      </c>
      <c r="H215" s="534" t="n">
        <v>1</v>
      </c>
      <c r="I215" s="184">
        <f>G215*H215</f>
        <v/>
      </c>
      <c r="J215" s="184" t="n"/>
      <c r="K215" s="185">
        <f>K214</f>
        <v/>
      </c>
      <c r="L215" s="178" t="n"/>
      <c r="M215" s="178">
        <f>(I215+L215)*$W$41</f>
        <v/>
      </c>
      <c r="N215" s="180">
        <f>I215*K215+I215+L215+M215</f>
        <v/>
      </c>
      <c r="O215" s="194" t="n"/>
      <c r="P215" s="279" t="n"/>
      <c r="Q215" s="159" t="n"/>
      <c r="R215" s="159" t="n"/>
    </row>
    <row customHeight="1" ht="15" r="216">
      <c r="A216" s="189" t="n"/>
      <c r="B216" s="508" t="inlineStr">
        <is>
          <t>2204-2209</t>
        </is>
      </c>
      <c r="C216" s="210" t="inlineStr">
        <is>
          <t>Котекна</t>
        </is>
      </c>
      <c r="D216" s="515" t="n">
        <v>32521869</v>
      </c>
      <c r="E216" s="284" t="inlineStr"/>
      <c r="F216" s="284" t="n">
        <v>12954.9</v>
      </c>
      <c r="G216" s="184">
        <f>E216-F216</f>
        <v/>
      </c>
      <c r="H216" s="534" t="n">
        <v>1</v>
      </c>
      <c r="I216" s="184">
        <f>G216*H216</f>
        <v/>
      </c>
      <c r="J216" s="184" t="n"/>
      <c r="K216" s="185">
        <f>K215</f>
        <v/>
      </c>
      <c r="L216" s="178" t="n"/>
      <c r="M216" s="178">
        <f>(I216+L216)*$W$41</f>
        <v/>
      </c>
      <c r="N216" s="180">
        <f>I216*K216+I216+L216+M216</f>
        <v/>
      </c>
      <c r="O216" s="194" t="n"/>
      <c r="P216" s="279" t="n"/>
      <c r="Q216" s="159" t="n"/>
      <c r="R216" s="159" t="n"/>
    </row>
    <row customHeight="1" ht="15" r="217">
      <c r="A217" s="189" t="n"/>
      <c r="B217" s="508" t="n">
        <v>2217</v>
      </c>
      <c r="C217" s="212" t="inlineStr">
        <is>
          <t>Стевол</t>
        </is>
      </c>
      <c r="D217" s="515" t="n">
        <v>37680244</v>
      </c>
      <c r="E217" s="284" t="inlineStr"/>
      <c r="F217" s="284" t="n">
        <v>7587</v>
      </c>
      <c r="G217" s="184">
        <f>E217-F217</f>
        <v/>
      </c>
      <c r="H217" s="534" t="n">
        <v>1</v>
      </c>
      <c r="I217" s="184">
        <f>G217*H217</f>
        <v/>
      </c>
      <c r="J217" s="184" t="n"/>
      <c r="K217" s="185">
        <f>K216</f>
        <v/>
      </c>
      <c r="L217" s="178" t="n"/>
      <c r="M217" s="178">
        <f>(I217+L217)*$W$41</f>
        <v/>
      </c>
      <c r="N217" s="180">
        <f>I217*K217+I217+L217+M217</f>
        <v/>
      </c>
      <c r="O217" s="194" t="n"/>
      <c r="P217" s="279" t="n"/>
      <c r="Q217" s="159" t="n"/>
      <c r="R217" s="159" t="n"/>
    </row>
    <row customHeight="1" ht="15" r="218">
      <c r="A218" s="189" t="n"/>
      <c r="B218" s="508" t="n">
        <v>2210</v>
      </c>
      <c r="C218" s="301" t="inlineStr">
        <is>
          <t>Котекна</t>
        </is>
      </c>
      <c r="D218" s="515" t="n">
        <v>32521869</v>
      </c>
      <c r="E218" s="284" t="inlineStr"/>
      <c r="F218" s="284" t="n">
        <v>26706.1</v>
      </c>
      <c r="G218" s="184">
        <f>E218-F218</f>
        <v/>
      </c>
      <c r="H218" s="534" t="n">
        <v>1</v>
      </c>
      <c r="I218" s="184">
        <f>G218*H218</f>
        <v/>
      </c>
      <c r="J218" s="184" t="n"/>
      <c r="K218" s="185">
        <f>K217</f>
        <v/>
      </c>
      <c r="L218" s="178" t="n"/>
      <c r="M218" s="178">
        <f>(I218+L218)*$W$41</f>
        <v/>
      </c>
      <c r="N218" s="180">
        <f>I218*K218+I218+L218+M218</f>
        <v/>
      </c>
      <c r="O218" s="194" t="n"/>
      <c r="P218" s="279" t="n"/>
      <c r="Q218" s="159" t="n"/>
      <c r="R218" s="159" t="n"/>
    </row>
    <row customHeight="1" ht="15" r="219">
      <c r="A219" s="189" t="n"/>
      <c r="B219" s="508" t="n">
        <v>2211</v>
      </c>
      <c r="C219" s="212" t="inlineStr">
        <is>
          <t>Котекна</t>
        </is>
      </c>
      <c r="D219" s="515" t="n">
        <v>32521869</v>
      </c>
      <c r="E219" s="284" t="inlineStr"/>
      <c r="F219" s="284" t="n">
        <v>7100.2</v>
      </c>
      <c r="G219" s="184">
        <f>E219-F219</f>
        <v/>
      </c>
      <c r="H219" s="534" t="n">
        <v>1</v>
      </c>
      <c r="I219" s="184">
        <f>G219*H219</f>
        <v/>
      </c>
      <c r="J219" s="184" t="n"/>
      <c r="K219" s="185">
        <f>K218</f>
        <v/>
      </c>
      <c r="L219" s="178" t="n"/>
      <c r="M219" s="178">
        <f>(I219+L219)*$W$41</f>
        <v/>
      </c>
      <c r="N219" s="180">
        <f>I219*K219+I219+L219+M219</f>
        <v/>
      </c>
      <c r="O219" s="194" t="n"/>
      <c r="P219" s="279" t="n"/>
      <c r="Q219" s="159" t="n"/>
      <c r="R219" s="159" t="n"/>
    </row>
    <row customHeight="1" ht="15" r="220">
      <c r="A220" s="189" t="n"/>
      <c r="B220" s="508" t="n">
        <v>2213</v>
      </c>
      <c r="C220" s="212" t="inlineStr">
        <is>
          <t>ТерраТарса</t>
        </is>
      </c>
      <c r="D220" s="515" t="n">
        <v>37871328</v>
      </c>
      <c r="E220" s="284" t="inlineStr"/>
      <c r="F220" s="284" t="n">
        <v>797</v>
      </c>
      <c r="G220" s="184">
        <f>E220-F220</f>
        <v/>
      </c>
      <c r="H220" s="534" t="n">
        <v>1</v>
      </c>
      <c r="I220" s="184">
        <f>G220*H220</f>
        <v/>
      </c>
      <c r="J220" s="184" t="n"/>
      <c r="K220" s="185">
        <f>K219</f>
        <v/>
      </c>
      <c r="L220" s="178" t="n"/>
      <c r="M220" s="178">
        <f>(I220+L220)*$W$41</f>
        <v/>
      </c>
      <c r="N220" s="180">
        <f>I220*K220+I220+L220+M220</f>
        <v/>
      </c>
      <c r="O220" s="194" t="n"/>
      <c r="P220" s="279" t="n"/>
      <c r="Q220" s="159" t="n"/>
      <c r="R220" s="159" t="n"/>
    </row>
    <row customHeight="1" ht="15" r="221">
      <c r="A221" s="181" t="n"/>
      <c r="B221" s="508" t="inlineStr">
        <is>
          <t>2214-2215</t>
        </is>
      </c>
      <c r="C221" s="212" t="inlineStr">
        <is>
          <t>Захариев</t>
        </is>
      </c>
      <c r="D221" s="515" t="n">
        <v>2014817655</v>
      </c>
      <c r="E221" s="284" t="inlineStr"/>
      <c r="F221" s="284" t="n">
        <v>13042.6</v>
      </c>
      <c r="G221" s="184">
        <f>E221-F221-G220</f>
        <v/>
      </c>
      <c r="H221" s="534" t="n">
        <v>1</v>
      </c>
      <c r="I221" s="184">
        <f>G221*H221</f>
        <v/>
      </c>
      <c r="J221" s="184" t="n"/>
      <c r="K221" s="185">
        <f>K220</f>
        <v/>
      </c>
      <c r="L221" s="178" t="n"/>
      <c r="M221" s="178">
        <f>(I221+L221)*$W$41</f>
        <v/>
      </c>
      <c r="N221" s="180">
        <f>I221*K221+I221+L221+M221</f>
        <v/>
      </c>
      <c r="O221" s="194" t="n"/>
      <c r="P221" s="279" t="n"/>
      <c r="Q221" s="159" t="n"/>
      <c r="R221" s="159" t="n"/>
    </row>
    <row customHeight="1" ht="15" r="222">
      <c r="A222" s="181" t="n"/>
      <c r="B222" s="508" t="n">
        <v>2212</v>
      </c>
      <c r="C222" s="210" t="inlineStr">
        <is>
          <t>Шпигунова</t>
        </is>
      </c>
      <c r="D222" s="515" t="n">
        <v>3051908646</v>
      </c>
      <c r="E222" s="284" t="inlineStr"/>
      <c r="F222" s="284" t="n">
        <v>6070.5</v>
      </c>
      <c r="G222" s="184">
        <f>E222-F222</f>
        <v/>
      </c>
      <c r="H222" s="534" t="n">
        <v>1</v>
      </c>
      <c r="I222" s="184">
        <f>G222*H222</f>
        <v/>
      </c>
      <c r="J222" s="184" t="n"/>
      <c r="K222" s="185">
        <f>K221</f>
        <v/>
      </c>
      <c r="L222" s="178" t="n">
        <v>3</v>
      </c>
      <c r="M222" s="178">
        <f>(I222+L222)*$W$41</f>
        <v/>
      </c>
      <c r="N222" s="180">
        <f>I222*K222+I222+L222+M222</f>
        <v/>
      </c>
      <c r="O222" s="194" t="n"/>
      <c r="P222" s="279" t="n"/>
      <c r="Q222" s="159" t="n"/>
      <c r="R222" s="159" t="n"/>
    </row>
    <row customHeight="1" ht="15" r="223">
      <c r="A223" s="189" t="n"/>
      <c r="B223" s="508" t="n">
        <v>2228</v>
      </c>
      <c r="C223" s="210" t="inlineStr">
        <is>
          <t>Укрснаб топливо</t>
        </is>
      </c>
      <c r="D223" s="515" t="n">
        <v>38720398</v>
      </c>
      <c r="E223" s="284" t="inlineStr"/>
      <c r="F223" s="284" t="n">
        <v>13688.3</v>
      </c>
      <c r="G223" s="184">
        <f>E223-F223</f>
        <v/>
      </c>
      <c r="H223" s="534" t="n">
        <v>1</v>
      </c>
      <c r="I223" s="184">
        <f>G223*H223</f>
        <v/>
      </c>
      <c r="J223" s="184" t="n"/>
      <c r="K223" s="185">
        <f>K222</f>
        <v/>
      </c>
      <c r="L223" s="178" t="n"/>
      <c r="M223" s="178">
        <f>(I223+L223)*$W$41</f>
        <v/>
      </c>
      <c r="N223" s="180">
        <f>I223*K223+I223+L223+M223</f>
        <v/>
      </c>
      <c r="O223" s="194" t="n"/>
      <c r="P223" s="279" t="n"/>
      <c r="Q223" s="159" t="n"/>
      <c r="R223" s="159" t="n"/>
    </row>
    <row customHeight="1" ht="15" r="224">
      <c r="A224" s="189" t="n"/>
      <c r="B224" s="508" t="n">
        <v>2216</v>
      </c>
      <c r="C224" s="212" t="inlineStr">
        <is>
          <t>Решитко</t>
        </is>
      </c>
      <c r="D224" s="515" t="n">
        <v>3344312699</v>
      </c>
      <c r="E224" s="284" t="inlineStr"/>
      <c r="F224" s="284" t="n">
        <v>7919.4</v>
      </c>
      <c r="G224" s="184">
        <f>E224-F224</f>
        <v/>
      </c>
      <c r="H224" s="534" t="n">
        <v>1</v>
      </c>
      <c r="I224" s="184">
        <f>G224*H224</f>
        <v/>
      </c>
      <c r="J224" s="184" t="n"/>
      <c r="K224" s="185">
        <f>K223</f>
        <v/>
      </c>
      <c r="L224" s="178" t="n"/>
      <c r="M224" s="178">
        <f>(I224+L224)*$W$41</f>
        <v/>
      </c>
      <c r="N224" s="180">
        <f>I224*K224+I224+L224+M224</f>
        <v/>
      </c>
      <c r="O224" s="194" t="n"/>
      <c r="P224" s="295" t="n"/>
      <c r="Q224" s="159" t="n"/>
      <c r="R224" s="159" t="n"/>
    </row>
    <row customHeight="1" ht="15" r="225">
      <c r="A225" s="255" t="n"/>
      <c r="B225" s="508" t="n"/>
      <c r="C225" s="210" t="n"/>
      <c r="D225" s="515" t="n"/>
      <c r="E225" s="284" t="inlineStr"/>
      <c r="F225" s="284" t="n"/>
      <c r="G225" s="302" t="n"/>
      <c r="H225" s="534" t="n"/>
      <c r="I225" s="280" t="n"/>
      <c r="J225" s="303" t="n"/>
      <c r="K225" s="304" t="n"/>
      <c r="L225" s="304" t="n"/>
      <c r="M225" s="178" t="n"/>
      <c r="N225" s="180" t="n"/>
      <c r="O225" s="194" t="n"/>
      <c r="P225" s="305" t="n"/>
      <c r="Q225" s="159" t="n"/>
      <c r="R225" s="159" t="n"/>
    </row>
    <row customHeight="1" ht="15" r="226">
      <c r="A226" s="262" t="n"/>
      <c r="B226" s="216" t="n"/>
      <c r="C226" s="262" t="n"/>
      <c r="D226" s="262" t="n"/>
      <c r="E226" s="248" t="inlineStr"/>
      <c r="F226" s="248" t="n"/>
      <c r="G226" s="306" t="n"/>
      <c r="H226" s="216" t="n"/>
      <c r="I226" s="307" t="n"/>
      <c r="J226" s="308" t="n"/>
      <c r="K226" s="309" t="n"/>
      <c r="L226" s="309" t="n"/>
      <c r="M226" s="309" t="n"/>
      <c r="N226" s="224" t="n"/>
      <c r="O226" s="288" t="n"/>
      <c r="P226" s="305" t="n"/>
      <c r="Q226" s="159" t="n"/>
      <c r="R226" s="159" t="n"/>
    </row>
    <row customHeight="1" ht="15" r="227">
      <c r="A227" s="189" t="n"/>
      <c r="B227" s="534" t="n"/>
      <c r="C227" s="192" t="inlineStr">
        <is>
          <t>Потребление арендаторов:</t>
        </is>
      </c>
      <c r="D227" s="192" t="n"/>
      <c r="E227" s="255" t="inlineStr"/>
      <c r="F227" s="255" t="n"/>
      <c r="G227" s="231" t="n"/>
      <c r="H227" s="534" t="n"/>
      <c r="J227" s="255">
        <f>SUM(I215:I224)-I216-I215</f>
        <v/>
      </c>
      <c r="K227" s="178" t="n"/>
      <c r="L227" s="289" t="n"/>
      <c r="M227" s="289" t="n"/>
      <c r="O227" s="194">
        <f>K227*L227+K227</f>
        <v/>
      </c>
      <c r="P227" s="290">
        <f>J227+L227</f>
        <v/>
      </c>
      <c r="Q227" s="159" t="n"/>
      <c r="R227" s="159" t="n"/>
    </row>
    <row customHeight="1" ht="15" r="228">
      <c r="A228" s="255" t="n"/>
      <c r="B228" s="534" t="n"/>
      <c r="C228" s="192" t="inlineStr">
        <is>
          <t>Учет 2-й этаж секция Б общий :</t>
        </is>
      </c>
      <c r="D228" s="192" t="n"/>
      <c r="E228" s="255" t="inlineStr"/>
      <c r="F228" s="255" t="n">
        <v>7609.6</v>
      </c>
      <c r="G228" s="253">
        <f>E228-F228</f>
        <v/>
      </c>
      <c r="H228" s="418" t="n">
        <v>1</v>
      </c>
      <c r="J228" s="119">
        <f>G228*H228+80.5</f>
        <v/>
      </c>
      <c r="K228" s="198" t="n"/>
      <c r="L228" s="178" t="n"/>
      <c r="M228" s="178" t="n"/>
      <c r="O228" s="194">
        <f>K228*L228+K228</f>
        <v/>
      </c>
      <c r="P228" s="194">
        <f>J228*K228+J228</f>
        <v/>
      </c>
      <c r="Q228" s="200" t="n"/>
      <c r="R228" s="201" t="n"/>
      <c r="S228" s="202" t="n"/>
      <c r="T228" s="427" t="n"/>
      <c r="U228" s="427" t="n"/>
      <c r="V228" s="427" t="n"/>
      <c r="W228" s="427" t="n"/>
      <c r="X228" s="427" t="n"/>
      <c r="Y228" s="427" t="n"/>
    </row>
    <row customHeight="1" ht="15" r="229">
      <c r="A229" s="189" t="n"/>
      <c r="B229" s="534" t="n"/>
      <c r="C229" s="192" t="inlineStr">
        <is>
          <t>Потребление коридора:</t>
        </is>
      </c>
      <c r="D229" s="192" t="n"/>
      <c r="E229" s="255" t="inlineStr"/>
      <c r="F229" s="189" t="n"/>
      <c r="G229" s="231" t="n"/>
      <c r="H229" s="534" t="n"/>
      <c r="J229" s="255">
        <f>J228-J227</f>
        <v/>
      </c>
      <c r="K229" s="178" t="n"/>
      <c r="L229" s="178" t="n"/>
      <c r="M229" s="178" t="n"/>
      <c r="O229" s="194">
        <f>K229*L229+K229</f>
        <v/>
      </c>
      <c r="P229" s="194">
        <f>J229*K229+J229</f>
        <v/>
      </c>
      <c r="Q229" s="159" t="n"/>
      <c r="R229" s="159" t="n"/>
    </row>
    <row customHeight="1" ht="15.75" r="230">
      <c r="A230" s="255" t="n"/>
      <c r="B230" s="534" t="n"/>
      <c r="C230" s="192" t="inlineStr">
        <is>
          <t>Выставляем арендаторам :</t>
        </is>
      </c>
      <c r="D230" s="192" t="n"/>
      <c r="E230" s="197" t="inlineStr"/>
      <c r="F230" s="197" t="n"/>
      <c r="G230" s="231" t="n"/>
      <c r="H230" s="534" t="n"/>
      <c r="I230" s="255" t="n"/>
      <c r="J230" s="255" t="n"/>
      <c r="K230" s="198" t="n"/>
      <c r="L230" s="178" t="n"/>
      <c r="M230" s="178" t="n"/>
      <c r="O230" s="194" t="n"/>
      <c r="P230" s="199">
        <f>SUM(N215:N225)</f>
        <v/>
      </c>
      <c r="Q230" s="200" t="n"/>
      <c r="R230" s="201" t="n"/>
      <c r="S230" s="202" t="n"/>
      <c r="T230" s="427" t="n"/>
      <c r="U230" s="427" t="n"/>
      <c r="V230" s="427" t="n"/>
      <c r="W230" s="427" t="n"/>
      <c r="X230" s="427" t="n"/>
      <c r="Y230" s="427" t="n"/>
    </row>
    <row customHeight="1" ht="15" r="231">
      <c r="A231" s="255" t="n"/>
      <c r="B231" s="534" t="n"/>
      <c r="C231" s="192" t="inlineStr">
        <is>
          <t>Общий итог :</t>
        </is>
      </c>
      <c r="D231" s="192" t="n"/>
      <c r="E231" s="197" t="inlineStr"/>
      <c r="F231" s="197" t="n"/>
      <c r="G231" s="231" t="n"/>
      <c r="H231" s="534" t="n"/>
      <c r="I231" s="255" t="n"/>
      <c r="J231" s="255" t="n"/>
      <c r="K231" s="198" t="n"/>
      <c r="L231" s="178" t="n"/>
      <c r="M231" s="178" t="n"/>
      <c r="O231" s="194" t="n"/>
      <c r="P231" s="194">
        <f>P230-P228</f>
        <v/>
      </c>
      <c r="Q231" s="200" t="n"/>
      <c r="R231" s="201" t="n"/>
      <c r="S231" s="202" t="n"/>
      <c r="T231" s="427" t="n"/>
      <c r="U231" s="427" t="n"/>
      <c r="V231" s="427" t="n"/>
      <c r="W231" s="427" t="n"/>
      <c r="X231" s="427" t="n"/>
      <c r="Y231" s="427" t="n"/>
    </row>
    <row customHeight="1" ht="15" r="232">
      <c r="A232" s="255" t="n"/>
      <c r="B232" s="534" t="n"/>
      <c r="C232" s="192" t="inlineStr">
        <is>
          <t>Общий итог с потерями РЭСа:</t>
        </is>
      </c>
      <c r="D232" s="192" t="n"/>
      <c r="E232" s="197" t="inlineStr"/>
      <c r="F232" s="197" t="n"/>
      <c r="G232" s="231" t="n"/>
      <c r="H232" s="534" t="n"/>
      <c r="I232" s="255" t="n"/>
      <c r="J232" s="255" t="n"/>
      <c r="K232" s="198" t="n"/>
      <c r="L232" s="178" t="n"/>
      <c r="M232" s="178" t="n"/>
      <c r="O232" s="194" t="n"/>
      <c r="P232" s="194">
        <f>P230-(P228*AC25+P228)</f>
        <v/>
      </c>
      <c r="Q232" s="200" t="n"/>
      <c r="R232" s="201" t="n"/>
      <c r="S232" s="202" t="n"/>
      <c r="T232" s="427" t="n"/>
      <c r="U232" s="427" t="n"/>
      <c r="V232" s="427" t="n"/>
      <c r="W232" s="427" t="n"/>
      <c r="X232" s="427" t="n"/>
      <c r="Y232" s="427" t="n"/>
    </row>
    <row customHeight="1" ht="18.75" r="233">
      <c r="A233" s="536" t="n"/>
      <c r="B233" s="537" t="n"/>
      <c r="C233" s="536" t="n"/>
      <c r="D233" s="536" t="n"/>
      <c r="E233" s="537" t="inlineStr"/>
      <c r="F233" s="537" t="n"/>
      <c r="G233" s="537" t="n"/>
      <c r="H233" s="537" t="n"/>
      <c r="I233" s="537" t="n"/>
      <c r="J233" s="536" t="n"/>
      <c r="K233" s="537" t="n"/>
      <c r="L233" s="537" t="n"/>
      <c r="M233" s="537" t="n"/>
      <c r="N233" s="536" t="n"/>
      <c r="O233" s="536" t="n"/>
      <c r="P233" s="305" t="n"/>
      <c r="Q233" s="159" t="n"/>
      <c r="R233" s="159" t="n"/>
    </row>
    <row customHeight="1" ht="15" r="234">
      <c r="A234" s="164" t="n"/>
      <c r="B234" s="165" t="inlineStr">
        <is>
          <t>корп. 2Б</t>
        </is>
      </c>
      <c r="C234" s="165" t="inlineStr">
        <is>
          <t>3-й этаж</t>
        </is>
      </c>
      <c r="D234" s="166" t="inlineStr">
        <is>
          <t>код ОКПО</t>
        </is>
      </c>
      <c r="E234" s="204" t="inlineStr"/>
      <c r="F234" s="204" t="n"/>
      <c r="G234" s="291" t="n"/>
      <c r="H234" s="164" t="n"/>
      <c r="I234" s="164" t="n"/>
      <c r="J234" s="164" t="n"/>
      <c r="K234" s="292" t="n">
        <v>0.32</v>
      </c>
      <c r="L234" s="164" t="n"/>
      <c r="M234" s="164" t="n"/>
      <c r="N234" s="310" t="n"/>
      <c r="O234" s="311" t="n"/>
      <c r="P234" s="279" t="n"/>
      <c r="Q234" s="159" t="n"/>
      <c r="R234" s="159" t="n"/>
    </row>
    <row customHeight="1" ht="15" r="235">
      <c r="A235" s="181" t="n"/>
      <c r="B235" s="508" t="n">
        <v>2318</v>
      </c>
      <c r="C235" s="312" t="inlineStr">
        <is>
          <t>МПСС</t>
        </is>
      </c>
      <c r="D235" s="522" t="n">
        <v>38017026</v>
      </c>
      <c r="E235" s="284" t="inlineStr"/>
      <c r="F235" s="284" t="n"/>
      <c r="G235" s="184">
        <f>E235-F235</f>
        <v/>
      </c>
      <c r="H235" s="534" t="n">
        <v>1</v>
      </c>
      <c r="I235" s="184">
        <f>G235*H235</f>
        <v/>
      </c>
      <c r="J235" s="184" t="n"/>
      <c r="K235" s="185">
        <f>K234</f>
        <v/>
      </c>
      <c r="L235" s="178" t="n"/>
      <c r="M235" s="178">
        <f>(I235+L235)*$W$41</f>
        <v/>
      </c>
      <c r="N235" s="180">
        <f>I235*K235+I235+L235+M235</f>
        <v/>
      </c>
      <c r="O235" s="194" t="n"/>
      <c r="P235" s="279" t="n"/>
      <c r="Q235" s="159" t="n"/>
      <c r="R235" s="159" t="n"/>
    </row>
    <row customHeight="1" ht="15" r="236">
      <c r="A236" s="181" t="n"/>
      <c r="B236" s="508" t="n">
        <v>2319</v>
      </c>
      <c r="C236" s="313" t="inlineStr">
        <is>
          <t>МПСС</t>
        </is>
      </c>
      <c r="D236" s="522" t="n">
        <v>38017026</v>
      </c>
      <c r="E236" s="284" t="inlineStr"/>
      <c r="F236" s="284" t="n">
        <v>26845.8</v>
      </c>
      <c r="G236" s="184">
        <f>E236-F236</f>
        <v/>
      </c>
      <c r="H236" s="534" t="n">
        <v>1</v>
      </c>
      <c r="I236" s="184">
        <f>G236*H236</f>
        <v/>
      </c>
      <c r="J236" s="184" t="n"/>
      <c r="K236" s="215">
        <f>K62</f>
        <v/>
      </c>
      <c r="L236" s="178" t="n"/>
      <c r="M236" s="178">
        <f>(I236+L236)*$W$41</f>
        <v/>
      </c>
      <c r="N236" s="180">
        <f>I236*K236+I236+L236+M236</f>
        <v/>
      </c>
      <c r="O236" s="194" t="n"/>
      <c r="P236" s="279" t="n"/>
      <c r="Q236" s="159" t="n"/>
      <c r="R236" s="159" t="n"/>
    </row>
    <row customHeight="1" ht="15" r="237">
      <c r="A237" s="181" t="n"/>
      <c r="B237" s="508" t="n">
        <v>2310</v>
      </c>
      <c r="C237" s="312" t="inlineStr">
        <is>
          <t>ФАДУ</t>
        </is>
      </c>
      <c r="D237" s="522" t="n">
        <v>42225508</v>
      </c>
      <c r="E237" s="284" t="inlineStr"/>
      <c r="F237" s="284" t="n">
        <v>19849.1</v>
      </c>
      <c r="G237" s="184">
        <f>E237-F237</f>
        <v/>
      </c>
      <c r="H237" s="534" t="n">
        <v>1</v>
      </c>
      <c r="I237" s="184">
        <f>G237*H237</f>
        <v/>
      </c>
      <c r="J237" s="184" t="n"/>
      <c r="K237" s="185">
        <f>K235</f>
        <v/>
      </c>
      <c r="L237" s="178" t="n">
        <v>-350</v>
      </c>
      <c r="M237" s="178">
        <f>I237*$W$41</f>
        <v/>
      </c>
      <c r="N237" s="180">
        <f>I237*K237+I237+L237+M237</f>
        <v/>
      </c>
      <c r="O237" s="194" t="n"/>
      <c r="P237" s="279" t="n"/>
      <c r="Q237" s="159" t="n"/>
      <c r="R237" s="159" t="n"/>
    </row>
    <row customHeight="1" ht="15" r="238">
      <c r="A238" s="181" t="n"/>
      <c r="B238" s="508" t="n"/>
      <c r="C238" s="312" t="inlineStr">
        <is>
          <t>Волкович</t>
        </is>
      </c>
      <c r="D238" s="522" t="n">
        <v>2236402009</v>
      </c>
      <c r="E238" s="284" t="inlineStr"/>
      <c r="F238" s="284" t="n"/>
      <c r="G238" s="184" t="n"/>
      <c r="H238" s="534" t="n"/>
      <c r="I238" s="184" t="n"/>
      <c r="J238" s="184" t="n"/>
      <c r="K238" s="185" t="n"/>
      <c r="L238" s="178" t="n">
        <v>350</v>
      </c>
      <c r="M238" s="178">
        <f>(I238+L238)*$W$41</f>
        <v/>
      </c>
      <c r="N238" s="180">
        <f>L238</f>
        <v/>
      </c>
      <c r="O238" s="194" t="n"/>
      <c r="P238" s="279" t="n"/>
      <c r="Q238" s="159" t="n"/>
      <c r="R238" s="159" t="n"/>
    </row>
    <row customHeight="1" ht="15" r="239">
      <c r="A239" s="181" t="n"/>
      <c r="B239" s="508" t="n">
        <v>2307</v>
      </c>
      <c r="C239" s="314" t="inlineStr">
        <is>
          <t>Лаврека</t>
        </is>
      </c>
      <c r="D239" s="516" t="n">
        <v>2830910201</v>
      </c>
      <c r="E239" s="284" t="inlineStr"/>
      <c r="F239" s="284" t="n">
        <v>1.7</v>
      </c>
      <c r="G239" s="184">
        <f>E239-F239</f>
        <v/>
      </c>
      <c r="H239" s="534" t="n">
        <v>1</v>
      </c>
      <c r="I239" s="184">
        <f>G239*H239</f>
        <v/>
      </c>
      <c r="J239" s="184" t="n"/>
      <c r="K239" s="185">
        <f>K237</f>
        <v/>
      </c>
      <c r="L239" s="178" t="n">
        <v>5</v>
      </c>
      <c r="M239" s="178">
        <f>(I239+L239)*$W$41</f>
        <v/>
      </c>
      <c r="N239" s="180">
        <f>I239*K239+I239+L239+M239</f>
        <v/>
      </c>
      <c r="O239" s="194" t="n"/>
      <c r="P239" s="279" t="n"/>
      <c r="Q239" s="159" t="n"/>
      <c r="R239" s="159" t="n"/>
    </row>
    <row customHeight="1" ht="15" r="240">
      <c r="A240" s="181" t="n"/>
      <c r="B240" s="508" t="n">
        <v>2327</v>
      </c>
      <c r="C240" s="314" t="inlineStr">
        <is>
          <t>Котекна</t>
        </is>
      </c>
      <c r="D240" s="516" t="n">
        <v>32521869</v>
      </c>
      <c r="E240" s="284" t="inlineStr"/>
      <c r="F240" s="284" t="n">
        <v>6689.1</v>
      </c>
      <c r="G240" s="184">
        <f>E240-F240</f>
        <v/>
      </c>
      <c r="H240" s="534" t="n">
        <v>1</v>
      </c>
      <c r="I240" s="184">
        <f>G240*H240</f>
        <v/>
      </c>
      <c r="J240" s="184" t="n"/>
      <c r="K240" s="185">
        <f>K239</f>
        <v/>
      </c>
      <c r="L240" s="178" t="n"/>
      <c r="M240" s="178">
        <f>(I240+L240)*$W$41</f>
        <v/>
      </c>
      <c r="N240" s="180">
        <f>I240*K240+I240+L240+M240</f>
        <v/>
      </c>
      <c r="O240" s="194" t="n"/>
      <c r="P240" s="279" t="n"/>
      <c r="Q240" s="159" t="n"/>
      <c r="R240" s="159" t="n"/>
    </row>
    <row customHeight="1" ht="15" r="241">
      <c r="A241" s="181" t="n"/>
      <c r="B241" s="508" t="n">
        <v>2303</v>
      </c>
      <c r="C241" s="210" t="inlineStr">
        <is>
          <t>Шибаев</t>
        </is>
      </c>
      <c r="D241" s="515" t="n">
        <v>2713701234</v>
      </c>
      <c r="E241" s="284" t="inlineStr"/>
      <c r="F241" s="284" t="n">
        <v>6491.7</v>
      </c>
      <c r="G241" s="184">
        <f>E241-F241</f>
        <v/>
      </c>
      <c r="H241" s="534" t="n">
        <v>1</v>
      </c>
      <c r="I241" s="255">
        <f>G241*H241</f>
        <v/>
      </c>
      <c r="J241" s="255" t="n"/>
      <c r="K241" s="185">
        <f>K240</f>
        <v/>
      </c>
      <c r="L241" s="178" t="n"/>
      <c r="M241" s="178">
        <f>(I241+L241)*$W$41</f>
        <v/>
      </c>
      <c r="N241" s="180">
        <f>I241*K241+I241+L241+M241</f>
        <v/>
      </c>
      <c r="O241" s="194" t="n"/>
      <c r="P241" s="279" t="n"/>
      <c r="Q241" s="159" t="n"/>
      <c r="R241" s="159" t="n"/>
    </row>
    <row customHeight="1" ht="15" r="242">
      <c r="A242" s="181" t="n"/>
      <c r="B242" s="508" t="n">
        <v>2328</v>
      </c>
      <c r="C242" s="210" t="inlineStr">
        <is>
          <t>Ап-компани</t>
        </is>
      </c>
      <c r="D242" s="515" t="n">
        <v>39539652</v>
      </c>
      <c r="E242" s="284" t="inlineStr"/>
      <c r="F242" s="284" t="n">
        <v>4758.2</v>
      </c>
      <c r="G242" s="184">
        <f>E242-F242</f>
        <v/>
      </c>
      <c r="H242" s="534" t="n">
        <v>1</v>
      </c>
      <c r="I242" s="255">
        <f>G242*H242</f>
        <v/>
      </c>
      <c r="J242" s="255" t="n"/>
      <c r="K242" s="185">
        <f>K241</f>
        <v/>
      </c>
      <c r="L242" s="178" t="n"/>
      <c r="M242" s="178">
        <f>(I242+L242)*$W$41</f>
        <v/>
      </c>
      <c r="N242" s="180">
        <f>I242*K242+I242+L242+M242</f>
        <v/>
      </c>
      <c r="O242" s="194" t="n"/>
      <c r="P242" s="279" t="n"/>
      <c r="Q242" s="159" t="n"/>
      <c r="R242" s="159" t="n"/>
    </row>
    <row customHeight="1" ht="15" r="243">
      <c r="A243" s="189" t="n"/>
      <c r="B243" s="508" t="n">
        <v>2305</v>
      </c>
      <c r="C243" s="210" t="inlineStr">
        <is>
          <t>Шибаев</t>
        </is>
      </c>
      <c r="D243" s="515" t="n">
        <v>2713701234</v>
      </c>
      <c r="E243" s="284" t="inlineStr"/>
      <c r="F243" s="284" t="n">
        <v>4301.2</v>
      </c>
      <c r="G243" s="315">
        <f>E243-F243</f>
        <v/>
      </c>
      <c r="H243" s="534" t="n">
        <v>1</v>
      </c>
      <c r="I243" s="255">
        <f>G243*H243</f>
        <v/>
      </c>
      <c r="J243" s="255" t="n"/>
      <c r="K243" s="185">
        <f>K242</f>
        <v/>
      </c>
      <c r="L243" s="178" t="n"/>
      <c r="M243" s="178">
        <f>(I243+L243)*$W$41</f>
        <v/>
      </c>
      <c r="N243" s="180">
        <f>I243*K243+I243+L243+M243</f>
        <v/>
      </c>
      <c r="O243" s="194" t="n"/>
      <c r="P243" s="279" t="n"/>
      <c r="Q243" s="159" t="n"/>
      <c r="R243" s="159" t="n"/>
    </row>
    <row customHeight="1" ht="15" r="244">
      <c r="A244" s="189" t="n"/>
      <c r="B244" s="508" t="n">
        <v>2308</v>
      </c>
      <c r="C244" s="213" t="inlineStr">
        <is>
          <t>Мираи Украина</t>
        </is>
      </c>
      <c r="D244" s="516" t="n">
        <v>39916213</v>
      </c>
      <c r="E244" s="284" t="inlineStr"/>
      <c r="F244" s="284" t="n">
        <v>337.4</v>
      </c>
      <c r="G244" s="184">
        <f>E244-F244</f>
        <v/>
      </c>
      <c r="H244" s="534" t="n">
        <v>1</v>
      </c>
      <c r="I244" s="184">
        <f>G244*H244</f>
        <v/>
      </c>
      <c r="J244" s="184" t="n"/>
      <c r="K244" s="185">
        <f>K243</f>
        <v/>
      </c>
      <c r="L244" s="178" t="n">
        <v>3</v>
      </c>
      <c r="M244" s="178">
        <f>(I244+L244)*$W$41</f>
        <v/>
      </c>
      <c r="N244" s="180">
        <f>I244*K244+I244+L244+M244</f>
        <v/>
      </c>
      <c r="O244" s="194" t="n"/>
      <c r="P244" s="279" t="n"/>
      <c r="Q244" s="159" t="n"/>
      <c r="R244" s="159" t="n"/>
    </row>
    <row customHeight="1" ht="15" r="245">
      <c r="A245" s="255" t="n"/>
      <c r="B245" s="508" t="n">
        <v>2317</v>
      </c>
      <c r="C245" s="210" t="inlineStr">
        <is>
          <t>Франжипани</t>
        </is>
      </c>
      <c r="D245" s="515" t="n">
        <v>42312993</v>
      </c>
      <c r="E245" s="284" t="inlineStr"/>
      <c r="F245" s="284" t="n">
        <v>2967</v>
      </c>
      <c r="G245" s="344">
        <f>E245-F245</f>
        <v/>
      </c>
      <c r="H245" s="534" t="n">
        <v>1</v>
      </c>
      <c r="I245" s="184">
        <f>G245*H245</f>
        <v/>
      </c>
      <c r="J245" s="184" t="n"/>
      <c r="K245" s="185">
        <f>K244</f>
        <v/>
      </c>
      <c r="L245" s="178" t="n"/>
      <c r="M245" s="178">
        <f>(I245+L245)*$W$41</f>
        <v/>
      </c>
      <c r="N245" s="180">
        <f>I245*K245+I245+L245+M245</f>
        <v/>
      </c>
      <c r="O245" s="194" t="n"/>
      <c r="P245" s="279" t="n"/>
      <c r="Q245" s="159" t="n"/>
      <c r="R245" s="159" t="n"/>
    </row>
    <row customHeight="1" ht="15" r="246">
      <c r="A246" s="181" t="n"/>
      <c r="B246" s="508" t="n">
        <v>2306</v>
      </c>
      <c r="C246" s="210" t="inlineStr">
        <is>
          <t>Ван телеком</t>
        </is>
      </c>
      <c r="D246" s="515" t="n">
        <v>35049144</v>
      </c>
      <c r="E246" s="284" t="inlineStr"/>
      <c r="F246" s="284" t="n">
        <v>8447.1</v>
      </c>
      <c r="G246" s="231">
        <f>E246-F246</f>
        <v/>
      </c>
      <c r="H246" s="534" t="n">
        <v>1</v>
      </c>
      <c r="I246" s="184">
        <f>G246*H246</f>
        <v/>
      </c>
      <c r="J246" s="184" t="n"/>
      <c r="K246" s="185">
        <f>K245</f>
        <v/>
      </c>
      <c r="L246" s="178" t="n"/>
      <c r="M246" s="178">
        <f>(I246+L246)*$W$41</f>
        <v/>
      </c>
      <c r="N246" s="180">
        <f>I246*K246+I246+L246+M246</f>
        <v/>
      </c>
      <c r="O246" s="194" t="n"/>
      <c r="P246" s="279" t="n"/>
      <c r="Q246" s="159" t="n"/>
      <c r="R246" s="159" t="n"/>
    </row>
    <row customHeight="1" ht="15" r="247">
      <c r="A247" s="181" t="n"/>
      <c r="B247" s="508" t="n">
        <v>2309</v>
      </c>
      <c r="C247" s="210" t="inlineStr">
        <is>
          <t>Дикусар</t>
        </is>
      </c>
      <c r="D247" s="523" t="inlineStr">
        <is>
          <t>091969</t>
        </is>
      </c>
      <c r="E247" s="284" t="inlineStr"/>
      <c r="F247" s="284" t="n">
        <v>632</v>
      </c>
      <c r="G247" s="231">
        <f>E247-F247</f>
        <v/>
      </c>
      <c r="H247" s="534" t="n">
        <v>1</v>
      </c>
      <c r="I247" s="184">
        <f>G247*H247</f>
        <v/>
      </c>
      <c r="J247" s="184" t="n"/>
      <c r="K247" s="185">
        <f>K246</f>
        <v/>
      </c>
      <c r="L247" s="178" t="n">
        <v>3</v>
      </c>
      <c r="M247" s="178">
        <f>(I247+L247)*$W$41</f>
        <v/>
      </c>
      <c r="N247" s="180">
        <f>I247*K247+I247+L247+M247</f>
        <v/>
      </c>
      <c r="O247" s="194" t="n"/>
      <c r="P247" s="287" t="n"/>
      <c r="Q247" s="159" t="n"/>
      <c r="R247" s="159" t="n"/>
    </row>
    <row customFormat="1" customHeight="1" ht="15" r="248" s="252">
      <c r="A248" s="181" t="n"/>
      <c r="B248" s="216" t="n"/>
      <c r="C248" s="262" t="n"/>
      <c r="D248" s="262" t="n"/>
      <c r="E248" s="248" t="inlineStr"/>
      <c r="F248" s="248" t="n"/>
      <c r="G248" s="217" t="n"/>
      <c r="H248" s="216" t="n"/>
      <c r="I248" s="223" t="n"/>
      <c r="J248" s="223" t="n"/>
      <c r="K248" s="217" t="n"/>
      <c r="L248" s="217" t="n"/>
      <c r="M248" s="217" t="n"/>
      <c r="N248" s="224" t="n"/>
      <c r="O248" s="288" t="n"/>
      <c r="P248" s="317" t="n"/>
      <c r="Q248" s="251" t="n"/>
      <c r="R248" s="251" t="n"/>
    </row>
    <row customHeight="1" ht="15" r="249">
      <c r="A249" s="189" t="n"/>
      <c r="B249" s="534" t="n"/>
      <c r="C249" s="192" t="inlineStr">
        <is>
          <t>Потребление арендаторов:</t>
        </is>
      </c>
      <c r="D249" s="192" t="n"/>
      <c r="E249" s="255" t="inlineStr"/>
      <c r="F249" s="255" t="n"/>
      <c r="G249" s="231" t="n"/>
      <c r="H249" s="534" t="n"/>
      <c r="J249" s="184">
        <f>SUM(I235:I247)</f>
        <v/>
      </c>
      <c r="K249" s="178" t="n"/>
      <c r="L249" s="289" t="n"/>
      <c r="M249" s="289" t="n"/>
      <c r="O249" s="194">
        <f>K249*L249+K249</f>
        <v/>
      </c>
      <c r="P249" s="290">
        <f>SUM(I235:I247)+L249</f>
        <v/>
      </c>
      <c r="Q249" s="159" t="n"/>
      <c r="R249" s="159" t="n"/>
    </row>
    <row customHeight="1" ht="15" r="250">
      <c r="A250" s="255" t="n"/>
      <c r="B250" s="534" t="n"/>
      <c r="C250" s="192" t="inlineStr">
        <is>
          <t>Учет 3-й этаж секция Б общий :</t>
        </is>
      </c>
      <c r="D250" s="192" t="n"/>
      <c r="E250" s="362" t="inlineStr"/>
      <c r="F250" s="362" t="n">
        <v>52124</v>
      </c>
      <c r="G250" s="253">
        <f>E250-F250</f>
        <v/>
      </c>
      <c r="H250" s="418" t="n">
        <v>1</v>
      </c>
      <c r="J250" s="119">
        <f>G250*H250</f>
        <v/>
      </c>
      <c r="K250" s="198" t="n"/>
      <c r="L250" s="178" t="n"/>
      <c r="M250" s="178" t="n"/>
      <c r="O250" s="194">
        <f>K250*L250+K250</f>
        <v/>
      </c>
      <c r="P250" s="194">
        <f>J250*K250+J250</f>
        <v/>
      </c>
      <c r="Q250" s="200" t="n"/>
      <c r="R250" s="201" t="n"/>
      <c r="S250" s="202" t="n"/>
      <c r="T250" s="427" t="n"/>
      <c r="U250" s="427" t="n"/>
      <c r="V250" s="427" t="n"/>
      <c r="W250" s="427" t="n"/>
      <c r="X250" s="427" t="n"/>
      <c r="Y250" s="427" t="n"/>
    </row>
    <row customHeight="1" ht="15" r="251">
      <c r="A251" s="189" t="n"/>
      <c r="B251" s="534" t="n"/>
      <c r="C251" s="192" t="inlineStr">
        <is>
          <t>Потребление коридора:</t>
        </is>
      </c>
      <c r="D251" s="192" t="n"/>
      <c r="E251" s="255" t="inlineStr"/>
      <c r="F251" s="255" t="n"/>
      <c r="G251" s="231" t="n"/>
      <c r="H251" s="534" t="n"/>
      <c r="J251" s="255">
        <f>J250-J249</f>
        <v/>
      </c>
      <c r="K251" s="178" t="n"/>
      <c r="L251" s="178" t="n"/>
      <c r="M251" s="178" t="n"/>
      <c r="O251" s="194">
        <f>K251*L251+K251</f>
        <v/>
      </c>
      <c r="P251" s="194">
        <f>J251*K251+J251</f>
        <v/>
      </c>
      <c r="Q251" s="159" t="n"/>
      <c r="R251" s="159" t="n"/>
    </row>
    <row customHeight="1" ht="15.75" r="252">
      <c r="A252" s="255" t="n"/>
      <c r="B252" s="534" t="n"/>
      <c r="C252" s="192" t="inlineStr">
        <is>
          <t>Выставляем арендаторам :</t>
        </is>
      </c>
      <c r="D252" s="192" t="n"/>
      <c r="E252" s="197" t="inlineStr"/>
      <c r="F252" s="197" t="n"/>
      <c r="G252" s="231" t="n"/>
      <c r="H252" s="534" t="n"/>
      <c r="I252" s="255" t="n"/>
      <c r="J252" s="255" t="n"/>
      <c r="K252" s="198" t="n"/>
      <c r="L252" s="178" t="n"/>
      <c r="M252" s="178" t="n"/>
      <c r="O252" s="194" t="n"/>
      <c r="P252" s="199">
        <f>SUM(N235:N247)</f>
        <v/>
      </c>
      <c r="Q252" s="200" t="n"/>
      <c r="R252" s="201" t="n"/>
      <c r="S252" s="202" t="n"/>
      <c r="T252" s="427" t="n"/>
      <c r="U252" s="427" t="n"/>
      <c r="V252" s="427" t="n"/>
      <c r="W252" s="427" t="n"/>
      <c r="X252" s="427" t="n"/>
      <c r="Y252" s="427" t="n"/>
    </row>
    <row customHeight="1" ht="15" r="253">
      <c r="A253" s="255" t="n"/>
      <c r="B253" s="534" t="n"/>
      <c r="C253" s="192" t="inlineStr">
        <is>
          <t>Общий итог :</t>
        </is>
      </c>
      <c r="D253" s="192" t="n"/>
      <c r="E253" s="197" t="inlineStr"/>
      <c r="F253" s="197" t="n"/>
      <c r="G253" s="231" t="n"/>
      <c r="H253" s="534" t="n"/>
      <c r="I253" s="255" t="n"/>
      <c r="J253" s="255" t="n"/>
      <c r="K253" s="198" t="n"/>
      <c r="L253" s="178" t="n"/>
      <c r="M253" s="178" t="n"/>
      <c r="O253" s="194" t="n"/>
      <c r="P253" s="194">
        <f>P252-P249</f>
        <v/>
      </c>
      <c r="Q253" s="200" t="n"/>
      <c r="R253" s="201" t="n"/>
      <c r="S253" s="202" t="n"/>
      <c r="T253" s="427" t="n"/>
      <c r="U253" s="427" t="n"/>
      <c r="V253" s="427" t="n"/>
      <c r="W253" s="427" t="n"/>
      <c r="X253" s="427" t="n"/>
      <c r="Y253" s="427" t="n"/>
    </row>
    <row customHeight="1" ht="15" r="254">
      <c r="A254" s="255" t="n"/>
      <c r="B254" s="534" t="n"/>
      <c r="C254" s="192" t="inlineStr">
        <is>
          <t>Общий итог с потерями РЭСа:</t>
        </is>
      </c>
      <c r="D254" s="192" t="n"/>
      <c r="E254" s="197" t="inlineStr"/>
      <c r="F254" s="197" t="n"/>
      <c r="G254" s="231" t="n"/>
      <c r="H254" s="534" t="n"/>
      <c r="I254" s="255" t="n"/>
      <c r="J254" s="255" t="n"/>
      <c r="K254" s="198" t="n"/>
      <c r="L254" s="178" t="n"/>
      <c r="M254" s="178" t="n"/>
      <c r="O254" s="194" t="n"/>
      <c r="P254" s="194">
        <f>P252-(P249*AC25+P249)</f>
        <v/>
      </c>
      <c r="Q254" s="200" t="n"/>
      <c r="R254" s="201" t="n"/>
      <c r="S254" s="202" t="n"/>
      <c r="T254" s="427" t="n"/>
      <c r="U254" s="427" t="n"/>
      <c r="V254" s="427" t="n"/>
      <c r="W254" s="427" t="n"/>
      <c r="X254" s="427" t="n"/>
      <c r="Y254" s="427" t="n"/>
    </row>
    <row customHeight="1" ht="21.75" r="255">
      <c r="A255" s="536" t="n"/>
      <c r="B255" s="537" t="n"/>
      <c r="C255" s="536" t="n"/>
      <c r="D255" s="536" t="n"/>
      <c r="E255" s="537" t="inlineStr"/>
      <c r="F255" s="537" t="n"/>
      <c r="G255" s="537" t="n"/>
      <c r="H255" s="537" t="n"/>
      <c r="I255" s="537" t="n"/>
      <c r="J255" s="536" t="n"/>
      <c r="K255" s="537" t="n"/>
      <c r="L255" s="537" t="n"/>
      <c r="M255" s="537" t="n"/>
      <c r="N255" s="536" t="n"/>
      <c r="O255" s="536" t="n"/>
      <c r="P255" s="279" t="n"/>
      <c r="Q255" s="159" t="n"/>
      <c r="R255" s="159" t="n"/>
    </row>
    <row customHeight="1" ht="15" r="256">
      <c r="A256" s="203" t="n"/>
      <c r="B256" s="165" t="inlineStr">
        <is>
          <t>корп. 2Б</t>
        </is>
      </c>
      <c r="C256" s="165" t="inlineStr">
        <is>
          <t>4-й этаж</t>
        </is>
      </c>
      <c r="D256" s="166" t="inlineStr">
        <is>
          <t>код ОКПО</t>
        </is>
      </c>
      <c r="E256" s="204" t="inlineStr"/>
      <c r="F256" s="204" t="n"/>
      <c r="G256" s="208" t="n"/>
      <c r="H256" s="164" t="n"/>
      <c r="I256" s="167" t="n"/>
      <c r="J256" s="167" t="n"/>
      <c r="K256" s="254" t="n">
        <v>0.32</v>
      </c>
      <c r="L256" s="167" t="n"/>
      <c r="M256" s="167" t="n"/>
      <c r="N256" s="299" t="n"/>
      <c r="O256" s="300" t="n"/>
      <c r="P256" s="279" t="n"/>
      <c r="Q256" s="159" t="n"/>
      <c r="R256" s="159" t="n"/>
    </row>
    <row customHeight="1" ht="15" r="257">
      <c r="A257" s="189" t="n"/>
      <c r="B257" s="509" t="inlineStr">
        <is>
          <t>2411/16</t>
        </is>
      </c>
      <c r="C257" s="210" t="n"/>
      <c r="D257" s="515" t="n"/>
      <c r="E257" s="284" t="inlineStr"/>
      <c r="F257" s="284" t="n">
        <v>23898.3</v>
      </c>
      <c r="G257" s="231">
        <f>E257-F257</f>
        <v/>
      </c>
      <c r="H257" s="534" t="n">
        <v>1</v>
      </c>
      <c r="I257" s="231">
        <f>G257*H257</f>
        <v/>
      </c>
      <c r="J257" s="231" t="n"/>
      <c r="K257" s="185">
        <f>K256</f>
        <v/>
      </c>
      <c r="L257" s="178" t="n"/>
      <c r="M257" s="178">
        <f>(I257+L257)*$W$41</f>
        <v/>
      </c>
      <c r="N257" s="180">
        <f>I257*K257+I257+L257+M257</f>
        <v/>
      </c>
      <c r="O257" s="194" t="n"/>
      <c r="P257" s="287" t="n"/>
      <c r="Q257" s="159" t="n"/>
      <c r="R257" s="159" t="n"/>
    </row>
    <row customHeight="1" ht="15" r="258">
      <c r="A258" s="189" t="n"/>
      <c r="B258" s="509" t="inlineStr">
        <is>
          <t>2429-2430</t>
        </is>
      </c>
      <c r="C258" s="210" t="inlineStr">
        <is>
          <t>Синкевич</t>
        </is>
      </c>
      <c r="D258" s="515" t="n">
        <v>2892306618</v>
      </c>
      <c r="E258" s="284" t="inlineStr"/>
      <c r="F258" s="284" t="n">
        <v>15635.9</v>
      </c>
      <c r="G258" s="231">
        <f>E258-F258</f>
        <v/>
      </c>
      <c r="H258" s="534" t="n">
        <v>1</v>
      </c>
      <c r="I258" s="231">
        <f>G258*H258</f>
        <v/>
      </c>
      <c r="J258" s="231" t="n"/>
      <c r="K258" s="185">
        <f>K257</f>
        <v/>
      </c>
      <c r="L258" s="178" t="n"/>
      <c r="M258" s="178">
        <f>(I258+L258)*$W$41</f>
        <v/>
      </c>
      <c r="N258" s="180">
        <f>I258*K258+I258+L258+M258</f>
        <v/>
      </c>
      <c r="O258" s="194" t="n"/>
      <c r="P258" s="295" t="n"/>
      <c r="Q258" s="159" t="n"/>
      <c r="R258" s="159" t="n"/>
    </row>
    <row customHeight="1" ht="15" r="259">
      <c r="A259" s="189" t="n"/>
      <c r="B259" s="509" t="n">
        <v>2405</v>
      </c>
      <c r="C259" s="210" t="inlineStr">
        <is>
          <t>Кривоцюк</t>
        </is>
      </c>
      <c r="D259" s="515" t="n">
        <v>2842707632</v>
      </c>
      <c r="E259" s="284" t="inlineStr"/>
      <c r="F259" s="284" t="n">
        <v>3146.3</v>
      </c>
      <c r="G259" s="231">
        <f>E259-F259</f>
        <v/>
      </c>
      <c r="H259" s="534" t="n">
        <v>1</v>
      </c>
      <c r="I259" s="231">
        <f>G259*H259</f>
        <v/>
      </c>
      <c r="J259" s="231" t="n"/>
      <c r="K259" s="185">
        <f>K258</f>
        <v/>
      </c>
      <c r="L259" s="178" t="n">
        <v>30</v>
      </c>
      <c r="M259" s="178">
        <f>(I259+L259)*$W$41</f>
        <v/>
      </c>
      <c r="N259" s="180">
        <f>I259*K259+I259+L259+M259</f>
        <v/>
      </c>
      <c r="O259" s="194" t="n"/>
      <c r="P259" s="295" t="n"/>
      <c r="Q259" s="159" t="n"/>
      <c r="R259" s="159" t="n"/>
    </row>
    <row customHeight="1" ht="15" r="260">
      <c r="A260" s="189" t="n"/>
      <c r="B260" s="509" t="n">
        <v>2401</v>
      </c>
      <c r="C260" s="210" t="inlineStr">
        <is>
          <t>Смогунов</t>
        </is>
      </c>
      <c r="D260" s="515" t="n">
        <v>2783617352</v>
      </c>
      <c r="E260" s="284" t="inlineStr"/>
      <c r="F260" s="284" t="n">
        <v>10026.9</v>
      </c>
      <c r="G260" s="231">
        <f>E260-F260</f>
        <v/>
      </c>
      <c r="H260" s="534" t="n">
        <v>1</v>
      </c>
      <c r="I260" s="231">
        <f>G260*H260</f>
        <v/>
      </c>
      <c r="J260" s="231" t="n"/>
      <c r="K260" s="185">
        <f>K259</f>
        <v/>
      </c>
      <c r="L260" s="178" t="n">
        <v>2</v>
      </c>
      <c r="M260" s="178">
        <f>(I260+L260)*$W$41</f>
        <v/>
      </c>
      <c r="N260" s="180">
        <f>I260*K260+I260+L260+M260</f>
        <v/>
      </c>
      <c r="O260" s="194" t="n"/>
      <c r="P260" s="295" t="n"/>
      <c r="Q260" s="159" t="n"/>
      <c r="R260" s="159" t="n"/>
    </row>
    <row customHeight="1" ht="15" r="261">
      <c r="A261" s="189" t="n"/>
      <c r="B261" s="509" t="n">
        <v>2424</v>
      </c>
      <c r="C261" s="213" t="inlineStr">
        <is>
          <t>ТИРАС</t>
        </is>
      </c>
      <c r="D261" s="516" t="n">
        <v>13880385</v>
      </c>
      <c r="E261" s="284" t="inlineStr"/>
      <c r="F261" s="284" t="n">
        <v>44981.5</v>
      </c>
      <c r="G261" s="231">
        <f>E261-F261</f>
        <v/>
      </c>
      <c r="H261" s="534" t="n">
        <v>1</v>
      </c>
      <c r="I261" s="231">
        <f>G261*H261</f>
        <v/>
      </c>
      <c r="J261" s="231" t="n"/>
      <c r="K261" s="185">
        <f>K260</f>
        <v/>
      </c>
      <c r="L261" s="178" t="n"/>
      <c r="M261" s="178">
        <f>(I261+L261)*$W$41</f>
        <v/>
      </c>
      <c r="N261" s="180">
        <f>I261*K261+I261+L261+M261</f>
        <v/>
      </c>
      <c r="O261" s="194" t="n"/>
      <c r="P261" s="279" t="n"/>
      <c r="Q261" s="159" t="n"/>
      <c r="R261" s="159" t="n"/>
    </row>
    <row customHeight="1" ht="15" r="262">
      <c r="A262" s="189" t="n"/>
      <c r="B262" s="509" t="inlineStr">
        <is>
          <t>2425-2427</t>
        </is>
      </c>
      <c r="C262" s="213" t="inlineStr">
        <is>
          <t xml:space="preserve">СК Престиж </t>
        </is>
      </c>
      <c r="D262" s="516" t="n">
        <v>14365871</v>
      </c>
      <c r="E262" s="284" t="inlineStr"/>
      <c r="F262" s="284" t="n">
        <v>10344.4</v>
      </c>
      <c r="G262" s="231">
        <f>E262-F262</f>
        <v/>
      </c>
      <c r="H262" s="534" t="n">
        <v>1</v>
      </c>
      <c r="I262" s="231">
        <f>G262*H262</f>
        <v/>
      </c>
      <c r="J262" s="231" t="n"/>
      <c r="K262" s="185">
        <f>K261</f>
        <v/>
      </c>
      <c r="L262" s="178" t="n"/>
      <c r="M262" s="178">
        <f>(I262+L262)*$W$41</f>
        <v/>
      </c>
      <c r="N262" s="180">
        <f>I262*K262+I262+L262+M262</f>
        <v/>
      </c>
      <c r="O262" s="194" t="n"/>
      <c r="P262" s="279" t="n"/>
      <c r="Q262" s="159" t="n"/>
      <c r="R262" s="159" t="n"/>
    </row>
    <row customHeight="1" ht="15" r="263">
      <c r="A263" s="189" t="n"/>
      <c r="B263" s="509" t="n">
        <v>2428</v>
      </c>
      <c r="C263" s="213" t="inlineStr">
        <is>
          <t>Марин Лоджистикс</t>
        </is>
      </c>
      <c r="D263" s="516" t="n">
        <v>43157256</v>
      </c>
      <c r="E263" s="284" t="inlineStr"/>
      <c r="F263" s="284" t="n">
        <v>4907.8</v>
      </c>
      <c r="G263" s="231">
        <f>E263-F263</f>
        <v/>
      </c>
      <c r="H263" s="534" t="n">
        <v>1</v>
      </c>
      <c r="I263" s="231">
        <f>G263*H263</f>
        <v/>
      </c>
      <c r="J263" s="231" t="n"/>
      <c r="K263" s="185">
        <f>K262</f>
        <v/>
      </c>
      <c r="L263" s="178" t="n">
        <v>2</v>
      </c>
      <c r="M263" s="178">
        <f>(I263+L263)*$W$41</f>
        <v/>
      </c>
      <c r="N263" s="180">
        <f>I263*K263+I263+L263+M263</f>
        <v/>
      </c>
      <c r="O263" s="194" t="n"/>
      <c r="P263" s="279" t="n"/>
      <c r="Q263" s="159" t="n"/>
      <c r="R263" s="159" t="n"/>
    </row>
    <row customHeight="1" ht="15" r="264">
      <c r="A264" s="189" t="n"/>
      <c r="B264" s="509" t="n">
        <v>2406</v>
      </c>
      <c r="C264" s="210" t="inlineStr">
        <is>
          <t>Тищенко</t>
        </is>
      </c>
      <c r="D264" s="515" t="n">
        <v>2866908862</v>
      </c>
      <c r="E264" s="284" t="inlineStr"/>
      <c r="F264" s="284" t="n">
        <v>1243.6</v>
      </c>
      <c r="G264" s="231">
        <f>E264-F264</f>
        <v/>
      </c>
      <c r="H264" s="534" t="n">
        <v>1</v>
      </c>
      <c r="I264" s="231">
        <f>G264*H264</f>
        <v/>
      </c>
      <c r="J264" s="231" t="n"/>
      <c r="K264" s="185">
        <f>K263</f>
        <v/>
      </c>
      <c r="L264" s="178" t="n"/>
      <c r="M264" s="178">
        <f>(I264+L264)*$W$41</f>
        <v/>
      </c>
      <c r="N264" s="180">
        <f>I264*K264+I264+L264+M264</f>
        <v/>
      </c>
      <c r="O264" s="194" t="n"/>
      <c r="P264" s="279" t="n"/>
      <c r="Q264" s="159" t="n"/>
      <c r="R264" s="159" t="n"/>
    </row>
    <row customHeight="1" ht="15" r="265">
      <c r="A265" s="189" t="n"/>
      <c r="B265" s="509" t="n">
        <v>2408</v>
      </c>
      <c r="C265" s="210" t="inlineStr">
        <is>
          <t>Калинина</t>
        </is>
      </c>
      <c r="D265" s="515" t="n">
        <v>3118315544</v>
      </c>
      <c r="E265" s="284" t="inlineStr"/>
      <c r="F265" s="284" t="n">
        <v>4381.1</v>
      </c>
      <c r="G265" s="231">
        <f>E265-F265</f>
        <v/>
      </c>
      <c r="H265" s="534" t="n">
        <v>1</v>
      </c>
      <c r="I265" s="231">
        <f>G265*H265</f>
        <v/>
      </c>
      <c r="J265" s="231" t="n"/>
      <c r="K265" s="185">
        <f>K264</f>
        <v/>
      </c>
      <c r="L265" s="178" t="n">
        <v>7</v>
      </c>
      <c r="M265" s="178">
        <f>(I265+L265)*$W$41</f>
        <v/>
      </c>
      <c r="N265" s="180">
        <f>I265*K265+I265+L265+M265</f>
        <v/>
      </c>
      <c r="O265" s="194" t="n"/>
      <c r="P265" s="279" t="n"/>
      <c r="Q265" s="159" t="n"/>
      <c r="R265" s="159" t="n"/>
    </row>
    <row customHeight="1" ht="15" r="266">
      <c r="A266" s="189" t="n"/>
      <c r="B266" s="509" t="n">
        <v>2418</v>
      </c>
      <c r="C266" s="210" t="inlineStr">
        <is>
          <t>Кривоцюк</t>
        </is>
      </c>
      <c r="D266" s="515" t="n">
        <v>2842707632</v>
      </c>
      <c r="E266" s="284" t="inlineStr"/>
      <c r="F266" s="284" t="n">
        <v>8029.4</v>
      </c>
      <c r="G266" s="231">
        <f>E266-F266</f>
        <v/>
      </c>
      <c r="H266" s="534" t="n">
        <v>1</v>
      </c>
      <c r="I266" s="231">
        <f>G266*H266</f>
        <v/>
      </c>
      <c r="J266" s="231" t="n"/>
      <c r="K266" s="185">
        <f>K265</f>
        <v/>
      </c>
      <c r="L266" s="178" t="n"/>
      <c r="M266" s="178">
        <f>(I266+L266)*$W$41</f>
        <v/>
      </c>
      <c r="N266" s="180">
        <f>I266*K266+I266+L266+M266</f>
        <v/>
      </c>
      <c r="O266" s="194" t="n"/>
      <c r="P266" s="319" t="n"/>
      <c r="Q266" s="159" t="n"/>
      <c r="R266" s="159" t="n"/>
    </row>
    <row customHeight="1" ht="15" r="267">
      <c r="A267" s="189" t="n"/>
      <c r="B267" s="509" t="n">
        <v>2420</v>
      </c>
      <c r="C267" s="210" t="inlineStr">
        <is>
          <t>Амерго марин</t>
        </is>
      </c>
      <c r="D267" s="515" t="n">
        <v>43496882</v>
      </c>
      <c r="E267" s="284" t="inlineStr"/>
      <c r="F267" s="284" t="n">
        <v>3903.1</v>
      </c>
      <c r="G267" s="231">
        <f>E267-F267</f>
        <v/>
      </c>
      <c r="H267" s="534" t="n">
        <v>1</v>
      </c>
      <c r="I267" s="231">
        <f>G267*H267</f>
        <v/>
      </c>
      <c r="J267" s="231" t="n"/>
      <c r="K267" s="185">
        <f>K266</f>
        <v/>
      </c>
      <c r="L267" s="178" t="n"/>
      <c r="M267" s="178">
        <f>(I267+L267)*$W$41</f>
        <v/>
      </c>
      <c r="N267" s="180">
        <f>I267*K267+I267+L267+M267</f>
        <v/>
      </c>
      <c r="O267" s="194" t="n"/>
      <c r="P267" s="319" t="n"/>
      <c r="Q267" s="159" t="n"/>
      <c r="R267" s="159" t="n"/>
    </row>
    <row customHeight="1" ht="15" r="268">
      <c r="A268" s="189" t="n"/>
      <c r="B268" s="509" t="n">
        <v>2409</v>
      </c>
      <c r="C268" s="210" t="inlineStr">
        <is>
          <t xml:space="preserve">Лобанов </t>
        </is>
      </c>
      <c r="D268" s="515" t="n">
        <v>2510006838</v>
      </c>
      <c r="E268" s="284" t="inlineStr"/>
      <c r="F268" s="284" t="n">
        <v>6449.7</v>
      </c>
      <c r="G268" s="231">
        <f>E268-F268</f>
        <v/>
      </c>
      <c r="H268" s="534" t="n">
        <v>1</v>
      </c>
      <c r="I268" s="231">
        <f>G268*H268</f>
        <v/>
      </c>
      <c r="J268" s="231" t="n"/>
      <c r="K268" s="185">
        <f>K267</f>
        <v/>
      </c>
      <c r="L268" s="178" t="n"/>
      <c r="M268" s="178">
        <f>(I268+L268)*$W$41</f>
        <v/>
      </c>
      <c r="N268" s="180">
        <f>I268*K268+I268+L268+M268</f>
        <v/>
      </c>
      <c r="O268" s="194" t="n"/>
      <c r="P268" s="319" t="n"/>
      <c r="Q268" s="159" t="n"/>
      <c r="R268" s="159" t="n"/>
    </row>
    <row customHeight="1" ht="15" r="269">
      <c r="A269" s="189" t="n"/>
      <c r="B269" s="509" t="n">
        <v>2410</v>
      </c>
      <c r="C269" s="210" t="inlineStr">
        <is>
          <t>Лаврека</t>
        </is>
      </c>
      <c r="D269" s="515" t="n">
        <v>2830910201</v>
      </c>
      <c r="E269" s="284" t="inlineStr"/>
      <c r="F269" s="284" t="n">
        <v>3765.3</v>
      </c>
      <c r="G269" s="231">
        <f>E269-F269</f>
        <v/>
      </c>
      <c r="H269" s="534" t="n">
        <v>1</v>
      </c>
      <c r="I269" s="231">
        <f>G269*H269</f>
        <v/>
      </c>
      <c r="J269" s="231" t="n"/>
      <c r="K269" s="185">
        <f>K268</f>
        <v/>
      </c>
      <c r="L269" s="178" t="n">
        <v>3</v>
      </c>
      <c r="M269" s="178">
        <f>(I269+L269)*$W$41</f>
        <v/>
      </c>
      <c r="N269" s="180">
        <f>I269*K269+I269+L269+M269</f>
        <v/>
      </c>
      <c r="O269" s="194" t="n"/>
      <c r="P269" s="319" t="n"/>
      <c r="Q269" s="159" t="n"/>
      <c r="R269" s="159" t="n"/>
    </row>
    <row customHeight="1" ht="15" r="270">
      <c r="A270" s="189" t="n"/>
      <c r="B270" s="216" t="n"/>
      <c r="C270" s="262" t="n"/>
      <c r="D270" s="262" t="n"/>
      <c r="E270" s="248" t="inlineStr"/>
      <c r="F270" s="248" t="n"/>
      <c r="G270" s="217" t="n"/>
      <c r="H270" s="216" t="n"/>
      <c r="I270" s="307" t="n"/>
      <c r="J270" s="307" t="n"/>
      <c r="K270" s="217" t="n"/>
      <c r="L270" s="217" t="n"/>
      <c r="M270" s="217" t="n"/>
      <c r="N270" s="224" t="n"/>
      <c r="O270" s="288" t="n"/>
      <c r="P270" s="319" t="n"/>
      <c r="Q270" s="159" t="n"/>
      <c r="R270" s="159" t="n"/>
    </row>
    <row customHeight="1" ht="15" r="271">
      <c r="A271" s="189" t="n"/>
      <c r="B271" s="534" t="n"/>
      <c r="C271" s="192" t="inlineStr">
        <is>
          <t>Потребление арендаторов:</t>
        </is>
      </c>
      <c r="D271" s="192" t="n"/>
      <c r="E271" s="255" t="inlineStr"/>
      <c r="F271" s="255" t="n"/>
      <c r="G271" s="231" t="n"/>
      <c r="H271" s="534" t="n"/>
      <c r="J271" s="255">
        <f>SUM(I257:I269)-I261</f>
        <v/>
      </c>
      <c r="K271" s="178" t="n"/>
      <c r="L271" s="178" t="n"/>
      <c r="M271" s="178" t="n"/>
      <c r="O271" s="194">
        <f>K271*L271+K271</f>
        <v/>
      </c>
      <c r="P271" s="290">
        <f>SUM(I257:I269)</f>
        <v/>
      </c>
      <c r="Q271" s="159" t="n"/>
      <c r="R271" s="159" t="n"/>
    </row>
    <row customHeight="1" ht="15" r="272">
      <c r="A272" s="255" t="n"/>
      <c r="B272" s="534" t="n"/>
      <c r="C272" s="192" t="inlineStr">
        <is>
          <t>Учет 4-й этаж секция Б общий :</t>
        </is>
      </c>
      <c r="D272" s="192" t="n"/>
      <c r="E272" s="362" t="inlineStr"/>
      <c r="F272" s="362" t="n">
        <v>183800.2</v>
      </c>
      <c r="G272" s="253">
        <f>E272-F272</f>
        <v/>
      </c>
      <c r="H272" s="418" t="n">
        <v>1</v>
      </c>
      <c r="J272" s="119">
        <f>G272*H272</f>
        <v/>
      </c>
      <c r="K272" s="198" t="n"/>
      <c r="L272" s="178" t="n"/>
      <c r="M272" s="178" t="n"/>
      <c r="O272" s="194">
        <f>K272*L272+K272</f>
        <v/>
      </c>
      <c r="P272" s="194">
        <f>J272*K272+J272</f>
        <v/>
      </c>
      <c r="Q272" s="200" t="n"/>
      <c r="R272" s="201" t="n"/>
      <c r="S272" s="202" t="n"/>
      <c r="T272" s="427" t="n"/>
      <c r="U272" s="427" t="n"/>
      <c r="V272" s="427" t="n"/>
      <c r="W272" s="427" t="n"/>
      <c r="X272" s="427" t="n"/>
      <c r="Y272" s="427" t="n"/>
    </row>
    <row customHeight="1" ht="15" r="273">
      <c r="A273" s="189" t="n"/>
      <c r="B273" s="534" t="n"/>
      <c r="C273" s="192" t="inlineStr">
        <is>
          <t>Потребление коридора:</t>
        </is>
      </c>
      <c r="D273" s="192" t="n"/>
      <c r="E273" s="255" t="inlineStr"/>
      <c r="F273" s="189" t="n"/>
      <c r="G273" s="231" t="n"/>
      <c r="H273" s="534" t="n"/>
      <c r="J273" s="255">
        <f>J272-J271</f>
        <v/>
      </c>
      <c r="K273" s="178" t="n"/>
      <c r="L273" s="178" t="n"/>
      <c r="M273" s="178" t="n"/>
      <c r="O273" s="194">
        <f>K273*L273+K273</f>
        <v/>
      </c>
      <c r="P273" s="194">
        <f>J273*K273+J273</f>
        <v/>
      </c>
      <c r="Q273" s="159" t="n"/>
      <c r="R273" s="159" t="n"/>
    </row>
    <row customHeight="1" ht="15.75" r="274">
      <c r="A274" s="255" t="n"/>
      <c r="B274" s="534" t="n"/>
      <c r="C274" s="192" t="inlineStr">
        <is>
          <t>Выставляем арендаторам :</t>
        </is>
      </c>
      <c r="D274" s="192" t="n"/>
      <c r="E274" s="197" t="inlineStr"/>
      <c r="F274" s="197" t="n"/>
      <c r="G274" s="231" t="n"/>
      <c r="H274" s="534" t="n"/>
      <c r="I274" s="255" t="n"/>
      <c r="J274" s="255" t="n"/>
      <c r="K274" s="198" t="n"/>
      <c r="L274" s="178" t="n"/>
      <c r="M274" s="178" t="n"/>
      <c r="O274" s="194" t="n"/>
      <c r="P274" s="199">
        <f>SUM(N257:N269)</f>
        <v/>
      </c>
      <c r="Q274" s="200" t="n"/>
      <c r="R274" s="201" t="n"/>
      <c r="S274" s="202" t="n"/>
      <c r="T274" s="427" t="n"/>
      <c r="U274" s="427" t="n"/>
      <c r="V274" s="427" t="n"/>
      <c r="W274" s="427" t="n"/>
      <c r="X274" s="427" t="n"/>
      <c r="Y274" s="427" t="n"/>
    </row>
    <row customHeight="1" ht="15" r="275">
      <c r="A275" s="255" t="n"/>
      <c r="B275" s="534" t="n"/>
      <c r="C275" s="192" t="inlineStr">
        <is>
          <t>Общий итог :</t>
        </is>
      </c>
      <c r="D275" s="192" t="n"/>
      <c r="E275" s="197" t="inlineStr"/>
      <c r="F275" s="197" t="n"/>
      <c r="G275" s="231" t="n"/>
      <c r="H275" s="534" t="n"/>
      <c r="I275" s="255" t="n"/>
      <c r="J275" s="255" t="n"/>
      <c r="K275" s="198" t="n"/>
      <c r="L275" s="178" t="n"/>
      <c r="M275" s="178" t="n"/>
      <c r="O275" s="194" t="n"/>
      <c r="P275" s="194">
        <f>P274-P272</f>
        <v/>
      </c>
      <c r="Q275" s="200" t="n"/>
      <c r="R275" s="201" t="n"/>
      <c r="S275" s="202" t="n"/>
      <c r="T275" s="427" t="n"/>
      <c r="U275" s="427" t="n"/>
      <c r="V275" s="427" t="n"/>
      <c r="W275" s="427" t="n"/>
      <c r="X275" s="427" t="n"/>
      <c r="Y275" s="427" t="n"/>
    </row>
    <row customHeight="1" ht="15" r="276">
      <c r="A276" s="255" t="n"/>
      <c r="B276" s="534" t="n"/>
      <c r="C276" s="192" t="inlineStr">
        <is>
          <t>Общий итог с потерями РЭСа:</t>
        </is>
      </c>
      <c r="D276" s="192" t="n"/>
      <c r="E276" s="197" t="inlineStr"/>
      <c r="F276" s="197" t="n"/>
      <c r="G276" s="231" t="n"/>
      <c r="H276" s="534" t="n"/>
      <c r="I276" s="255" t="n"/>
      <c r="J276" s="255" t="n"/>
      <c r="K276" s="198" t="n"/>
      <c r="L276" s="178" t="n"/>
      <c r="M276" s="178" t="n"/>
      <c r="O276" s="194" t="n"/>
      <c r="P276" s="194">
        <f>P274-(P272*AC25+P272)</f>
        <v/>
      </c>
      <c r="Q276" s="200" t="n"/>
      <c r="R276" s="201" t="n"/>
      <c r="S276" s="202" t="n"/>
      <c r="T276" s="427" t="n"/>
      <c r="U276" s="427" t="n"/>
      <c r="V276" s="427" t="n"/>
      <c r="W276" s="427" t="n"/>
      <c r="X276" s="427" t="n"/>
      <c r="Y276" s="427" t="n"/>
    </row>
    <row customHeight="1" ht="21" r="277">
      <c r="A277" s="536" t="n"/>
      <c r="B277" s="537" t="n"/>
      <c r="C277" s="536" t="n"/>
      <c r="D277" s="536" t="n"/>
      <c r="E277" s="537" t="inlineStr"/>
      <c r="F277" s="537" t="n"/>
      <c r="G277" s="537" t="n"/>
      <c r="H277" s="537" t="n"/>
      <c r="I277" s="537" t="n"/>
      <c r="J277" s="536" t="n"/>
      <c r="K277" s="537" t="n"/>
      <c r="L277" s="537" t="n"/>
      <c r="M277" s="537" t="n"/>
      <c r="N277" s="536" t="n"/>
      <c r="O277" s="536" t="n"/>
      <c r="P277" s="319" t="n"/>
      <c r="Q277" s="159" t="n"/>
      <c r="R277" s="159" t="n"/>
    </row>
    <row customHeight="1" ht="15" r="278">
      <c r="A278" s="203" t="n"/>
      <c r="B278" s="165" t="inlineStr">
        <is>
          <t>корп. 2Б</t>
        </is>
      </c>
      <c r="C278" s="165" t="inlineStr">
        <is>
          <t>5-й этаж</t>
        </is>
      </c>
      <c r="D278" s="166" t="inlineStr">
        <is>
          <t>код ОКПО</t>
        </is>
      </c>
      <c r="E278" s="204" t="inlineStr"/>
      <c r="F278" s="204" t="n"/>
      <c r="G278" s="208" t="n"/>
      <c r="H278" s="164" t="n"/>
      <c r="I278" s="276" t="n"/>
      <c r="J278" s="276" t="n"/>
      <c r="K278" s="292" t="n">
        <v>0.32</v>
      </c>
      <c r="L278" s="206" t="n"/>
      <c r="M278" s="206" t="n"/>
      <c r="N278" s="299" t="n"/>
      <c r="O278" s="300" t="n"/>
      <c r="P278" s="295" t="n"/>
      <c r="Q278" s="159" t="n"/>
      <c r="R278" s="159" t="n"/>
    </row>
    <row customHeight="1" ht="15" r="279">
      <c r="A279" s="189" t="n"/>
      <c r="B279" s="509" t="n">
        <v>2528</v>
      </c>
      <c r="C279" s="212" t="inlineStr">
        <is>
          <t>Кравченко</t>
        </is>
      </c>
      <c r="D279" s="515" t="n">
        <v>3295417184</v>
      </c>
      <c r="E279" s="284" t="inlineStr"/>
      <c r="F279" s="284" t="n">
        <v>3268.4</v>
      </c>
      <c r="G279" s="184">
        <f>E279-F279</f>
        <v/>
      </c>
      <c r="H279" s="534" t="n">
        <v>1</v>
      </c>
      <c r="I279" s="184">
        <f>G279*H279</f>
        <v/>
      </c>
      <c r="J279" s="184" t="n"/>
      <c r="K279" s="185">
        <f>K278</f>
        <v/>
      </c>
      <c r="L279" s="178" t="n">
        <v>5</v>
      </c>
      <c r="M279" s="178">
        <f>(I279+L279)*$W$41</f>
        <v/>
      </c>
      <c r="N279" s="180">
        <f>I279*K279+I279+L279+M279</f>
        <v/>
      </c>
      <c r="O279" s="194" t="n"/>
      <c r="P279" s="279" t="n"/>
      <c r="Q279" s="159" t="n"/>
      <c r="R279" s="159" t="n"/>
    </row>
    <row customHeight="1" ht="15" r="280">
      <c r="A280" s="189" t="n"/>
      <c r="B280" s="509" t="n">
        <v>2526</v>
      </c>
      <c r="C280" s="212" t="inlineStr">
        <is>
          <t>Сигма пивдень</t>
        </is>
      </c>
      <c r="D280" s="515" t="n">
        <v>20990275</v>
      </c>
      <c r="E280" s="284" t="inlineStr"/>
      <c r="F280" s="284" t="n"/>
      <c r="G280" s="184">
        <f>E280-F280</f>
        <v/>
      </c>
      <c r="H280" s="534" t="n">
        <v>1</v>
      </c>
      <c r="I280" s="184">
        <f>G280*H280</f>
        <v/>
      </c>
      <c r="J280" s="184" t="n"/>
      <c r="K280" s="185">
        <f>K279</f>
        <v/>
      </c>
      <c r="L280" s="178" t="n"/>
      <c r="M280" s="178">
        <f>(I280+L280)*$W$41</f>
        <v/>
      </c>
      <c r="N280" s="180" t="n">
        <v>4</v>
      </c>
      <c r="O280" s="194" t="n"/>
      <c r="P280" s="279" t="n"/>
      <c r="Q280" s="159" t="n"/>
      <c r="R280" s="159" t="n"/>
    </row>
    <row customHeight="1" ht="15" r="281">
      <c r="A281" s="189" t="n"/>
      <c r="B281" s="509" t="n">
        <v>2527</v>
      </c>
      <c r="C281" s="212" t="inlineStr">
        <is>
          <t>Биоленд</t>
        </is>
      </c>
      <c r="D281" s="515" t="n">
        <v>37332227</v>
      </c>
      <c r="E281" s="284" t="inlineStr"/>
      <c r="F281" s="284" t="n">
        <v>2629.9</v>
      </c>
      <c r="G281" s="184">
        <f>E281-F281</f>
        <v/>
      </c>
      <c r="H281" s="534" t="n">
        <v>1</v>
      </c>
      <c r="I281" s="184">
        <f>G281*H281</f>
        <v/>
      </c>
      <c r="J281" s="184" t="n"/>
      <c r="K281" s="185">
        <f>K280</f>
        <v/>
      </c>
      <c r="L281" s="178" t="n">
        <v>10</v>
      </c>
      <c r="M281" s="178">
        <f>(I281+L281)*$W$41</f>
        <v/>
      </c>
      <c r="N281" s="180">
        <f>I281*K281+I281+L281+M281</f>
        <v/>
      </c>
      <c r="O281" s="194" t="n"/>
      <c r="P281" s="279" t="n"/>
      <c r="Q281" s="159" t="n"/>
      <c r="R281" s="159" t="n"/>
    </row>
    <row customHeight="1" ht="15" r="282">
      <c r="A282" s="189" t="n"/>
      <c r="B282" s="509" t="n">
        <v>2512</v>
      </c>
      <c r="C282" s="314" t="inlineStr">
        <is>
          <t>Югагромаркет</t>
        </is>
      </c>
      <c r="D282" s="516" t="n">
        <v>40016519</v>
      </c>
      <c r="E282" s="284" t="inlineStr"/>
      <c r="F282" s="284" t="n">
        <v>9412.700000000001</v>
      </c>
      <c r="G282" s="184">
        <f>E282-F282</f>
        <v/>
      </c>
      <c r="H282" s="534" t="n">
        <v>1</v>
      </c>
      <c r="I282" s="184">
        <f>G282*H282</f>
        <v/>
      </c>
      <c r="J282" s="184" t="n"/>
      <c r="K282" s="185">
        <f>K281</f>
        <v/>
      </c>
      <c r="L282" s="178" t="n"/>
      <c r="M282" s="178">
        <f>(I282+L282)*$W$41</f>
        <v/>
      </c>
      <c r="N282" s="180">
        <f>I282*K282+I282+L282+M282</f>
        <v/>
      </c>
      <c r="O282" s="194" t="n"/>
      <c r="P282" s="279" t="n"/>
      <c r="Q282" s="159" t="n"/>
      <c r="R282" s="159" t="n"/>
    </row>
    <row customHeight="1" ht="15" r="283">
      <c r="A283" s="189" t="n"/>
      <c r="B283" s="509" t="n">
        <v>2521</v>
      </c>
      <c r="C283" s="210" t="inlineStr">
        <is>
          <t xml:space="preserve">Ковыркин </t>
        </is>
      </c>
      <c r="D283" s="515" t="n">
        <v>2040915973</v>
      </c>
      <c r="E283" s="284" t="inlineStr"/>
      <c r="F283" s="284" t="n">
        <v>19782.7</v>
      </c>
      <c r="G283" s="231">
        <f>E283-F283</f>
        <v/>
      </c>
      <c r="H283" s="534" t="n">
        <v>1</v>
      </c>
      <c r="I283" s="184">
        <f>G283*H283*0.2228</f>
        <v/>
      </c>
      <c r="J283" s="184" t="n"/>
      <c r="K283" s="185">
        <f>K282</f>
        <v/>
      </c>
      <c r="L283" s="178" t="n"/>
      <c r="M283" s="178">
        <f>(I283+L283)*$W$41</f>
        <v/>
      </c>
      <c r="N283" s="180">
        <f>I283*K283+I283+L283+M283</f>
        <v/>
      </c>
      <c r="O283" s="194" t="n"/>
      <c r="P283" s="320" t="n"/>
      <c r="Q283" s="159" t="n"/>
      <c r="R283" s="159" t="n"/>
    </row>
    <row customHeight="1" ht="15" r="284">
      <c r="A284" s="189" t="n"/>
      <c r="B284" s="509" t="n">
        <v>2521</v>
      </c>
      <c r="C284" s="210" t="inlineStr">
        <is>
          <t>Кора</t>
        </is>
      </c>
      <c r="D284" s="515" t="n">
        <v>31147171</v>
      </c>
      <c r="E284" s="284" t="inlineStr"/>
      <c r="F284" s="284" t="n"/>
      <c r="G284" s="184" t="n"/>
      <c r="H284" s="534" t="n"/>
      <c r="I284" s="184">
        <f>G283*0.7772</f>
        <v/>
      </c>
      <c r="J284" s="184" t="n"/>
      <c r="K284" s="185">
        <f>K283</f>
        <v/>
      </c>
      <c r="L284" s="178" t="n"/>
      <c r="M284" s="178">
        <f>(I284+L284)*$W$41</f>
        <v/>
      </c>
      <c r="N284" s="180">
        <f>I284*K284+I284+L284+M284</f>
        <v/>
      </c>
      <c r="O284" s="194" t="n"/>
      <c r="P284" s="279" t="n"/>
      <c r="Q284" s="159" t="n"/>
      <c r="R284" s="159" t="n"/>
    </row>
    <row customHeight="1" ht="15" r="285">
      <c r="A285" s="189" t="n"/>
      <c r="B285" s="509" t="n">
        <v>2524</v>
      </c>
      <c r="C285" s="210" t="n"/>
      <c r="D285" s="515" t="n"/>
      <c r="E285" s="284" t="inlineStr"/>
      <c r="F285" s="284" t="n">
        <v>4525.6</v>
      </c>
      <c r="G285" s="184">
        <f>E285-F285</f>
        <v/>
      </c>
      <c r="H285" s="534" t="n">
        <v>1</v>
      </c>
      <c r="I285" s="184">
        <f>G285*H285</f>
        <v/>
      </c>
      <c r="J285" s="184" t="n"/>
      <c r="K285" s="185">
        <f>K284</f>
        <v/>
      </c>
      <c r="L285" s="178" t="n"/>
      <c r="M285" s="178">
        <f>(I285+L285)*$W$41</f>
        <v/>
      </c>
      <c r="N285" s="180">
        <f>I285*K285+I285+L285+M285</f>
        <v/>
      </c>
      <c r="O285" s="194" t="n"/>
      <c r="P285" s="279" t="n"/>
      <c r="Q285" s="159" t="n"/>
      <c r="R285" s="159" t="n"/>
    </row>
    <row customHeight="1" ht="15" r="286">
      <c r="A286" s="189" t="n"/>
      <c r="B286" s="509" t="n">
        <v>2522</v>
      </c>
      <c r="C286" s="210" t="inlineStr">
        <is>
          <t>Геоморас</t>
        </is>
      </c>
      <c r="D286" s="515" t="n">
        <v>38111183</v>
      </c>
      <c r="E286" s="284" t="inlineStr"/>
      <c r="F286" s="284" t="n">
        <v>7129.8</v>
      </c>
      <c r="G286" s="184">
        <f>E286-F286</f>
        <v/>
      </c>
      <c r="H286" s="534" t="n">
        <v>1</v>
      </c>
      <c r="I286" s="184">
        <f>G286*H286</f>
        <v/>
      </c>
      <c r="J286" s="184" t="n"/>
      <c r="K286" s="185">
        <f>K285</f>
        <v/>
      </c>
      <c r="L286" s="178" t="n"/>
      <c r="M286" s="178">
        <f>(I286+L286)*$W$41</f>
        <v/>
      </c>
      <c r="N286" s="180">
        <f>I286*K286+I286+L286+M286</f>
        <v/>
      </c>
      <c r="O286" s="194" t="n"/>
      <c r="P286" s="279" t="n"/>
      <c r="Q286" s="159" t="n"/>
      <c r="R286" s="159" t="n"/>
    </row>
    <row customHeight="1" ht="15" r="287">
      <c r="A287" s="189" t="n"/>
      <c r="B287" s="509" t="n">
        <v>2501</v>
      </c>
      <c r="C287" s="210" t="inlineStr">
        <is>
          <t>Партнерство АО</t>
        </is>
      </c>
      <c r="D287" s="515" t="n">
        <v>39791674</v>
      </c>
      <c r="E287" s="284" t="inlineStr"/>
      <c r="F287" s="284" t="n">
        <v>628.7</v>
      </c>
      <c r="G287" s="184">
        <f>E287-F287</f>
        <v/>
      </c>
      <c r="H287" s="534" t="n">
        <v>1</v>
      </c>
      <c r="I287" s="184">
        <f>G287*H287</f>
        <v/>
      </c>
      <c r="J287" s="184" t="n"/>
      <c r="K287" s="185">
        <f>K286</f>
        <v/>
      </c>
      <c r="L287" s="178" t="n"/>
      <c r="M287" s="178">
        <f>(I287+L287)*$W$41</f>
        <v/>
      </c>
      <c r="N287" s="180">
        <f>I287*K287+I287+L287+M287</f>
        <v/>
      </c>
      <c r="O287" s="194" t="n"/>
      <c r="P287" s="279" t="n"/>
      <c r="Q287" s="159" t="n"/>
      <c r="R287" s="159" t="n"/>
    </row>
    <row customHeight="1" ht="15" r="288">
      <c r="A288" s="189" t="n"/>
      <c r="B288" s="509" t="n">
        <v>2503</v>
      </c>
      <c r="C288" s="210" t="inlineStr">
        <is>
          <t>Горелова</t>
        </is>
      </c>
      <c r="D288" s="515" t="n">
        <v>3438502721</v>
      </c>
      <c r="E288" s="284" t="inlineStr"/>
      <c r="F288" s="284" t="n">
        <v>7245.6</v>
      </c>
      <c r="G288" s="184">
        <f>E288-F288</f>
        <v/>
      </c>
      <c r="H288" s="534" t="n">
        <v>1</v>
      </c>
      <c r="I288" s="184">
        <f>G288*H288</f>
        <v/>
      </c>
      <c r="J288" s="184" t="n"/>
      <c r="K288" s="185">
        <f>K287</f>
        <v/>
      </c>
      <c r="L288" s="178" t="n"/>
      <c r="M288" s="178">
        <f>(I288+L288)*$W$41</f>
        <v/>
      </c>
      <c r="N288" s="180">
        <f>I288*K288+I288+L288+M288</f>
        <v/>
      </c>
      <c r="O288" s="194" t="n"/>
      <c r="P288" s="279" t="n"/>
      <c r="Q288" s="159" t="n"/>
      <c r="R288" s="159" t="n"/>
    </row>
    <row customHeight="1" ht="15" r="289">
      <c r="A289" s="189" t="n"/>
      <c r="B289" s="509" t="n">
        <v>2504</v>
      </c>
      <c r="C289" s="210" t="inlineStr">
        <is>
          <t>Доскевич</t>
        </is>
      </c>
      <c r="D289" s="515" t="n">
        <v>3272511157</v>
      </c>
      <c r="E289" s="284" t="inlineStr"/>
      <c r="F289" s="284" t="n">
        <v>7273.7</v>
      </c>
      <c r="G289" s="184">
        <f>E289-F289</f>
        <v/>
      </c>
      <c r="H289" s="534" t="n">
        <v>1</v>
      </c>
      <c r="I289" s="184">
        <f>G289*H289</f>
        <v/>
      </c>
      <c r="J289" s="184" t="n"/>
      <c r="K289" s="185">
        <f>K288</f>
        <v/>
      </c>
      <c r="L289" s="178" t="n"/>
      <c r="M289" s="178">
        <f>(I289+L289)*$W$41</f>
        <v/>
      </c>
      <c r="N289" s="180">
        <f>I289*K289+I289+L289+M289</f>
        <v/>
      </c>
      <c r="O289" s="194" t="n"/>
      <c r="P289" s="279" t="n"/>
      <c r="Q289" s="159" t="n"/>
      <c r="R289" s="159" t="n"/>
    </row>
    <row customHeight="1" ht="15" r="290">
      <c r="A290" s="189" t="n"/>
      <c r="B290" s="509" t="n">
        <v>2505</v>
      </c>
      <c r="C290" s="210" t="inlineStr">
        <is>
          <t>Доскевич ФЛП</t>
        </is>
      </c>
      <c r="D290" s="515" t="n">
        <v>3272511157</v>
      </c>
      <c r="E290" s="284" t="inlineStr"/>
      <c r="F290" s="284" t="n">
        <v>5380</v>
      </c>
      <c r="G290" s="184">
        <f>E290-F290</f>
        <v/>
      </c>
      <c r="H290" s="534" t="n">
        <v>1</v>
      </c>
      <c r="I290" s="184">
        <f>G290*H290</f>
        <v/>
      </c>
      <c r="J290" s="184" t="n"/>
      <c r="K290" s="185">
        <f>K289</f>
        <v/>
      </c>
      <c r="L290" s="178" t="n"/>
      <c r="M290" s="178">
        <f>(I290+L290)*$W$41</f>
        <v/>
      </c>
      <c r="N290" s="180">
        <f>I290*K290+I290+L290+M290</f>
        <v/>
      </c>
      <c r="O290" s="194" t="n"/>
      <c r="P290" s="279" t="n"/>
      <c r="Q290" s="159" t="n"/>
      <c r="R290" s="159" t="n"/>
    </row>
    <row customHeight="1" ht="15" r="291">
      <c r="A291" s="189" t="n"/>
      <c r="B291" s="509" t="inlineStr">
        <is>
          <t>2525/1</t>
        </is>
      </c>
      <c r="C291" s="210" t="n"/>
      <c r="D291" s="515" t="n"/>
      <c r="E291" s="284" t="inlineStr"/>
      <c r="F291" s="284" t="n">
        <v>1711.1</v>
      </c>
      <c r="G291" s="184">
        <f>E291-F291</f>
        <v/>
      </c>
      <c r="H291" s="534" t="n">
        <v>1</v>
      </c>
      <c r="I291" s="184">
        <f>G291*H291</f>
        <v/>
      </c>
      <c r="J291" s="184" t="n"/>
      <c r="K291" s="185">
        <f>K290</f>
        <v/>
      </c>
      <c r="L291" s="178" t="n"/>
      <c r="M291" s="178">
        <f>(I291+L291)*$W$41</f>
        <v/>
      </c>
      <c r="N291" s="180">
        <f>I291*K291+I291+L291+M291</f>
        <v/>
      </c>
      <c r="O291" s="194" t="n"/>
      <c r="P291" s="279" t="n"/>
      <c r="Q291" s="159" t="n"/>
      <c r="R291" s="159" t="n"/>
    </row>
    <row customHeight="1" ht="15" r="292">
      <c r="A292" s="189" t="n"/>
      <c r="B292" s="509" t="inlineStr">
        <is>
          <t>2525/2</t>
        </is>
      </c>
      <c r="C292" s="210" t="n"/>
      <c r="D292" s="515" t="n"/>
      <c r="E292" s="284" t="inlineStr"/>
      <c r="F292" s="284" t="n">
        <v>4063.2</v>
      </c>
      <c r="G292" s="184">
        <f>E292-F292</f>
        <v/>
      </c>
      <c r="H292" s="534" t="n">
        <v>1</v>
      </c>
      <c r="I292" s="184">
        <f>G292*H292</f>
        <v/>
      </c>
      <c r="J292" s="184" t="n"/>
      <c r="K292" s="185">
        <f>K291</f>
        <v/>
      </c>
      <c r="L292" s="178" t="n"/>
      <c r="M292" s="178">
        <f>(I292+L292)*$W$41</f>
        <v/>
      </c>
      <c r="N292" s="180">
        <f>I292*K292+I292+L292+M292</f>
        <v/>
      </c>
      <c r="O292" s="194" t="n"/>
      <c r="P292" s="279" t="n"/>
      <c r="Q292" s="159" t="n"/>
      <c r="R292" s="159" t="n"/>
    </row>
    <row customHeight="1" ht="15" r="293">
      <c r="A293" s="189" t="n"/>
      <c r="B293" s="509" t="inlineStr">
        <is>
          <t>2525/3</t>
        </is>
      </c>
      <c r="C293" s="210" t="n"/>
      <c r="D293" s="515" t="n"/>
      <c r="E293" s="284" t="inlineStr"/>
      <c r="F293" s="284" t="n">
        <v>1589</v>
      </c>
      <c r="G293" s="184">
        <f>E293-F293</f>
        <v/>
      </c>
      <c r="H293" s="534" t="n">
        <v>1</v>
      </c>
      <c r="I293" s="184">
        <f>G293*H293</f>
        <v/>
      </c>
      <c r="J293" s="184" t="n"/>
      <c r="K293" s="185">
        <f>K292</f>
        <v/>
      </c>
      <c r="L293" s="178" t="n"/>
      <c r="M293" s="178">
        <f>(I293+L293)*$W$41</f>
        <v/>
      </c>
      <c r="N293" s="180" t="n"/>
      <c r="O293" s="194" t="n"/>
      <c r="P293" s="279" t="n"/>
      <c r="Q293" s="159" t="n"/>
      <c r="R293" s="159" t="n"/>
    </row>
    <row customHeight="1" ht="15" r="294">
      <c r="A294" s="189" t="n"/>
      <c r="B294" s="509" t="inlineStr">
        <is>
          <t>2519-2520</t>
        </is>
      </c>
      <c r="C294" s="210" t="inlineStr">
        <is>
          <t>Ройко</t>
        </is>
      </c>
      <c r="D294" s="515" t="n">
        <v>3251312305</v>
      </c>
      <c r="E294" s="284" t="inlineStr"/>
      <c r="F294" s="284" t="n">
        <v>1557.7</v>
      </c>
      <c r="G294" s="184">
        <f>E294-F294</f>
        <v/>
      </c>
      <c r="H294" s="534" t="n">
        <v>1</v>
      </c>
      <c r="I294" s="184">
        <f>G294*H294</f>
        <v/>
      </c>
      <c r="J294" s="184" t="n"/>
      <c r="K294" s="185">
        <f>K293</f>
        <v/>
      </c>
      <c r="L294" s="178" t="n"/>
      <c r="M294" s="178">
        <f>(I294+L294)*$W$41</f>
        <v/>
      </c>
      <c r="N294" s="180">
        <f>I294*K294+I294+L294+M294</f>
        <v/>
      </c>
      <c r="O294" s="194" t="n"/>
      <c r="P294" s="279" t="n"/>
      <c r="Q294" s="159" t="n"/>
      <c r="R294" s="159" t="n"/>
    </row>
    <row customHeight="1" ht="15" r="295">
      <c r="A295" s="189" t="n"/>
      <c r="B295" s="509" t="n">
        <v>2511</v>
      </c>
      <c r="C295" s="210" t="inlineStr">
        <is>
          <t>Югсвет</t>
        </is>
      </c>
      <c r="D295" s="515" t="n">
        <v>39115503</v>
      </c>
      <c r="E295" s="284" t="inlineStr"/>
      <c r="F295" s="284" t="n">
        <v>16053.6</v>
      </c>
      <c r="G295" s="184">
        <f>E295-F295</f>
        <v/>
      </c>
      <c r="H295" s="534" t="n">
        <v>1</v>
      </c>
      <c r="I295" s="321">
        <f>G295*H295</f>
        <v/>
      </c>
      <c r="J295" s="321" t="n"/>
      <c r="K295" s="185">
        <f>K294</f>
        <v/>
      </c>
      <c r="L295" s="178" t="n">
        <v>-50</v>
      </c>
      <c r="M295" s="178">
        <f>(I295+L295)*$W$41</f>
        <v/>
      </c>
      <c r="N295" s="180">
        <f>I295*K295+I295+L295+M295</f>
        <v/>
      </c>
      <c r="O295" s="194" t="n"/>
      <c r="P295" s="279" t="n"/>
      <c r="Q295" s="159" t="n"/>
      <c r="R295" s="159" t="n"/>
    </row>
    <row customHeight="1" ht="15" r="296">
      <c r="A296" s="189" t="n"/>
      <c r="B296" s="509" t="n">
        <v>2511</v>
      </c>
      <c r="C296" s="210" t="inlineStr">
        <is>
          <t>Лайт системс</t>
        </is>
      </c>
      <c r="D296" s="515" t="n">
        <v>41111817</v>
      </c>
      <c r="E296" s="284" t="inlineStr"/>
      <c r="F296" s="284" t="n"/>
      <c r="G296" s="184">
        <f>E296-F296</f>
        <v/>
      </c>
      <c r="H296" s="534" t="n">
        <v>1</v>
      </c>
      <c r="I296" s="321">
        <f>E296-F296</f>
        <v/>
      </c>
      <c r="J296" s="321" t="n"/>
      <c r="K296" s="185">
        <f>K294</f>
        <v/>
      </c>
      <c r="L296" s="178" t="n">
        <v>50</v>
      </c>
      <c r="M296" s="178">
        <f>(I296+L296)*$W$41</f>
        <v/>
      </c>
      <c r="N296" s="180">
        <f>I296*K296+I296+L296+M296</f>
        <v/>
      </c>
      <c r="O296" s="194" t="n"/>
      <c r="P296" s="279" t="n"/>
      <c r="Q296" s="159" t="n"/>
      <c r="R296" s="159" t="n"/>
    </row>
    <row customHeight="1" ht="15" r="297">
      <c r="A297" s="181" t="n"/>
      <c r="B297" s="216" t="n"/>
      <c r="C297" s="262" t="n"/>
      <c r="D297" s="262" t="n"/>
      <c r="E297" s="248" t="inlineStr"/>
      <c r="F297" s="248" t="n"/>
      <c r="G297" s="223" t="n"/>
      <c r="H297" s="216" t="n"/>
      <c r="I297" s="322" t="n"/>
      <c r="J297" s="322" t="n"/>
      <c r="K297" s="217" t="n"/>
      <c r="L297" s="217" t="n"/>
      <c r="M297" s="217" t="n"/>
      <c r="N297" s="224" t="n"/>
      <c r="O297" s="288" t="n"/>
      <c r="P297" s="279" t="n"/>
      <c r="Q297" s="159" t="n"/>
      <c r="R297" s="159" t="n"/>
    </row>
    <row customHeight="1" ht="15" r="298">
      <c r="A298" s="189" t="n"/>
      <c r="B298" s="534" t="n"/>
      <c r="C298" s="192" t="inlineStr">
        <is>
          <t>Потребление арендаторов:</t>
        </is>
      </c>
      <c r="D298" s="192" t="n"/>
      <c r="E298" s="255" t="inlineStr"/>
      <c r="F298" s="255" t="n"/>
      <c r="G298" s="231" t="n"/>
      <c r="H298" s="534" t="n"/>
      <c r="J298" s="255">
        <f>SUM(I279:I296)</f>
        <v/>
      </c>
      <c r="K298" s="178" t="n"/>
      <c r="L298" s="178" t="n"/>
      <c r="M298" s="178" t="n"/>
      <c r="O298" s="194">
        <f>K298*L298+K298</f>
        <v/>
      </c>
      <c r="P298" s="290">
        <f>SUM(I279:I296)</f>
        <v/>
      </c>
      <c r="Q298" s="159" t="n"/>
      <c r="R298" s="159" t="n"/>
    </row>
    <row customHeight="1" ht="15" r="299">
      <c r="A299" s="255" t="n"/>
      <c r="B299" s="534" t="n"/>
      <c r="C299" s="192" t="inlineStr">
        <is>
          <t>Учет 5-й этаж секция Б общий Учет 1</t>
        </is>
      </c>
      <c r="D299" s="192" t="n"/>
      <c r="E299" s="362" t="inlineStr"/>
      <c r="F299" s="362" t="n">
        <v>108658.4</v>
      </c>
      <c r="G299" s="253">
        <f>E299-F299</f>
        <v/>
      </c>
      <c r="H299" s="418" t="n">
        <v>1</v>
      </c>
      <c r="J299" s="119">
        <f>G299*H299</f>
        <v/>
      </c>
      <c r="K299" s="198" t="n"/>
      <c r="L299" s="178" t="n"/>
      <c r="M299" s="178" t="n"/>
      <c r="O299" s="194">
        <f>K299*L299+K299</f>
        <v/>
      </c>
      <c r="P299" s="194">
        <f>J299*K299+J299</f>
        <v/>
      </c>
      <c r="Q299" s="200" t="n"/>
      <c r="R299" s="201" t="n"/>
      <c r="S299" s="202" t="n"/>
      <c r="T299" s="427" t="n"/>
      <c r="U299" s="427" t="n"/>
      <c r="V299" s="427" t="n"/>
      <c r="W299" s="427" t="n"/>
      <c r="X299" s="427" t="n"/>
      <c r="Y299" s="427" t="n"/>
    </row>
    <row customHeight="1" ht="15" r="300">
      <c r="A300" s="255" t="n"/>
      <c r="B300" s="534" t="n"/>
      <c r="C300" s="192" t="inlineStr">
        <is>
          <t>Учет 5-й этаж секция Б общий Учет 2</t>
        </is>
      </c>
      <c r="D300" s="192" t="n"/>
      <c r="E300" s="362" t="inlineStr"/>
      <c r="F300" s="362" t="n">
        <v>34297.1</v>
      </c>
      <c r="G300" s="253">
        <f>E300-F300</f>
        <v/>
      </c>
      <c r="H300" s="418" t="n">
        <v>1</v>
      </c>
      <c r="J300" s="119">
        <f>G300*H300</f>
        <v/>
      </c>
      <c r="K300" s="198" t="n"/>
      <c r="L300" s="178" t="n"/>
      <c r="M300" s="178" t="n"/>
      <c r="O300" s="194">
        <f>K300*L300+K300</f>
        <v/>
      </c>
      <c r="P300" s="194">
        <f>J300*K300+J300</f>
        <v/>
      </c>
      <c r="Q300" s="200" t="n"/>
      <c r="R300" s="201" t="n"/>
      <c r="S300" s="202" t="n"/>
      <c r="T300" s="427" t="n"/>
      <c r="U300" s="427" t="n"/>
      <c r="V300" s="427" t="n"/>
      <c r="W300" s="427" t="n"/>
      <c r="X300" s="427" t="n"/>
      <c r="Y300" s="427" t="n"/>
    </row>
    <row customHeight="1" ht="15" r="301">
      <c r="A301" s="255" t="n"/>
      <c r="B301" s="534" t="n"/>
      <c r="C301" s="192" t="inlineStr">
        <is>
          <t>Общее потребление Учет1+Учет2</t>
        </is>
      </c>
      <c r="D301" s="192" t="n"/>
      <c r="E301" s="362" t="inlineStr"/>
      <c r="F301" s="362" t="n"/>
      <c r="G301" s="253">
        <f>G299+G300</f>
        <v/>
      </c>
      <c r="H301" s="418" t="n"/>
      <c r="J301" s="119">
        <f>J299+J300</f>
        <v/>
      </c>
      <c r="K301" s="198" t="n"/>
      <c r="L301" s="178" t="n"/>
      <c r="M301" s="178" t="n"/>
      <c r="O301" s="194">
        <f>K301*L301+K301</f>
        <v/>
      </c>
      <c r="P301" s="194">
        <f>J301*K301+J301</f>
        <v/>
      </c>
      <c r="Q301" s="200" t="n"/>
      <c r="R301" s="201" t="n"/>
      <c r="S301" s="202" t="n"/>
      <c r="T301" s="427" t="n"/>
      <c r="U301" s="427" t="n"/>
      <c r="V301" s="427" t="n"/>
      <c r="W301" s="427" t="n"/>
      <c r="X301" s="427" t="n"/>
      <c r="Y301" s="427" t="n"/>
    </row>
    <row customHeight="1" ht="15" r="302">
      <c r="A302" s="189" t="n"/>
      <c r="B302" s="534" t="n"/>
      <c r="C302" s="192" t="inlineStr">
        <is>
          <t>Потребление коридора:</t>
        </is>
      </c>
      <c r="D302" s="192" t="n"/>
      <c r="E302" s="255" t="inlineStr"/>
      <c r="F302" s="189" t="n"/>
      <c r="G302" s="231" t="n"/>
      <c r="H302" s="534" t="n"/>
      <c r="J302" s="255">
        <f>J301-J298</f>
        <v/>
      </c>
      <c r="K302" s="178" t="n"/>
      <c r="L302" s="178" t="n"/>
      <c r="M302" s="178" t="n"/>
      <c r="O302" s="194">
        <f>K302*L302+K302</f>
        <v/>
      </c>
      <c r="P302" s="194">
        <f>J302*K302+J302</f>
        <v/>
      </c>
      <c r="Q302" s="159" t="n"/>
      <c r="R302" s="159" t="n"/>
    </row>
    <row customHeight="1" ht="15.75" r="303">
      <c r="A303" s="255" t="n"/>
      <c r="B303" s="534" t="n"/>
      <c r="C303" s="192" t="inlineStr">
        <is>
          <t>Выставляем арендаторам :</t>
        </is>
      </c>
      <c r="D303" s="192" t="n"/>
      <c r="E303" s="197" t="inlineStr"/>
      <c r="F303" s="197" t="n"/>
      <c r="G303" s="231" t="n"/>
      <c r="H303" s="534" t="n"/>
      <c r="I303" s="255" t="n"/>
      <c r="J303" s="255" t="n"/>
      <c r="K303" s="198" t="n"/>
      <c r="L303" s="178" t="n"/>
      <c r="M303" s="178" t="n"/>
      <c r="O303" s="194" t="n"/>
      <c r="P303" s="199">
        <f>SUM(N279:N296)</f>
        <v/>
      </c>
      <c r="Q303" s="200" t="n"/>
      <c r="R303" s="201" t="n"/>
      <c r="S303" s="202" t="n"/>
      <c r="T303" s="427" t="n"/>
      <c r="U303" s="427" t="n"/>
      <c r="V303" s="427" t="n"/>
      <c r="W303" s="427" t="n"/>
      <c r="X303" s="427" t="n"/>
      <c r="Y303" s="427" t="n"/>
    </row>
    <row customHeight="1" ht="15" r="304">
      <c r="A304" s="255" t="n"/>
      <c r="B304" s="534" t="n"/>
      <c r="C304" s="192" t="inlineStr">
        <is>
          <t>Общий итог :</t>
        </is>
      </c>
      <c r="D304" s="192" t="n"/>
      <c r="E304" s="197" t="inlineStr"/>
      <c r="F304" s="197" t="n"/>
      <c r="G304" s="231" t="n"/>
      <c r="H304" s="534" t="n"/>
      <c r="I304" s="255" t="n"/>
      <c r="J304" s="255" t="n"/>
      <c r="K304" s="198" t="n"/>
      <c r="L304" s="178" t="n"/>
      <c r="M304" s="178" t="n"/>
      <c r="O304" s="194" t="n"/>
      <c r="P304" s="194">
        <f>P303-P301</f>
        <v/>
      </c>
      <c r="Q304" s="200" t="n"/>
      <c r="R304" s="201" t="n"/>
      <c r="S304" s="202" t="n"/>
      <c r="T304" s="427" t="n"/>
      <c r="U304" s="427" t="n"/>
      <c r="V304" s="427" t="n"/>
      <c r="W304" s="427" t="n"/>
      <c r="X304" s="427" t="n"/>
      <c r="Y304" s="427" t="n"/>
    </row>
    <row customHeight="1" ht="15" r="305">
      <c r="A305" s="255" t="n"/>
      <c r="B305" s="534" t="n"/>
      <c r="C305" s="192" t="inlineStr">
        <is>
          <t>Общий итог с потерями РЭСа:</t>
        </is>
      </c>
      <c r="D305" s="192" t="n"/>
      <c r="E305" s="197" t="inlineStr"/>
      <c r="F305" s="197" t="n"/>
      <c r="G305" s="231" t="n"/>
      <c r="H305" s="534" t="n"/>
      <c r="I305" s="255" t="n"/>
      <c r="J305" s="255" t="n"/>
      <c r="K305" s="198" t="n"/>
      <c r="L305" s="178" t="n"/>
      <c r="M305" s="178" t="n"/>
      <c r="O305" s="194" t="n"/>
      <c r="P305" s="194">
        <f>P303-(P301*AC25+P301)</f>
        <v/>
      </c>
      <c r="Q305" s="200" t="n"/>
      <c r="R305" s="201" t="n"/>
      <c r="S305" s="202" t="n"/>
      <c r="T305" s="427" t="n"/>
      <c r="U305" s="427" t="n"/>
      <c r="V305" s="427" t="n"/>
      <c r="W305" s="427" t="n"/>
      <c r="X305" s="427" t="n"/>
      <c r="Y305" s="427" t="n"/>
    </row>
    <row customHeight="1" ht="16.5" r="306">
      <c r="A306" s="536" t="n"/>
      <c r="B306" s="537" t="n"/>
      <c r="C306" s="536" t="n"/>
      <c r="D306" s="536" t="n"/>
      <c r="E306" s="537" t="inlineStr"/>
      <c r="F306" s="537" t="n"/>
      <c r="G306" s="537" t="n"/>
      <c r="H306" s="537" t="n"/>
      <c r="I306" s="537" t="n"/>
      <c r="J306" s="536" t="n"/>
      <c r="K306" s="537" t="n"/>
      <c r="L306" s="537" t="n"/>
      <c r="M306" s="537" t="n"/>
      <c r="N306" s="536" t="n"/>
      <c r="O306" s="536" t="n"/>
      <c r="P306" s="279" t="n"/>
      <c r="Q306" s="159" t="n"/>
      <c r="R306" s="159" t="n"/>
    </row>
    <row customHeight="1" ht="15" r="307">
      <c r="A307" s="167" t="n"/>
      <c r="B307" s="323" t="inlineStr">
        <is>
          <t>корп. 2Б</t>
        </is>
      </c>
      <c r="C307" s="165" t="inlineStr">
        <is>
          <t>6-й этаж</t>
        </is>
      </c>
      <c r="D307" s="166" t="inlineStr">
        <is>
          <t>код ОКПО</t>
        </is>
      </c>
      <c r="E307" s="204" t="inlineStr"/>
      <c r="F307" s="204" t="n"/>
      <c r="G307" s="324" t="n"/>
      <c r="H307" s="167" t="n"/>
      <c r="I307" s="167" t="n"/>
      <c r="J307" s="167" t="n"/>
      <c r="K307" s="207" t="n">
        <v>0.32</v>
      </c>
      <c r="L307" s="167" t="n"/>
      <c r="M307" s="167" t="n"/>
      <c r="N307" s="209" t="n"/>
      <c r="O307" s="325" t="n"/>
      <c r="P307" s="279" t="n"/>
      <c r="Q307" s="159" t="n"/>
      <c r="R307" s="159" t="n"/>
    </row>
    <row customHeight="1" ht="15" r="308">
      <c r="A308" s="189" t="n"/>
      <c r="B308" s="509" t="n">
        <v>2611</v>
      </c>
      <c r="C308" s="210" t="inlineStr">
        <is>
          <t xml:space="preserve">Траст инжиниринг </t>
        </is>
      </c>
      <c r="D308" s="515" t="n">
        <v>39547485</v>
      </c>
      <c r="E308" s="284" t="inlineStr"/>
      <c r="F308" s="284" t="n">
        <v>9591.200000000001</v>
      </c>
      <c r="G308" s="184">
        <f>E308-F308</f>
        <v/>
      </c>
      <c r="H308" s="534" t="n">
        <v>1</v>
      </c>
      <c r="I308" s="184">
        <f>G308*H308</f>
        <v/>
      </c>
      <c r="J308" s="184" t="n"/>
      <c r="K308" s="185">
        <f>K307</f>
        <v/>
      </c>
      <c r="L308" s="178" t="n"/>
      <c r="M308" s="178">
        <f>(I308+L308)*$W$41</f>
        <v/>
      </c>
      <c r="N308" s="180">
        <f>I308*K308+I308+L308+M308</f>
        <v/>
      </c>
      <c r="O308" s="194" t="n"/>
      <c r="P308" s="279" t="n"/>
      <c r="Q308" s="159" t="n"/>
      <c r="R308" s="159" t="n"/>
    </row>
    <row customHeight="1" ht="15" r="309">
      <c r="A309" s="189" t="n"/>
      <c r="B309" s="509" t="n">
        <v>2611</v>
      </c>
      <c r="C309" s="210" t="inlineStr">
        <is>
          <t>Криал пром</t>
        </is>
      </c>
      <c r="D309" s="515" t="n">
        <v>38351963</v>
      </c>
      <c r="E309" s="284" t="inlineStr"/>
      <c r="F309" s="284" t="n"/>
      <c r="G309" s="184" t="n"/>
      <c r="H309" s="534" t="n"/>
      <c r="I309" s="184" t="n"/>
      <c r="J309" s="184" t="n"/>
      <c r="K309" s="185" t="n"/>
      <c r="L309" s="178" t="n"/>
      <c r="M309" s="178">
        <f>(I309+L309)*$W$41</f>
        <v/>
      </c>
      <c r="N309" s="180" t="n"/>
      <c r="O309" s="194" t="n"/>
      <c r="P309" s="279" t="n"/>
      <c r="Q309" s="159" t="n"/>
      <c r="R309" s="159" t="n"/>
    </row>
    <row customHeight="1" ht="15" r="310">
      <c r="A310" s="189" t="n"/>
      <c r="B310" s="509" t="n">
        <v>2612</v>
      </c>
      <c r="C310" s="210" t="inlineStr">
        <is>
          <t>Чапкина</t>
        </is>
      </c>
      <c r="D310" s="515" t="n">
        <v>2925900988</v>
      </c>
      <c r="E310" s="284" t="inlineStr"/>
      <c r="F310" s="284" t="n">
        <v>8542.799999999999</v>
      </c>
      <c r="G310" s="184">
        <f>E310-F310</f>
        <v/>
      </c>
      <c r="H310" s="534" t="n">
        <v>1</v>
      </c>
      <c r="I310" s="184">
        <f>G310*H310</f>
        <v/>
      </c>
      <c r="J310" s="184" t="n"/>
      <c r="K310" s="185">
        <f>K308</f>
        <v/>
      </c>
      <c r="L310" s="178" t="n">
        <v>4</v>
      </c>
      <c r="M310" s="178">
        <f>(I310+L310)*$W$41</f>
        <v/>
      </c>
      <c r="N310" s="180">
        <f>I310*K310+I310+L310+M310</f>
        <v/>
      </c>
      <c r="O310" s="194" t="n"/>
      <c r="P310" s="279" t="n"/>
      <c r="Q310" s="159" t="n"/>
      <c r="R310" s="159" t="n"/>
    </row>
    <row customHeight="1" ht="15" r="311">
      <c r="A311" s="189" t="n"/>
      <c r="B311" s="509" t="n">
        <v>2609</v>
      </c>
      <c r="C311" s="210" t="inlineStr">
        <is>
          <t>Вивендор</t>
        </is>
      </c>
      <c r="D311" s="515" t="n">
        <v>42000977</v>
      </c>
      <c r="E311" s="284" t="inlineStr"/>
      <c r="F311" s="284" t="n">
        <v>5162.7</v>
      </c>
      <c r="G311" s="184">
        <f>E311-F311</f>
        <v/>
      </c>
      <c r="H311" s="534" t="n">
        <v>1</v>
      </c>
      <c r="I311" s="184">
        <f>G311*H311</f>
        <v/>
      </c>
      <c r="J311" s="184" t="n"/>
      <c r="K311" s="185">
        <f>K310</f>
        <v/>
      </c>
      <c r="L311" s="178" t="n"/>
      <c r="M311" s="178">
        <f>(I311)*$W$41</f>
        <v/>
      </c>
      <c r="N311" s="180">
        <f>I311*K311+I311+L311+M311</f>
        <v/>
      </c>
      <c r="O311" s="194" t="n"/>
      <c r="P311" s="279" t="n"/>
      <c r="Q311" s="159" t="n"/>
      <c r="R311" s="159" t="n"/>
    </row>
    <row customHeight="1" ht="15" r="312">
      <c r="A312" s="189" t="n"/>
      <c r="B312" s="509" t="n">
        <v>2610</v>
      </c>
      <c r="C312" s="210" t="inlineStr">
        <is>
          <t>Негоция-В</t>
        </is>
      </c>
      <c r="D312" s="515" t="n">
        <v>39054907</v>
      </c>
      <c r="E312" s="284" t="inlineStr"/>
      <c r="F312" s="284" t="n"/>
      <c r="G312" s="184" t="n"/>
      <c r="H312" s="534" t="n"/>
      <c r="I312" s="184" t="n"/>
      <c r="J312" s="184" t="n"/>
      <c r="K312" s="185" t="n"/>
      <c r="L312" s="178" t="n">
        <v>5</v>
      </c>
      <c r="M312" s="178">
        <f>(I312+L312)*$W$41</f>
        <v/>
      </c>
      <c r="N312" s="180">
        <f>I312*K312+I312+L312+M312</f>
        <v/>
      </c>
      <c r="O312" s="194" t="n"/>
      <c r="P312" s="279" t="n"/>
      <c r="Q312" s="159" t="n"/>
      <c r="R312" s="159" t="n"/>
    </row>
    <row customHeight="1" ht="15" r="313">
      <c r="A313" s="189" t="n"/>
      <c r="B313" s="509" t="n">
        <v>2622</v>
      </c>
      <c r="C313" s="314" t="n"/>
      <c r="D313" s="516" t="n"/>
      <c r="E313" s="284" t="inlineStr"/>
      <c r="F313" s="284" t="n">
        <v>13630.2</v>
      </c>
      <c r="G313" s="184">
        <f>E313-F313</f>
        <v/>
      </c>
      <c r="H313" s="534" t="n">
        <v>1</v>
      </c>
      <c r="I313" s="184">
        <f>G313*H313</f>
        <v/>
      </c>
      <c r="J313" s="184" t="n"/>
      <c r="K313" s="185">
        <f>K311</f>
        <v/>
      </c>
      <c r="L313" s="178" t="n"/>
      <c r="M313" s="178">
        <f>(I313+L313)*$W$41</f>
        <v/>
      </c>
      <c r="N313" s="180">
        <f>I313*K313+I313+L313+M313</f>
        <v/>
      </c>
      <c r="O313" s="194" t="n"/>
      <c r="P313" s="279" t="n"/>
      <c r="Q313" s="159" t="n"/>
      <c r="R313" s="159" t="n"/>
    </row>
    <row customHeight="1" ht="15" r="314">
      <c r="A314" s="181" t="n"/>
      <c r="B314" s="509" t="n">
        <v>2627</v>
      </c>
      <c r="C314" s="213" t="n"/>
      <c r="D314" s="516" t="n"/>
      <c r="E314" s="284" t="inlineStr"/>
      <c r="F314" s="284" t="n">
        <v>8665.9</v>
      </c>
      <c r="G314" s="184">
        <f>E314-F314</f>
        <v/>
      </c>
      <c r="H314" s="534" t="n">
        <v>1</v>
      </c>
      <c r="I314" s="184">
        <f>G314*H314</f>
        <v/>
      </c>
      <c r="J314" s="184" t="n"/>
      <c r="K314" s="185">
        <f>K313</f>
        <v/>
      </c>
      <c r="L314" s="178" t="n"/>
      <c r="M314" s="178">
        <f>(I314+L314)*$W$41</f>
        <v/>
      </c>
      <c r="N314" s="180">
        <f>I314*K314+I314+L314+M314</f>
        <v/>
      </c>
      <c r="O314" s="194" t="n"/>
      <c r="P314" s="279" t="n"/>
      <c r="Q314" s="159" t="n"/>
      <c r="R314" s="159" t="n"/>
    </row>
    <row customHeight="1" ht="15" r="315">
      <c r="A315" s="262" t="n"/>
      <c r="B315" s="509" t="n">
        <v>2620</v>
      </c>
      <c r="C315" s="182" t="n"/>
      <c r="D315" s="515" t="n"/>
      <c r="E315" s="284" t="inlineStr"/>
      <c r="F315" s="284" t="n">
        <v>7689.8</v>
      </c>
      <c r="G315" s="184">
        <f>E315-F315</f>
        <v/>
      </c>
      <c r="H315" s="534" t="n">
        <v>1</v>
      </c>
      <c r="I315" s="184">
        <f>G315*H315</f>
        <v/>
      </c>
      <c r="J315" s="184" t="n"/>
      <c r="K315" s="185">
        <f>K314</f>
        <v/>
      </c>
      <c r="L315" s="178" t="n"/>
      <c r="M315" s="178">
        <f>(I315+L315)*$W$41</f>
        <v/>
      </c>
      <c r="N315" s="180">
        <f>I315*K315+I315+L315+M315</f>
        <v/>
      </c>
      <c r="O315" s="194" t="n"/>
      <c r="P315" s="279" t="n"/>
      <c r="Q315" s="159" t="n"/>
      <c r="R315" s="159" t="n"/>
    </row>
    <row customHeight="1" ht="15" r="316">
      <c r="A316" s="189" t="n"/>
      <c r="B316" s="509" t="n">
        <v>2625</v>
      </c>
      <c r="C316" s="210" t="n"/>
      <c r="D316" s="515" t="n"/>
      <c r="E316" s="284" t="inlineStr"/>
      <c r="F316" s="284" t="n">
        <v>5696.8</v>
      </c>
      <c r="G316" s="184">
        <f>E316-F316</f>
        <v/>
      </c>
      <c r="H316" s="534" t="n">
        <v>1</v>
      </c>
      <c r="I316" s="184">
        <f>G316*H316</f>
        <v/>
      </c>
      <c r="J316" s="184" t="n"/>
      <c r="K316" s="185">
        <f>K315</f>
        <v/>
      </c>
      <c r="L316" s="178" t="n"/>
      <c r="M316" s="178">
        <f>(I316+L316)*$W$41</f>
        <v/>
      </c>
      <c r="N316" s="180">
        <f>I316*K316+I316+L316+M316</f>
        <v/>
      </c>
      <c r="O316" s="194" t="n"/>
      <c r="P316" s="279" t="n"/>
      <c r="Q316" s="159" t="n"/>
      <c r="R316" s="159" t="n"/>
    </row>
    <row customHeight="1" ht="15" r="317">
      <c r="A317" s="181" t="n"/>
      <c r="B317" s="509" t="n">
        <v>2624</v>
      </c>
      <c r="C317" s="210" t="n"/>
      <c r="D317" s="515" t="n"/>
      <c r="E317" s="284" t="inlineStr"/>
      <c r="F317" s="284" t="n">
        <v>1012.9</v>
      </c>
      <c r="G317" s="231">
        <f>E317-F317</f>
        <v/>
      </c>
      <c r="H317" s="534" t="n">
        <v>1</v>
      </c>
      <c r="I317" s="184">
        <f>G317*H317</f>
        <v/>
      </c>
      <c r="J317" s="184" t="n"/>
      <c r="K317" s="185">
        <f>K316</f>
        <v/>
      </c>
      <c r="L317" s="178" t="n"/>
      <c r="M317" s="178">
        <f>(I317+L317)*$W$41</f>
        <v/>
      </c>
      <c r="N317" s="180">
        <f>I317*K317+I317+L317+M317</f>
        <v/>
      </c>
      <c r="O317" s="194" t="n"/>
      <c r="P317" s="287" t="n"/>
      <c r="Q317" s="159" t="n"/>
      <c r="R317" s="159" t="n"/>
    </row>
    <row customHeight="1" ht="15" r="318">
      <c r="A318" s="181" t="n"/>
      <c r="B318" s="509" t="inlineStr">
        <is>
          <t>2604-07</t>
        </is>
      </c>
      <c r="C318" s="210" t="inlineStr">
        <is>
          <t>Шокан</t>
        </is>
      </c>
      <c r="D318" s="515" t="n">
        <v>3097415581</v>
      </c>
      <c r="E318" s="284" t="inlineStr"/>
      <c r="F318" s="284" t="n">
        <v>8951</v>
      </c>
      <c r="G318" s="231">
        <f>E318-F318</f>
        <v/>
      </c>
      <c r="H318" s="534" t="n">
        <v>1</v>
      </c>
      <c r="I318" s="184">
        <f>G318*H318</f>
        <v/>
      </c>
      <c r="J318" s="184" t="n"/>
      <c r="K318" s="185">
        <f>K317</f>
        <v/>
      </c>
      <c r="L318" s="178" t="n"/>
      <c r="M318" s="178">
        <f>(I318+L318)*$W$41</f>
        <v/>
      </c>
      <c r="N318" s="180">
        <f>I318*K318+I318+L318+M318</f>
        <v/>
      </c>
      <c r="O318" s="194" t="n"/>
      <c r="P318" s="287" t="n"/>
      <c r="Q318" s="159" t="n"/>
      <c r="R318" s="159" t="n"/>
    </row>
    <row customHeight="1" ht="15" r="319">
      <c r="A319" s="181" t="n"/>
      <c r="B319" s="509" t="n">
        <v>2626</v>
      </c>
      <c r="C319" s="210" t="n"/>
      <c r="D319" s="515" t="n"/>
      <c r="E319" s="284" t="inlineStr"/>
      <c r="F319" s="284" t="n">
        <v>3912.3</v>
      </c>
      <c r="G319" s="231">
        <f>E319-F319</f>
        <v/>
      </c>
      <c r="H319" s="534" t="n">
        <v>1</v>
      </c>
      <c r="I319" s="184">
        <f>G319*H319</f>
        <v/>
      </c>
      <c r="J319" s="184" t="n"/>
      <c r="K319" s="185">
        <f>K318</f>
        <v/>
      </c>
      <c r="L319" s="178" t="n"/>
      <c r="M319" s="178">
        <f>(I319+L319)*$W$41</f>
        <v/>
      </c>
      <c r="N319" s="180">
        <f>I319*K319+I319+L319+M319</f>
        <v/>
      </c>
      <c r="O319" s="194" t="n"/>
      <c r="P319" s="287" t="n"/>
      <c r="Q319" s="159" t="n"/>
      <c r="R319" s="159" t="n"/>
    </row>
    <row customHeight="1" ht="15" r="320">
      <c r="A320" s="189" t="n"/>
      <c r="B320" s="509" t="n">
        <v>2601</v>
      </c>
      <c r="C320" s="210" t="inlineStr">
        <is>
          <t>курилка</t>
        </is>
      </c>
      <c r="D320" s="515" t="n"/>
      <c r="E320" s="284" t="inlineStr"/>
      <c r="F320" s="284" t="n">
        <v>2053.5</v>
      </c>
      <c r="G320" s="231">
        <f>E320-F320</f>
        <v/>
      </c>
      <c r="H320" s="534" t="n">
        <v>1</v>
      </c>
      <c r="I320" s="184">
        <f>G320*H320</f>
        <v/>
      </c>
      <c r="J320" s="184" t="n"/>
      <c r="K320" s="185">
        <f>K319</f>
        <v/>
      </c>
      <c r="L320" s="178" t="n"/>
      <c r="M320" s="178" t="n"/>
      <c r="N320" s="180" t="n"/>
      <c r="O320" s="194" t="n"/>
      <c r="P320" s="326" t="n"/>
      <c r="Q320" s="159" t="n"/>
      <c r="R320" s="159" t="n"/>
    </row>
    <row customHeight="1" ht="15" r="321">
      <c r="A321" s="189" t="n"/>
      <c r="B321" s="509" t="n">
        <v>2608</v>
      </c>
      <c r="C321" s="228" t="inlineStr">
        <is>
          <t>Турлак</t>
        </is>
      </c>
      <c r="D321" s="524" t="n">
        <v>3034823878</v>
      </c>
      <c r="E321" s="284" t="inlineStr"/>
      <c r="F321" s="284" t="n">
        <v>2637.3</v>
      </c>
      <c r="G321" s="231">
        <f>E321-F321</f>
        <v/>
      </c>
      <c r="H321" s="534" t="n">
        <v>1</v>
      </c>
      <c r="I321" s="184">
        <f>G321*H321</f>
        <v/>
      </c>
      <c r="J321" s="184" t="n"/>
      <c r="K321" s="185">
        <f>K320</f>
        <v/>
      </c>
      <c r="L321" s="178" t="n"/>
      <c r="M321" s="178">
        <f>(I321+L321)*$W$41</f>
        <v/>
      </c>
      <c r="N321" s="180">
        <f>I321*K321+I321+L321+M321</f>
        <v/>
      </c>
      <c r="O321" s="194" t="n"/>
      <c r="P321" s="287" t="n"/>
      <c r="Q321" s="159" t="n"/>
      <c r="R321" s="159" t="n"/>
    </row>
    <row customHeight="1" ht="15" r="322">
      <c r="A322" s="328" t="n"/>
      <c r="B322" s="509" t="n">
        <v>2623</v>
      </c>
      <c r="C322" s="210" t="inlineStr">
        <is>
          <t>Ю Би Си груп</t>
        </is>
      </c>
      <c r="D322" s="515" t="n">
        <v>42585012</v>
      </c>
      <c r="E322" s="284" t="inlineStr"/>
      <c r="F322" s="284" t="n">
        <v>1809.9</v>
      </c>
      <c r="G322" s="231">
        <f>E322-F322</f>
        <v/>
      </c>
      <c r="H322" s="534" t="n">
        <v>1</v>
      </c>
      <c r="I322" s="184">
        <f>G322*H322</f>
        <v/>
      </c>
      <c r="J322" s="184" t="n"/>
      <c r="K322" s="185">
        <f>K321</f>
        <v/>
      </c>
      <c r="L322" s="178" t="n"/>
      <c r="M322" s="178">
        <f>(I322)*$W$41</f>
        <v/>
      </c>
      <c r="N322" s="180">
        <f>I322*K322+I322+L322+M322</f>
        <v/>
      </c>
      <c r="O322" s="194" t="n"/>
      <c r="P322" s="287" t="n"/>
      <c r="Q322" s="159" t="n"/>
      <c r="R322" s="159" t="n"/>
    </row>
    <row customHeight="1" ht="15" r="323">
      <c r="A323" s="328" t="n"/>
      <c r="B323" s="509" t="n"/>
      <c r="C323" s="210" t="n"/>
      <c r="D323" s="531" t="n"/>
      <c r="E323" s="284" t="inlineStr"/>
      <c r="F323" s="284" t="n"/>
      <c r="G323" s="231" t="n"/>
      <c r="H323" s="534" t="n"/>
      <c r="I323" s="184" t="n"/>
      <c r="J323" s="184" t="n"/>
      <c r="K323" s="178" t="n"/>
      <c r="L323" s="178" t="n"/>
      <c r="M323" s="178" t="n"/>
      <c r="N323" s="180" t="n"/>
      <c r="O323" s="194" t="n"/>
      <c r="P323" s="287" t="n"/>
      <c r="Q323" s="159" t="n"/>
      <c r="R323" s="159" t="n"/>
    </row>
    <row customHeight="1" ht="15" r="324">
      <c r="A324" s="189" t="n"/>
      <c r="B324" s="534" t="n"/>
      <c r="C324" s="192" t="inlineStr">
        <is>
          <t>Потребление арендаторов:</t>
        </is>
      </c>
      <c r="D324" s="192" t="n"/>
      <c r="E324" s="255" t="inlineStr"/>
      <c r="F324" s="255" t="n"/>
      <c r="G324" s="231" t="n"/>
      <c r="H324" s="534" t="n"/>
      <c r="J324" s="231">
        <f>SUM(I308:I322)-I320</f>
        <v/>
      </c>
      <c r="K324" s="178" t="n"/>
      <c r="L324" s="178" t="n"/>
      <c r="M324" s="178" t="n"/>
      <c r="O324" s="194">
        <f>K324*L324+K324</f>
        <v/>
      </c>
      <c r="P324" s="290">
        <f>SUM(I308:I322)</f>
        <v/>
      </c>
      <c r="Q324" s="159" t="n"/>
      <c r="R324" s="159" t="n"/>
    </row>
    <row customHeight="1" ht="15" r="325">
      <c r="A325" s="255" t="n"/>
      <c r="B325" s="534" t="n"/>
      <c r="C325" s="192" t="inlineStr">
        <is>
          <t>Учет 6-й этаж секция Б общий :</t>
        </is>
      </c>
      <c r="D325" s="192" t="n"/>
      <c r="E325" s="362" t="inlineStr"/>
      <c r="F325" s="362" t="n">
        <v>157817</v>
      </c>
      <c r="G325" s="253">
        <f>E325-F325</f>
        <v/>
      </c>
      <c r="H325" s="418" t="n">
        <v>1</v>
      </c>
      <c r="J325" s="119">
        <f>G325*H325</f>
        <v/>
      </c>
      <c r="K325" s="198" t="n"/>
      <c r="L325" s="178" t="n"/>
      <c r="M325" s="178" t="n"/>
      <c r="O325" s="194">
        <f>K325*L325+K325</f>
        <v/>
      </c>
      <c r="P325" s="194">
        <f>J325*K325+J325</f>
        <v/>
      </c>
      <c r="Q325" s="200" t="n"/>
      <c r="R325" s="201" t="n"/>
      <c r="S325" s="202" t="n"/>
      <c r="T325" s="427" t="n"/>
      <c r="U325" s="427" t="n"/>
      <c r="V325" s="427" t="n"/>
      <c r="W325" s="427" t="n"/>
      <c r="X325" s="427" t="n"/>
      <c r="Y325" s="427" t="n"/>
    </row>
    <row customHeight="1" ht="15" r="326">
      <c r="A326" s="189" t="n"/>
      <c r="B326" s="534" t="n"/>
      <c r="C326" s="192" t="inlineStr">
        <is>
          <t>Потребление коридора:</t>
        </is>
      </c>
      <c r="D326" s="192" t="n"/>
      <c r="E326" s="255" t="inlineStr"/>
      <c r="F326" s="255" t="n"/>
      <c r="G326" s="231" t="n"/>
      <c r="H326" s="534" t="n"/>
      <c r="J326" s="255">
        <f>J325-J324</f>
        <v/>
      </c>
      <c r="K326" s="178" t="n"/>
      <c r="L326" s="178" t="n"/>
      <c r="M326" s="178" t="n"/>
      <c r="O326" s="194">
        <f>K326*L326+K326</f>
        <v/>
      </c>
      <c r="P326" s="194">
        <f>J326*K326+J326</f>
        <v/>
      </c>
      <c r="Q326" s="159" t="n"/>
      <c r="R326" s="159" t="n"/>
    </row>
    <row customHeight="1" ht="15.75" r="327">
      <c r="A327" s="255" t="n"/>
      <c r="B327" s="534" t="n"/>
      <c r="C327" s="192" t="inlineStr">
        <is>
          <t>Выставляем арендаторам :</t>
        </is>
      </c>
      <c r="D327" s="192" t="n"/>
      <c r="E327" s="197" t="inlineStr"/>
      <c r="F327" s="197" t="n"/>
      <c r="G327" s="231" t="n"/>
      <c r="H327" s="534" t="n"/>
      <c r="I327" s="255" t="n"/>
      <c r="J327" s="255" t="n"/>
      <c r="K327" s="198" t="n"/>
      <c r="L327" s="178" t="n"/>
      <c r="M327" s="178" t="n"/>
      <c r="O327" s="194" t="n"/>
      <c r="P327" s="199">
        <f>SUM(N308:N322)</f>
        <v/>
      </c>
      <c r="Q327" s="200" t="n"/>
      <c r="R327" s="201" t="n"/>
      <c r="S327" s="202" t="n"/>
      <c r="T327" s="427" t="n"/>
      <c r="U327" s="427" t="n"/>
      <c r="V327" s="427" t="n"/>
      <c r="W327" s="427" t="n"/>
      <c r="X327" s="427" t="n"/>
      <c r="Y327" s="427" t="n"/>
    </row>
    <row customHeight="1" ht="15" r="328">
      <c r="A328" s="255" t="n"/>
      <c r="B328" s="534" t="n"/>
      <c r="C328" s="192" t="inlineStr">
        <is>
          <t>Общий итог :</t>
        </is>
      </c>
      <c r="D328" s="192" t="n"/>
      <c r="E328" s="197" t="inlineStr"/>
      <c r="F328" s="197" t="n"/>
      <c r="G328" s="231" t="n"/>
      <c r="H328" s="534" t="n"/>
      <c r="I328" s="255" t="n"/>
      <c r="J328" s="255" t="n"/>
      <c r="K328" s="198" t="n"/>
      <c r="L328" s="178" t="n"/>
      <c r="M328" s="178" t="n"/>
      <c r="O328" s="194" t="n"/>
      <c r="P328" s="194">
        <f>P327-P325</f>
        <v/>
      </c>
      <c r="Q328" s="200" t="n"/>
      <c r="R328" s="201" t="n"/>
      <c r="S328" s="202" t="n"/>
      <c r="T328" s="427" t="n"/>
      <c r="U328" s="427" t="n"/>
      <c r="V328" s="427" t="n"/>
      <c r="W328" s="427" t="n"/>
      <c r="X328" s="427" t="n"/>
      <c r="Y328" s="427" t="n"/>
    </row>
    <row customHeight="1" ht="15" r="329">
      <c r="A329" s="255" t="n"/>
      <c r="B329" s="534" t="n"/>
      <c r="C329" s="192" t="inlineStr">
        <is>
          <t>Общий итог с потерями РЭСа:</t>
        </is>
      </c>
      <c r="D329" s="192" t="n"/>
      <c r="E329" s="197" t="inlineStr"/>
      <c r="F329" s="197" t="n"/>
      <c r="G329" s="231" t="n"/>
      <c r="H329" s="534" t="n"/>
      <c r="I329" s="255" t="n"/>
      <c r="J329" s="255" t="n"/>
      <c r="K329" s="198" t="n"/>
      <c r="L329" s="178" t="n"/>
      <c r="M329" s="178" t="n"/>
      <c r="O329" s="194" t="n"/>
      <c r="P329" s="194">
        <f>P327-(P325*AC25+P325)</f>
        <v/>
      </c>
      <c r="Q329" s="200" t="n"/>
      <c r="R329" s="201" t="n"/>
      <c r="S329" s="202" t="n"/>
      <c r="T329" s="427" t="n"/>
      <c r="U329" s="427" t="n"/>
      <c r="V329" s="427" t="n"/>
      <c r="W329" s="427" t="n"/>
      <c r="X329" s="427" t="n"/>
      <c r="Y329" s="427" t="n"/>
    </row>
    <row customHeight="1" ht="19.5" r="330">
      <c r="A330" s="536" t="n"/>
      <c r="B330" s="537" t="n"/>
      <c r="C330" s="536" t="n"/>
      <c r="D330" s="536" t="n"/>
      <c r="E330" s="537" t="inlineStr"/>
      <c r="F330" s="537" t="n"/>
      <c r="G330" s="537" t="n"/>
      <c r="H330" s="537" t="n"/>
      <c r="I330" s="537" t="n"/>
      <c r="J330" s="536" t="n"/>
      <c r="K330" s="537" t="n"/>
      <c r="L330" s="537" t="n"/>
      <c r="M330" s="537" t="n"/>
      <c r="N330" s="536" t="n"/>
      <c r="O330" s="536" t="n"/>
      <c r="P330" s="287" t="n"/>
      <c r="Q330" s="159" t="n"/>
      <c r="R330" s="159" t="n"/>
    </row>
    <row r="331">
      <c r="A331" s="164" t="n"/>
      <c r="B331" s="165" t="inlineStr">
        <is>
          <t>корп. 2Б</t>
        </is>
      </c>
      <c r="C331" s="165" t="inlineStr">
        <is>
          <t>7-й этаж</t>
        </is>
      </c>
      <c r="D331" s="166" t="inlineStr">
        <is>
          <t>код ОКПО</t>
        </is>
      </c>
      <c r="E331" s="204" t="inlineStr"/>
      <c r="F331" s="204" t="n"/>
      <c r="G331" s="291" t="n"/>
      <c r="H331" s="164" t="n"/>
      <c r="I331" s="330" t="n"/>
      <c r="J331" s="330" t="n"/>
      <c r="K331" s="331" t="n">
        <v>0.32</v>
      </c>
      <c r="L331" s="330" t="n"/>
      <c r="M331" s="330" t="n"/>
      <c r="N331" s="332" t="n"/>
      <c r="O331" s="333" t="n"/>
      <c r="P331" s="334" t="n"/>
      <c r="Q331" s="159" t="n"/>
      <c r="R331" s="159" t="n"/>
    </row>
    <row customHeight="1" ht="15" r="332">
      <c r="A332" s="255" t="n"/>
      <c r="B332" s="509" t="n">
        <v>2701</v>
      </c>
      <c r="C332" s="210" t="inlineStr">
        <is>
          <t>Серебрий</t>
        </is>
      </c>
      <c r="D332" s="515" t="n">
        <v>2882908700</v>
      </c>
      <c r="E332" s="284" t="inlineStr"/>
      <c r="F332" s="284" t="n">
        <v>1771.5</v>
      </c>
      <c r="G332" s="231">
        <f>E332-F332</f>
        <v/>
      </c>
      <c r="H332" s="534" t="n">
        <v>1</v>
      </c>
      <c r="I332" s="184">
        <f>G332*H332</f>
        <v/>
      </c>
      <c r="J332" s="184" t="n"/>
      <c r="K332" s="185">
        <f>K331</f>
        <v/>
      </c>
      <c r="L332" s="178" t="n"/>
      <c r="M332" s="178">
        <f>(I332+L332)*$W$41</f>
        <v/>
      </c>
      <c r="N332" s="180">
        <f>I332*K332+I332+L332+M332</f>
        <v/>
      </c>
      <c r="O332" s="194" t="n"/>
      <c r="P332" s="326" t="n"/>
      <c r="Q332" s="159" t="n"/>
      <c r="R332" s="159" t="n"/>
    </row>
    <row customHeight="1" ht="15" r="333">
      <c r="A333" s="189" t="n"/>
      <c r="B333" s="509" t="n">
        <v>2702</v>
      </c>
      <c r="C333" s="210" t="inlineStr">
        <is>
          <t>Сенддиггер</t>
        </is>
      </c>
      <c r="D333" s="515" t="n">
        <v>42402531</v>
      </c>
      <c r="E333" s="284" t="inlineStr"/>
      <c r="F333" s="284" t="n">
        <v>5729.3</v>
      </c>
      <c r="G333" s="231">
        <f>E333-F333</f>
        <v/>
      </c>
      <c r="H333" s="534" t="n">
        <v>1</v>
      </c>
      <c r="I333" s="184">
        <f>G333*H333</f>
        <v/>
      </c>
      <c r="J333" s="184" t="n"/>
      <c r="K333" s="185">
        <f>K332</f>
        <v/>
      </c>
      <c r="L333" s="178" t="n"/>
      <c r="M333" s="178">
        <f>(I333+L333)*$W$41</f>
        <v/>
      </c>
      <c r="N333" s="180">
        <f>I333*K333+I333+L333+M333</f>
        <v/>
      </c>
      <c r="O333" s="194" t="n"/>
      <c r="P333" s="326" t="n"/>
      <c r="Q333" s="159" t="n"/>
      <c r="R333" s="159" t="n"/>
    </row>
    <row customHeight="1" ht="15" r="334">
      <c r="A334" s="189" t="n"/>
      <c r="B334" s="509" t="n">
        <v>2703</v>
      </c>
      <c r="C334" s="210" t="inlineStr">
        <is>
          <t>Сенддиггер</t>
        </is>
      </c>
      <c r="D334" s="515" t="n">
        <v>42402531</v>
      </c>
      <c r="E334" s="284" t="inlineStr"/>
      <c r="F334" s="284" t="n">
        <v>3353.9</v>
      </c>
      <c r="G334" s="231">
        <f>E334-F334</f>
        <v/>
      </c>
      <c r="H334" s="534" t="n">
        <v>1</v>
      </c>
      <c r="I334" s="184">
        <f>G334*H334</f>
        <v/>
      </c>
      <c r="J334" s="184" t="n"/>
      <c r="K334" s="185">
        <f>K333</f>
        <v/>
      </c>
      <c r="L334" s="178" t="n"/>
      <c r="M334" s="178">
        <f>(I334+L334)*$W$41</f>
        <v/>
      </c>
      <c r="N334" s="180">
        <f>I334*K334+I334+L334+M334</f>
        <v/>
      </c>
      <c r="O334" s="194" t="n"/>
      <c r="P334" s="326" t="n"/>
      <c r="Q334" s="159" t="n"/>
      <c r="R334" s="159" t="n"/>
    </row>
    <row customHeight="1" ht="15" r="335">
      <c r="A335" s="189" t="n"/>
      <c r="B335" s="509" t="n">
        <v>2704</v>
      </c>
      <c r="C335" s="210" t="inlineStr">
        <is>
          <t>Ивашова ФЛП</t>
        </is>
      </c>
      <c r="D335" s="515" t="n">
        <v>2835200762</v>
      </c>
      <c r="E335" s="284" t="inlineStr"/>
      <c r="F335" s="284" t="n">
        <v>3727.9</v>
      </c>
      <c r="G335" s="231">
        <f>E335-F335</f>
        <v/>
      </c>
      <c r="H335" s="534" t="n">
        <v>1</v>
      </c>
      <c r="I335" s="184">
        <f>G335*H335</f>
        <v/>
      </c>
      <c r="J335" s="184" t="n"/>
      <c r="K335" s="185">
        <f>K334</f>
        <v/>
      </c>
      <c r="L335" s="178" t="n"/>
      <c r="M335" s="178">
        <f>(I335+L335)*$W$41</f>
        <v/>
      </c>
      <c r="N335" s="180">
        <f>I335*K335+I335+L335+M335</f>
        <v/>
      </c>
      <c r="O335" s="194" t="n"/>
      <c r="P335" s="326" t="n"/>
      <c r="Q335" s="159" t="n"/>
      <c r="R335" s="159" t="n"/>
    </row>
    <row customHeight="1" ht="15" r="336">
      <c r="A336" s="189" t="n"/>
      <c r="B336" s="509" t="n">
        <v>2705</v>
      </c>
      <c r="C336" s="210" t="inlineStr">
        <is>
          <t>Финтех инвестирование</t>
        </is>
      </c>
      <c r="D336" s="515" t="n">
        <v>41298879</v>
      </c>
      <c r="E336" s="284" t="inlineStr"/>
      <c r="F336" s="284" t="n">
        <v>4653.2</v>
      </c>
      <c r="G336" s="231">
        <f>E336-F336</f>
        <v/>
      </c>
      <c r="H336" s="534" t="n">
        <v>1</v>
      </c>
      <c r="I336" s="184">
        <f>G336*H336</f>
        <v/>
      </c>
      <c r="J336" s="184" t="n"/>
      <c r="K336" s="185">
        <f>K335</f>
        <v/>
      </c>
      <c r="L336" s="178" t="n"/>
      <c r="M336" s="178">
        <f>(I336)*$W$41</f>
        <v/>
      </c>
      <c r="N336" s="180">
        <f>I336*K336+I336+L336+M336</f>
        <v/>
      </c>
      <c r="O336" s="194" t="n"/>
      <c r="P336" s="326" t="n"/>
      <c r="Q336" s="159" t="n"/>
      <c r="R336" s="159" t="n"/>
    </row>
    <row customHeight="1" ht="15" r="337">
      <c r="A337" s="189" t="n"/>
      <c r="B337" s="509" t="n">
        <v>2706</v>
      </c>
      <c r="C337" s="210" t="n"/>
      <c r="D337" s="515" t="n"/>
      <c r="E337" s="284" t="inlineStr"/>
      <c r="F337" s="284" t="n">
        <v>229.5</v>
      </c>
      <c r="G337" s="231">
        <f>E337-F337</f>
        <v/>
      </c>
      <c r="H337" s="534" t="n">
        <v>1</v>
      </c>
      <c r="I337" s="184">
        <f>G337*H337</f>
        <v/>
      </c>
      <c r="J337" s="184" t="n"/>
      <c r="K337" s="185">
        <f>K336</f>
        <v/>
      </c>
      <c r="L337" s="178" t="n"/>
      <c r="M337" s="178">
        <f>(I337+L337)*$W$41</f>
        <v/>
      </c>
      <c r="N337" s="180">
        <f>I337*K337+I337+L337+M337</f>
        <v/>
      </c>
      <c r="O337" s="194" t="n"/>
      <c r="P337" s="326" t="n"/>
      <c r="Q337" s="159" t="n"/>
      <c r="R337" s="159" t="n"/>
    </row>
    <row customHeight="1" ht="15" r="338">
      <c r="A338" s="189" t="n"/>
      <c r="B338" s="509" t="n">
        <v>2707</v>
      </c>
      <c r="C338" s="210" t="inlineStr">
        <is>
          <t>Копру групп</t>
        </is>
      </c>
      <c r="D338" s="515" t="n">
        <v>42971955</v>
      </c>
      <c r="E338" s="284" t="inlineStr"/>
      <c r="F338" s="284" t="n">
        <v>4793.1</v>
      </c>
      <c r="G338" s="231">
        <f>E338-F338</f>
        <v/>
      </c>
      <c r="H338" s="534" t="n">
        <v>1</v>
      </c>
      <c r="I338" s="184">
        <f>G338*H338</f>
        <v/>
      </c>
      <c r="J338" s="184" t="n"/>
      <c r="K338" s="185">
        <f>K337</f>
        <v/>
      </c>
      <c r="L338" s="178" t="n"/>
      <c r="M338" s="178">
        <f>(I338+L338)*$W$41</f>
        <v/>
      </c>
      <c r="N338" s="180">
        <f>I338*K338+I338+L338+M338</f>
        <v/>
      </c>
      <c r="O338" s="194" t="n"/>
      <c r="P338" s="326" t="n"/>
      <c r="Q338" s="159" t="n"/>
      <c r="R338" s="159" t="n"/>
    </row>
    <row customHeight="1" ht="15" r="339">
      <c r="A339" s="189" t="n"/>
      <c r="B339" s="509" t="n">
        <v>2708</v>
      </c>
      <c r="C339" s="210" t="inlineStr">
        <is>
          <t>Филиппова</t>
        </is>
      </c>
      <c r="D339" s="515" t="n">
        <v>3024101708</v>
      </c>
      <c r="E339" s="284" t="inlineStr"/>
      <c r="F339" s="284" t="n">
        <v>2128.6</v>
      </c>
      <c r="G339" s="231">
        <f>E339-F339</f>
        <v/>
      </c>
      <c r="H339" s="534" t="n">
        <v>1</v>
      </c>
      <c r="I339" s="184">
        <f>G339*H339</f>
        <v/>
      </c>
      <c r="J339" s="184" t="n"/>
      <c r="K339" s="185">
        <f>K338</f>
        <v/>
      </c>
      <c r="L339" s="178" t="n">
        <v>2</v>
      </c>
      <c r="M339" s="178">
        <f>(I339+L339)*$W$41</f>
        <v/>
      </c>
      <c r="N339" s="180">
        <f>I339*K339+I339+L339+M339</f>
        <v/>
      </c>
      <c r="O339" s="194" t="n"/>
      <c r="P339" s="326" t="n"/>
      <c r="Q339" s="159" t="n"/>
      <c r="R339" s="159" t="n"/>
    </row>
    <row customHeight="1" ht="15" r="340">
      <c r="A340" s="189" t="n"/>
      <c r="B340" s="509" t="n">
        <v>2709</v>
      </c>
      <c r="C340" s="210" t="inlineStr">
        <is>
          <t>Кушнир</t>
        </is>
      </c>
      <c r="D340" s="515" t="n">
        <v>3264016183</v>
      </c>
      <c r="E340" s="284" t="inlineStr"/>
      <c r="F340" s="284" t="n">
        <v>3101</v>
      </c>
      <c r="G340" s="231">
        <f>E340-F340</f>
        <v/>
      </c>
      <c r="H340" s="534" t="n">
        <v>1</v>
      </c>
      <c r="I340" s="184">
        <f>G340*H340</f>
        <v/>
      </c>
      <c r="J340" s="184" t="n"/>
      <c r="K340" s="185">
        <f>K339</f>
        <v/>
      </c>
      <c r="L340" s="178" t="n"/>
      <c r="M340" s="178">
        <f>(I340+L340)*$W$41</f>
        <v/>
      </c>
      <c r="N340" s="180">
        <f>I340*K340+I340+L340+M340</f>
        <v/>
      </c>
      <c r="O340" s="194" t="n"/>
      <c r="P340" s="326" t="n"/>
      <c r="Q340" s="159" t="n"/>
      <c r="R340" s="159" t="n"/>
    </row>
    <row customHeight="1" ht="15" r="341">
      <c r="A341" s="189" t="n"/>
      <c r="B341" s="509" t="n">
        <v>2712</v>
      </c>
      <c r="C341" s="210" t="inlineStr">
        <is>
          <t>Материк</t>
        </is>
      </c>
      <c r="D341" s="515" t="n">
        <v>40308440</v>
      </c>
      <c r="E341" s="284" t="inlineStr"/>
      <c r="F341" s="284" t="n">
        <v>3913.1</v>
      </c>
      <c r="G341" s="231">
        <f>E341-F341</f>
        <v/>
      </c>
      <c r="H341" s="534" t="n">
        <v>1</v>
      </c>
      <c r="I341" s="184">
        <f>G341*H341</f>
        <v/>
      </c>
      <c r="J341" s="184" t="n"/>
      <c r="K341" s="185">
        <f>K340</f>
        <v/>
      </c>
      <c r="L341" s="178" t="n"/>
      <c r="M341" s="178">
        <f>(I341+L341)*$W$41</f>
        <v/>
      </c>
      <c r="N341" s="180">
        <f>I341*K341+I341+L341+M341</f>
        <v/>
      </c>
      <c r="O341" s="194" t="n"/>
      <c r="P341" s="326" t="n"/>
      <c r="Q341" s="159" t="n"/>
      <c r="R341" s="159" t="n"/>
    </row>
    <row customHeight="1" ht="15" r="342">
      <c r="A342" s="189" t="n"/>
      <c r="B342" s="509" t="n">
        <v>2710</v>
      </c>
      <c r="C342" s="210" t="inlineStr">
        <is>
          <t>Назаров</t>
        </is>
      </c>
      <c r="D342" s="515" t="n">
        <v>2913105917</v>
      </c>
      <c r="E342" s="284" t="inlineStr"/>
      <c r="F342" s="284" t="n">
        <v>11227.5</v>
      </c>
      <c r="G342" s="231">
        <f>E342-F342</f>
        <v/>
      </c>
      <c r="H342" s="534" t="n">
        <v>1</v>
      </c>
      <c r="I342" s="184">
        <f>G342*H342</f>
        <v/>
      </c>
      <c r="J342" s="184" t="n"/>
      <c r="K342" s="185">
        <f>K341</f>
        <v/>
      </c>
      <c r="L342" s="178" t="n"/>
      <c r="M342" s="178">
        <f>(I342+L342)*$W$41</f>
        <v/>
      </c>
      <c r="N342" s="180">
        <f>I342*K342+I342+L342+M342</f>
        <v/>
      </c>
      <c r="O342" s="194" t="n"/>
      <c r="P342" s="326" t="n"/>
      <c r="Q342" s="159" t="n"/>
      <c r="R342" s="159" t="n"/>
    </row>
    <row customHeight="1" ht="15" r="343">
      <c r="A343" s="189" t="n"/>
      <c r="B343" s="509" t="n">
        <v>2711</v>
      </c>
      <c r="C343" s="210" t="inlineStr">
        <is>
          <t>Инерлайн</t>
        </is>
      </c>
      <c r="D343" s="515" t="n">
        <v>40681746</v>
      </c>
      <c r="E343" s="284" t="inlineStr"/>
      <c r="F343" s="284" t="n">
        <v>1995.9</v>
      </c>
      <c r="G343" s="231">
        <f>E343-F343</f>
        <v/>
      </c>
      <c r="H343" s="534" t="n">
        <v>1</v>
      </c>
      <c r="I343" s="184">
        <f>G343*H343</f>
        <v/>
      </c>
      <c r="J343" s="184" t="n"/>
      <c r="K343" s="185">
        <f>K342</f>
        <v/>
      </c>
      <c r="L343" s="178" t="n"/>
      <c r="M343" s="178">
        <f>(I343+L343)*$W$41</f>
        <v/>
      </c>
      <c r="N343" s="180">
        <f>I343*K343+I343+L343+M343</f>
        <v/>
      </c>
      <c r="O343" s="194" t="n"/>
      <c r="P343" s="326" t="n"/>
      <c r="Q343" s="159" t="n"/>
      <c r="R343" s="159" t="n"/>
    </row>
    <row customHeight="1" ht="15" r="344">
      <c r="A344" s="189" t="n"/>
      <c r="B344" s="509" t="n">
        <v>2713</v>
      </c>
      <c r="C344" s="210" t="inlineStr">
        <is>
          <t>Юник флор</t>
        </is>
      </c>
      <c r="D344" s="515" t="n">
        <v>40361441</v>
      </c>
      <c r="E344" s="284" t="inlineStr"/>
      <c r="F344" s="284" t="n">
        <v>938.9</v>
      </c>
      <c r="G344" s="231">
        <f>E344-F344</f>
        <v/>
      </c>
      <c r="H344" s="534" t="n">
        <v>1</v>
      </c>
      <c r="I344" s="184">
        <f>G344*H344</f>
        <v/>
      </c>
      <c r="J344" s="184" t="n"/>
      <c r="K344" s="185">
        <f>K343</f>
        <v/>
      </c>
      <c r="L344" s="178" t="n"/>
      <c r="M344" s="178">
        <f>(I344+L344)*$W$41</f>
        <v/>
      </c>
      <c r="N344" s="180">
        <f>I344*K344+I344+L344+M344</f>
        <v/>
      </c>
      <c r="O344" s="194" t="n"/>
      <c r="P344" s="326" t="n"/>
      <c r="Q344" s="159" t="n"/>
      <c r="R344" s="159" t="n"/>
    </row>
    <row customHeight="1" ht="15" r="345">
      <c r="A345" s="189" t="n"/>
      <c r="B345" s="509" t="n">
        <v>2714</v>
      </c>
      <c r="C345" s="210" t="inlineStr">
        <is>
          <t>Локайчук</t>
        </is>
      </c>
      <c r="D345" s="515" t="n">
        <v>2814606999</v>
      </c>
      <c r="E345" s="284" t="inlineStr"/>
      <c r="F345" s="284" t="n">
        <v>4738</v>
      </c>
      <c r="G345" s="231">
        <f>E345-F345</f>
        <v/>
      </c>
      <c r="H345" s="534" t="n">
        <v>1</v>
      </c>
      <c r="I345" s="184">
        <f>G345*H345</f>
        <v/>
      </c>
      <c r="J345" s="184" t="n"/>
      <c r="K345" s="185">
        <f>K344</f>
        <v/>
      </c>
      <c r="L345" s="178" t="n">
        <v>3</v>
      </c>
      <c r="M345" s="178">
        <f>(I345+L345)*$W$41</f>
        <v/>
      </c>
      <c r="N345" s="180">
        <f>I345*K345+I345+L345+M345</f>
        <v/>
      </c>
      <c r="O345" s="194" t="n"/>
      <c r="P345" s="326" t="n"/>
      <c r="Q345" s="159" t="n"/>
      <c r="R345" s="159" t="n"/>
    </row>
    <row customHeight="1" ht="15" r="346">
      <c r="A346" s="189" t="n"/>
      <c r="B346" s="509" t="n">
        <v>2715</v>
      </c>
      <c r="C346" s="210" t="inlineStr">
        <is>
          <t>Копру групп</t>
        </is>
      </c>
      <c r="D346" s="515" t="n">
        <v>42971955</v>
      </c>
      <c r="E346" s="284" t="inlineStr"/>
      <c r="F346" s="284" t="n">
        <v>10129.3</v>
      </c>
      <c r="G346" s="231">
        <f>E346-F346</f>
        <v/>
      </c>
      <c r="H346" s="534" t="n">
        <v>1</v>
      </c>
      <c r="I346" s="184">
        <f>G346*H346</f>
        <v/>
      </c>
      <c r="J346" s="184" t="n"/>
      <c r="K346" s="185">
        <f>K345</f>
        <v/>
      </c>
      <c r="L346" s="178" t="n">
        <v>5</v>
      </c>
      <c r="M346" s="178">
        <f>(I346+L346)*$W$41</f>
        <v/>
      </c>
      <c r="N346" s="180">
        <f>I346*K346+I346+L346+M346</f>
        <v/>
      </c>
      <c r="O346" s="194" t="n"/>
      <c r="P346" s="326" t="n"/>
      <c r="Q346" s="159" t="n"/>
      <c r="R346" s="159" t="n"/>
    </row>
    <row customHeight="1" ht="15" r="347">
      <c r="A347" s="189" t="n"/>
      <c r="B347" s="509" t="n">
        <v>2716</v>
      </c>
      <c r="C347" s="210" t="inlineStr">
        <is>
          <t>Романова</t>
        </is>
      </c>
      <c r="D347" s="515" t="n">
        <v>3122921660</v>
      </c>
      <c r="E347" s="284" t="inlineStr"/>
      <c r="F347" s="284" t="n">
        <v>2903.2</v>
      </c>
      <c r="G347" s="231">
        <f>E347-F347</f>
        <v/>
      </c>
      <c r="H347" s="534" t="n">
        <v>1</v>
      </c>
      <c r="I347" s="184">
        <f>G347*H347</f>
        <v/>
      </c>
      <c r="J347" s="184" t="n"/>
      <c r="K347" s="185">
        <f>K346</f>
        <v/>
      </c>
      <c r="L347" s="178" t="n">
        <v>8</v>
      </c>
      <c r="M347" s="178">
        <f>(I347+L347)*$W$41</f>
        <v/>
      </c>
      <c r="N347" s="180">
        <f>I347*K347+I347+L347+M347</f>
        <v/>
      </c>
      <c r="O347" s="194" t="n"/>
      <c r="P347" s="326" t="n"/>
      <c r="Q347" s="159" t="n"/>
      <c r="R347" s="159" t="n"/>
    </row>
    <row customHeight="1" ht="15" r="348">
      <c r="A348" s="189" t="n"/>
      <c r="B348" s="509" t="n">
        <v>2717</v>
      </c>
      <c r="C348" s="210" t="inlineStr">
        <is>
          <t>Комарницкая</t>
        </is>
      </c>
      <c r="D348" s="515" t="n">
        <v>2887316167</v>
      </c>
      <c r="E348" s="284" t="inlineStr"/>
      <c r="F348" s="284" t="n">
        <v>606.4</v>
      </c>
      <c r="G348" s="231">
        <f>E348-F348</f>
        <v/>
      </c>
      <c r="H348" s="534" t="n">
        <v>1</v>
      </c>
      <c r="I348" s="184">
        <f>G348*H348</f>
        <v/>
      </c>
      <c r="J348" s="184" t="n"/>
      <c r="K348" s="185">
        <f>K347</f>
        <v/>
      </c>
      <c r="L348" s="178" t="n">
        <v>5</v>
      </c>
      <c r="M348" s="178">
        <f>(I348+L348)*$W$41</f>
        <v/>
      </c>
      <c r="N348" s="180">
        <f>I348*K348+I348+L348+M348</f>
        <v/>
      </c>
      <c r="O348" s="194" t="n"/>
      <c r="P348" s="326" t="n"/>
      <c r="Q348" s="159" t="n"/>
      <c r="R348" s="159" t="n"/>
    </row>
    <row customHeight="1" ht="15" r="349">
      <c r="A349" s="189" t="n"/>
      <c r="B349" s="509" t="n">
        <v>2718</v>
      </c>
      <c r="C349" s="210" t="inlineStr">
        <is>
          <t>Назаров</t>
        </is>
      </c>
      <c r="D349" s="515" t="n">
        <v>2913105917</v>
      </c>
      <c r="E349" s="284" t="inlineStr"/>
      <c r="F349" s="284" t="n">
        <v>2867.3</v>
      </c>
      <c r="G349" s="231">
        <f>E349-F349</f>
        <v/>
      </c>
      <c r="H349" s="534" t="n">
        <v>1</v>
      </c>
      <c r="I349" s="184">
        <f>G349*H349</f>
        <v/>
      </c>
      <c r="J349" s="184" t="n"/>
      <c r="K349" s="185">
        <f>K348</f>
        <v/>
      </c>
      <c r="L349" s="178" t="n"/>
      <c r="M349" s="178">
        <f>(I349+L349)*$W$41</f>
        <v/>
      </c>
      <c r="N349" s="180">
        <f>I349*K349+I349+L349+M349</f>
        <v/>
      </c>
      <c r="O349" s="194" t="n"/>
      <c r="P349" s="326" t="n"/>
      <c r="Q349" s="159" t="n"/>
      <c r="R349" s="159" t="n"/>
    </row>
    <row customHeight="1" ht="15" r="350">
      <c r="A350" s="181" t="n"/>
      <c r="B350" s="216" t="n"/>
      <c r="C350" s="262" t="n"/>
      <c r="D350" s="262" t="n"/>
      <c r="E350" s="248" t="inlineStr"/>
      <c r="F350" s="248" t="n"/>
      <c r="G350" s="217" t="n"/>
      <c r="H350" s="216" t="n"/>
      <c r="I350" s="223" t="n"/>
      <c r="J350" s="223" t="n"/>
      <c r="K350" s="217" t="n"/>
      <c r="L350" s="217" t="n"/>
      <c r="M350" s="217" t="n"/>
      <c r="N350" s="224" t="n"/>
      <c r="O350" s="288" t="n"/>
      <c r="P350" s="326" t="n"/>
      <c r="Q350" s="159" t="n"/>
      <c r="R350" s="159" t="n"/>
    </row>
    <row customHeight="1" ht="15" r="351">
      <c r="A351" s="189" t="n"/>
      <c r="B351" s="534" t="n"/>
      <c r="C351" s="192" t="inlineStr">
        <is>
          <t>Потребление арендаторов:</t>
        </is>
      </c>
      <c r="D351" s="192" t="n"/>
      <c r="E351" s="255" t="inlineStr"/>
      <c r="F351" s="255" t="n"/>
      <c r="G351" s="231" t="n"/>
      <c r="H351" s="534" t="n"/>
      <c r="J351" s="255">
        <f>SUM(I332:I349)</f>
        <v/>
      </c>
      <c r="K351" s="178" t="n"/>
      <c r="L351" s="178" t="n"/>
      <c r="M351" s="178" t="n"/>
      <c r="O351" s="194">
        <f>K351*L351+K351</f>
        <v/>
      </c>
      <c r="P351" s="290">
        <f>SUM(I332:I349)</f>
        <v/>
      </c>
      <c r="Q351" s="159" t="n"/>
      <c r="R351" s="159" t="n"/>
    </row>
    <row customHeight="1" ht="15" r="352">
      <c r="A352" s="255" t="n"/>
      <c r="B352" s="534" t="n"/>
      <c r="C352" s="192" t="inlineStr">
        <is>
          <t>Учет 7-й этаж секция Б общий :</t>
        </is>
      </c>
      <c r="D352" s="335" t="n"/>
      <c r="E352" s="336" t="inlineStr"/>
      <c r="F352" s="336" t="n">
        <v>114429.1</v>
      </c>
      <c r="G352" s="253">
        <f>E352-F352</f>
        <v/>
      </c>
      <c r="H352" s="418" t="n">
        <v>1</v>
      </c>
      <c r="J352" s="119">
        <f>G352*H352</f>
        <v/>
      </c>
      <c r="K352" s="198" t="n"/>
      <c r="L352" s="178" t="n"/>
      <c r="M352" s="178" t="n"/>
      <c r="O352" s="194">
        <f>K352*L352+K352</f>
        <v/>
      </c>
      <c r="P352" s="194">
        <f>J352*K352+J352</f>
        <v/>
      </c>
      <c r="Q352" s="200" t="n"/>
      <c r="R352" s="201" t="n"/>
      <c r="S352" s="202" t="n"/>
      <c r="T352" s="427" t="n"/>
      <c r="U352" s="427" t="n"/>
      <c r="V352" s="427" t="n"/>
      <c r="W352" s="427" t="n"/>
      <c r="X352" s="427" t="n"/>
      <c r="Y352" s="427" t="n"/>
    </row>
    <row customHeight="1" ht="15" r="353">
      <c r="A353" s="189" t="n"/>
      <c r="B353" s="534" t="n"/>
      <c r="C353" s="192" t="inlineStr">
        <is>
          <t>Потребление коридора:</t>
        </is>
      </c>
      <c r="D353" s="192" t="n"/>
      <c r="E353" s="255" t="inlineStr"/>
      <c r="F353" s="255" t="n"/>
      <c r="G353" s="231" t="n"/>
      <c r="H353" s="534" t="n"/>
      <c r="J353" s="255">
        <f>J352-J351</f>
        <v/>
      </c>
      <c r="K353" s="178" t="n"/>
      <c r="L353" s="178" t="n"/>
      <c r="M353" s="178" t="n"/>
      <c r="O353" s="194">
        <f>K353*L353+K353</f>
        <v/>
      </c>
      <c r="P353" s="194">
        <f>J353*K353+J353</f>
        <v/>
      </c>
      <c r="Q353" s="159" t="n"/>
      <c r="R353" s="159" t="n"/>
    </row>
    <row customHeight="1" ht="15.75" r="354">
      <c r="A354" s="255" t="n"/>
      <c r="B354" s="534" t="n"/>
      <c r="C354" s="192" t="inlineStr">
        <is>
          <t>Выставляем арендаторам :</t>
        </is>
      </c>
      <c r="D354" s="192" t="n"/>
      <c r="E354" s="197" t="inlineStr"/>
      <c r="F354" s="197" t="n"/>
      <c r="G354" s="231" t="n"/>
      <c r="H354" s="534" t="n"/>
      <c r="I354" s="255" t="n"/>
      <c r="J354" s="255" t="n"/>
      <c r="K354" s="198" t="n"/>
      <c r="L354" s="178" t="n"/>
      <c r="M354" s="178" t="n"/>
      <c r="O354" s="194" t="n"/>
      <c r="P354" s="199">
        <f>SUM(N332:N349)</f>
        <v/>
      </c>
      <c r="Q354" s="200" t="n"/>
      <c r="R354" s="201" t="n"/>
      <c r="S354" s="202" t="n"/>
      <c r="T354" s="427" t="n"/>
      <c r="U354" s="427" t="n"/>
      <c r="V354" s="427" t="n"/>
      <c r="W354" s="427" t="n"/>
      <c r="X354" s="427" t="n"/>
      <c r="Y354" s="427" t="n"/>
    </row>
    <row customHeight="1" ht="15" r="355">
      <c r="A355" s="255" t="n"/>
      <c r="B355" s="534" t="n"/>
      <c r="C355" s="192" t="inlineStr">
        <is>
          <t>Общий итог :</t>
        </is>
      </c>
      <c r="D355" s="192" t="n"/>
      <c r="E355" s="197" t="inlineStr"/>
      <c r="F355" s="197" t="n"/>
      <c r="G355" s="231" t="n"/>
      <c r="H355" s="534" t="n"/>
      <c r="I355" s="255" t="n"/>
      <c r="J355" s="255" t="n"/>
      <c r="K355" s="198" t="n"/>
      <c r="L355" s="178" t="n"/>
      <c r="M355" s="178" t="n"/>
      <c r="O355" s="194" t="n"/>
      <c r="P355" s="194">
        <f>P354-P352</f>
        <v/>
      </c>
      <c r="Q355" s="200" t="n"/>
      <c r="R355" s="201" t="n"/>
      <c r="S355" s="202" t="n"/>
      <c r="T355" s="427" t="n"/>
      <c r="U355" s="427" t="n"/>
      <c r="V355" s="427" t="n"/>
      <c r="W355" s="427" t="n"/>
      <c r="X355" s="427" t="n"/>
      <c r="Y355" s="427" t="n"/>
    </row>
    <row customHeight="1" ht="15" r="356">
      <c r="A356" s="255" t="n"/>
      <c r="B356" s="534" t="n"/>
      <c r="C356" s="192" t="inlineStr">
        <is>
          <t>Общий итог с потерями РЭСа:</t>
        </is>
      </c>
      <c r="D356" s="192" t="n"/>
      <c r="E356" s="197" t="inlineStr"/>
      <c r="F356" s="197" t="n"/>
      <c r="G356" s="231" t="n"/>
      <c r="H356" s="534" t="n"/>
      <c r="I356" s="255" t="n"/>
      <c r="J356" s="255" t="n"/>
      <c r="K356" s="198" t="n"/>
      <c r="L356" s="178" t="n"/>
      <c r="M356" s="178" t="n"/>
      <c r="O356" s="194" t="n"/>
      <c r="P356" s="194">
        <f>P354-(P352*AC25+P352)</f>
        <v/>
      </c>
      <c r="Q356" s="200" t="n"/>
      <c r="R356" s="201" t="n"/>
      <c r="S356" s="202" t="n"/>
      <c r="T356" s="427" t="n"/>
      <c r="U356" s="427" t="n"/>
      <c r="V356" s="427" t="n"/>
      <c r="W356" s="427" t="n"/>
      <c r="X356" s="427" t="n"/>
      <c r="Y356" s="427" t="n"/>
    </row>
    <row customHeight="1" ht="18.75" r="357">
      <c r="A357" s="536" t="n"/>
      <c r="B357" s="537" t="n"/>
      <c r="C357" s="536" t="n"/>
      <c r="D357" s="536" t="n"/>
      <c r="E357" s="537" t="inlineStr"/>
      <c r="F357" s="537" t="n"/>
      <c r="G357" s="537" t="n"/>
      <c r="H357" s="537" t="n"/>
      <c r="I357" s="537" t="n"/>
      <c r="J357" s="536" t="n"/>
      <c r="K357" s="537" t="n"/>
      <c r="L357" s="537" t="n"/>
      <c r="M357" s="537" t="n"/>
      <c r="N357" s="536" t="n"/>
      <c r="O357" s="536" t="n"/>
      <c r="P357" s="326" t="n"/>
      <c r="Q357" s="159" t="n"/>
      <c r="R357" s="159" t="n"/>
    </row>
    <row r="358">
      <c r="A358" s="203" t="n"/>
      <c r="B358" s="165" t="inlineStr">
        <is>
          <t>корп. 2Б</t>
        </is>
      </c>
      <c r="C358" s="165" t="inlineStr">
        <is>
          <t>8-й этаж</t>
        </is>
      </c>
      <c r="D358" s="166" t="inlineStr">
        <is>
          <t>код ОКПО</t>
        </is>
      </c>
      <c r="E358" s="337" t="inlineStr"/>
      <c r="F358" s="337" t="n"/>
      <c r="G358" s="338" t="n"/>
      <c r="H358" s="164" t="n"/>
      <c r="I358" s="167" t="n"/>
      <c r="J358" s="167" t="n"/>
      <c r="K358" s="227" t="n">
        <v>0.32</v>
      </c>
      <c r="L358" s="167" t="n"/>
      <c r="M358" s="167" t="n"/>
      <c r="N358" s="206" t="n"/>
      <c r="O358" s="339" t="n"/>
      <c r="P358" s="340" t="n"/>
      <c r="Q358" s="159" t="n"/>
      <c r="R358" s="159" t="n"/>
    </row>
    <row customHeight="1" ht="15" r="359">
      <c r="A359" s="189" t="n"/>
      <c r="B359" s="534" t="n"/>
      <c r="C359" s="210" t="inlineStr">
        <is>
          <t>Криоин инжиниринг</t>
        </is>
      </c>
      <c r="D359" s="515" t="n">
        <v>39032768</v>
      </c>
      <c r="E359" s="362" t="inlineStr"/>
      <c r="F359" s="362" t="n"/>
      <c r="G359" s="341" t="n"/>
      <c r="H359" s="534" t="n"/>
      <c r="I359" s="255" t="n"/>
      <c r="J359" s="255" t="n"/>
      <c r="K359" s="185" t="n"/>
      <c r="L359" s="289" t="n"/>
      <c r="M359" s="289" t="n"/>
      <c r="N359" s="180">
        <f>I361*K361+I361+L361+M361</f>
        <v/>
      </c>
      <c r="O359" s="342" t="n"/>
      <c r="P359" s="340" t="n"/>
      <c r="Q359" s="159" t="n"/>
      <c r="R359" s="159" t="n"/>
    </row>
    <row customHeight="1" ht="15" r="360">
      <c r="A360" s="189" t="n"/>
      <c r="B360" s="534" t="n"/>
      <c r="C360" s="210" t="inlineStr">
        <is>
          <t>Интертелеком</t>
        </is>
      </c>
      <c r="D360" s="515" t="n">
        <v>30109015</v>
      </c>
      <c r="E360" s="362" t="inlineStr"/>
      <c r="F360" s="362" t="n">
        <v>52578.1</v>
      </c>
      <c r="G360" s="341">
        <f>E360-F360</f>
        <v/>
      </c>
      <c r="H360" s="534" t="n">
        <v>1</v>
      </c>
      <c r="I360" s="255">
        <f>G360*H360</f>
        <v/>
      </c>
      <c r="J360" s="255" t="n"/>
      <c r="K360" s="185">
        <f>K358</f>
        <v/>
      </c>
      <c r="L360" s="289" t="n"/>
      <c r="M360" s="178">
        <f>(I360+L360)*$W$41</f>
        <v/>
      </c>
      <c r="N360" s="180">
        <f>I360*K360+I360</f>
        <v/>
      </c>
      <c r="O360" s="342" t="n"/>
      <c r="P360" s="340" t="n"/>
      <c r="Q360" s="159" t="n"/>
      <c r="R360" s="159" t="n"/>
    </row>
    <row r="361">
      <c r="A361" s="189" t="n"/>
      <c r="B361" s="534" t="n"/>
      <c r="C361" s="343" t="inlineStr">
        <is>
          <t>учет 8-го этажа</t>
        </is>
      </c>
      <c r="D361" s="343" t="n"/>
      <c r="E361" s="362" t="inlineStr"/>
      <c r="F361" s="362" t="n">
        <v>141704.2</v>
      </c>
      <c r="G361" s="341">
        <f>E361-F361</f>
        <v/>
      </c>
      <c r="H361" s="534" t="n">
        <v>1</v>
      </c>
      <c r="I361" s="344">
        <f>G361*H361-I360</f>
        <v/>
      </c>
      <c r="J361" s="184" t="n"/>
      <c r="K361" s="185" t="n">
        <v>0.32</v>
      </c>
      <c r="L361" s="178" t="n"/>
      <c r="M361" s="178">
        <f>(I361+L361)*$W$41</f>
        <v/>
      </c>
      <c r="O361" s="342" t="n"/>
      <c r="P361" s="340" t="n"/>
      <c r="Q361" s="159" t="n"/>
      <c r="R361" s="159" t="n"/>
    </row>
    <row customHeight="1" ht="15" r="362">
      <c r="A362" s="189" t="n"/>
      <c r="B362" s="216" t="n"/>
      <c r="C362" s="345" t="n"/>
      <c r="D362" s="345" t="n"/>
      <c r="E362" s="346" t="inlineStr"/>
      <c r="F362" s="346" t="n"/>
      <c r="G362" s="347" t="n"/>
      <c r="H362" s="216" t="n"/>
      <c r="I362" s="223" t="n"/>
      <c r="J362" s="223" t="n"/>
      <c r="K362" s="217" t="n"/>
      <c r="L362" s="217" t="n"/>
      <c r="M362" s="217" t="n"/>
      <c r="N362" s="348" t="n"/>
      <c r="O362" s="349" t="n"/>
      <c r="P362" s="340" t="n"/>
      <c r="Q362" s="159" t="n"/>
      <c r="R362" s="159" t="n"/>
    </row>
    <row customHeight="1" ht="15" r="363">
      <c r="A363" s="189" t="n"/>
      <c r="B363" s="534" t="n"/>
      <c r="C363" s="192" t="inlineStr">
        <is>
          <t>Потребление арендаторов:</t>
        </is>
      </c>
      <c r="D363" s="192" t="n"/>
      <c r="E363" s="255" t="inlineStr"/>
      <c r="F363" s="255" t="n"/>
      <c r="G363" s="231" t="n"/>
      <c r="H363" s="534" t="n"/>
      <c r="J363" s="255">
        <f>I361</f>
        <v/>
      </c>
      <c r="K363" s="178" t="n"/>
      <c r="L363" s="178" t="n"/>
      <c r="M363" s="178" t="n"/>
      <c r="O363" s="194">
        <f>K363*L363+K363</f>
        <v/>
      </c>
      <c r="P363" s="290">
        <f>SUM(I361)</f>
        <v/>
      </c>
      <c r="Q363" s="159" t="n"/>
      <c r="R363" s="159" t="n"/>
    </row>
    <row customHeight="1" ht="15" r="364">
      <c r="A364" s="255" t="n"/>
      <c r="B364" s="534" t="n"/>
      <c r="C364" s="192" t="inlineStr">
        <is>
          <t>Учет 8-й этаж секция Б общий :</t>
        </is>
      </c>
      <c r="D364" s="192" t="n"/>
      <c r="E364" s="362" t="inlineStr"/>
      <c r="F364" s="362">
        <f>E361</f>
        <v/>
      </c>
      <c r="G364" s="253">
        <f>E364-F364</f>
        <v/>
      </c>
      <c r="H364" s="418" t="n">
        <v>1</v>
      </c>
      <c r="J364" s="119">
        <f>G364*H364</f>
        <v/>
      </c>
      <c r="K364" s="198" t="n"/>
      <c r="L364" s="178" t="n"/>
      <c r="M364" s="178" t="n"/>
      <c r="O364" s="194">
        <f>K364*L364+K364</f>
        <v/>
      </c>
      <c r="P364" s="194">
        <f>J364*K364+J364</f>
        <v/>
      </c>
      <c r="Q364" s="200" t="n"/>
      <c r="R364" s="201" t="n"/>
      <c r="S364" s="202" t="n"/>
      <c r="T364" s="427" t="n"/>
      <c r="U364" s="427" t="n"/>
      <c r="V364" s="427" t="n"/>
      <c r="W364" s="427" t="n"/>
      <c r="X364" s="427" t="n"/>
      <c r="Y364" s="427" t="n"/>
    </row>
    <row customHeight="1" ht="15" r="365">
      <c r="A365" s="189" t="n"/>
      <c r="B365" s="534" t="n"/>
      <c r="C365" s="192" t="inlineStr">
        <is>
          <t>Потребление коридора:</t>
        </is>
      </c>
      <c r="D365" s="192" t="n"/>
      <c r="E365" s="255" t="inlineStr"/>
      <c r="F365" s="255" t="n"/>
      <c r="G365" s="231" t="n"/>
      <c r="H365" s="534" t="n"/>
      <c r="I365" s="255" t="n"/>
      <c r="J365" s="255" t="n"/>
      <c r="K365" s="178" t="n"/>
      <c r="L365" s="178" t="n"/>
      <c r="M365" s="178" t="n"/>
      <c r="O365" s="194">
        <f>K365*L365+K365</f>
        <v/>
      </c>
      <c r="P365" s="194">
        <f>I365*K365+I365</f>
        <v/>
      </c>
      <c r="Q365" s="159" t="n"/>
      <c r="R365" s="159" t="n"/>
    </row>
    <row customHeight="1" ht="15.75" r="366">
      <c r="A366" s="255" t="n"/>
      <c r="B366" s="534" t="n"/>
      <c r="C366" s="192" t="inlineStr">
        <is>
          <t>Выставляем арендаторам :</t>
        </is>
      </c>
      <c r="D366" s="192" t="n"/>
      <c r="E366" s="197" t="inlineStr"/>
      <c r="F366" s="197" t="n"/>
      <c r="G366" s="231" t="n"/>
      <c r="H366" s="534" t="n"/>
      <c r="I366" s="255" t="n"/>
      <c r="J366" s="255" t="n"/>
      <c r="K366" s="198" t="n"/>
      <c r="L366" s="178" t="n"/>
      <c r="M366" s="178" t="n"/>
      <c r="O366" s="194" t="n"/>
      <c r="P366" s="199">
        <f>N359+N360</f>
        <v/>
      </c>
      <c r="Q366" s="200" t="n"/>
      <c r="R366" s="201" t="n"/>
      <c r="S366" s="202" t="n"/>
      <c r="T366" s="427" t="n"/>
      <c r="U366" s="427" t="n"/>
      <c r="V366" s="427" t="n"/>
      <c r="W366" s="427" t="n"/>
      <c r="X366" s="427" t="n"/>
      <c r="Y366" s="427" t="n"/>
    </row>
    <row customHeight="1" ht="15" r="367">
      <c r="A367" s="255" t="n"/>
      <c r="B367" s="534" t="n"/>
      <c r="C367" s="192" t="inlineStr">
        <is>
          <t>Общий итог :</t>
        </is>
      </c>
      <c r="D367" s="192" t="n"/>
      <c r="E367" s="197" t="inlineStr"/>
      <c r="F367" s="197" t="n"/>
      <c r="G367" s="231" t="n"/>
      <c r="H367" s="534" t="n"/>
      <c r="I367" s="255" t="n"/>
      <c r="J367" s="255" t="n"/>
      <c r="K367" s="198" t="n"/>
      <c r="L367" s="178" t="n"/>
      <c r="M367" s="178" t="n"/>
      <c r="O367" s="194" t="n"/>
      <c r="P367" s="194">
        <f>P366-P364</f>
        <v/>
      </c>
      <c r="Q367" s="200" t="n"/>
      <c r="R367" s="201" t="n"/>
      <c r="S367" s="202" t="n"/>
      <c r="T367" s="427" t="n"/>
      <c r="U367" s="427" t="n"/>
      <c r="V367" s="427" t="n"/>
      <c r="W367" s="427" t="n"/>
      <c r="X367" s="427" t="n"/>
      <c r="Y367" s="427" t="n"/>
    </row>
    <row customHeight="1" ht="15" r="368">
      <c r="A368" s="255" t="n"/>
      <c r="B368" s="534" t="n"/>
      <c r="C368" s="192" t="inlineStr">
        <is>
          <t>Общий итог с потерями РЭСа:</t>
        </is>
      </c>
      <c r="D368" s="192" t="n"/>
      <c r="E368" s="197" t="inlineStr"/>
      <c r="F368" s="197" t="n"/>
      <c r="G368" s="231" t="n"/>
      <c r="H368" s="534" t="n"/>
      <c r="I368" s="255" t="n"/>
      <c r="J368" s="255" t="n"/>
      <c r="K368" s="198" t="n"/>
      <c r="L368" s="178" t="n"/>
      <c r="M368" s="178" t="n"/>
      <c r="O368" s="194" t="n"/>
      <c r="P368" s="194">
        <f>P366-(P364*AC25+P364)</f>
        <v/>
      </c>
      <c r="Q368" s="200" t="n"/>
      <c r="R368" s="201" t="n"/>
      <c r="S368" s="202" t="n"/>
      <c r="T368" s="427" t="n"/>
      <c r="U368" s="427" t="n"/>
      <c r="V368" s="427" t="n"/>
      <c r="W368" s="427" t="n"/>
      <c r="X368" s="427" t="n"/>
      <c r="Y368" s="427" t="n"/>
    </row>
    <row customHeight="1" ht="18.75" r="369">
      <c r="A369" s="536" t="n"/>
      <c r="B369" s="537" t="n"/>
      <c r="C369" s="536" t="n"/>
      <c r="D369" s="536" t="n"/>
      <c r="E369" s="537" t="inlineStr"/>
      <c r="F369" s="537" t="n"/>
      <c r="G369" s="537" t="n"/>
      <c r="H369" s="537" t="n"/>
      <c r="I369" s="537" t="n"/>
      <c r="J369" s="536" t="n"/>
      <c r="K369" s="537" t="n"/>
      <c r="L369" s="537" t="n"/>
      <c r="M369" s="537" t="n"/>
      <c r="N369" s="536" t="n"/>
      <c r="O369" s="536" t="n"/>
      <c r="P369" s="351" t="n"/>
      <c r="Q369" s="200" t="n"/>
      <c r="R369" s="201" t="n"/>
      <c r="S369" s="202" t="n"/>
      <c r="T369" s="427" t="n"/>
      <c r="U369" s="427" t="n"/>
      <c r="V369" s="427" t="n"/>
      <c r="W369" s="427" t="n"/>
      <c r="X369" s="427" t="n"/>
      <c r="Y369" s="427" t="n"/>
    </row>
    <row r="370">
      <c r="A370" s="203" t="n"/>
      <c r="B370" s="165" t="inlineStr">
        <is>
          <t>корп. 2Б</t>
        </is>
      </c>
      <c r="C370" s="165" t="inlineStr">
        <is>
          <t>9-й этаж</t>
        </is>
      </c>
      <c r="D370" s="166" t="inlineStr">
        <is>
          <t>код ОКПО</t>
        </is>
      </c>
      <c r="E370" s="337" t="inlineStr"/>
      <c r="F370" s="337" t="n"/>
      <c r="G370" s="352" t="n"/>
      <c r="H370" s="164" t="n"/>
      <c r="I370" s="167" t="n"/>
      <c r="J370" s="167" t="n"/>
      <c r="K370" s="227" t="n">
        <v>0.32</v>
      </c>
      <c r="L370" s="167" t="n"/>
      <c r="M370" s="167" t="n"/>
      <c r="N370" s="206" t="n"/>
      <c r="O370" s="339" t="n"/>
      <c r="P370" s="340" t="n"/>
      <c r="Q370" s="159" t="n"/>
      <c r="R370" s="159" t="n"/>
    </row>
    <row customHeight="1" ht="15" r="371">
      <c r="A371" s="189" t="n"/>
      <c r="B371" s="508" t="n">
        <v>901</v>
      </c>
      <c r="C371" s="210" t="inlineStr">
        <is>
          <t>Криоин инжиниринг</t>
        </is>
      </c>
      <c r="D371" s="515" t="n">
        <v>39032768</v>
      </c>
      <c r="E371" s="362" t="inlineStr"/>
      <c r="F371" s="362" t="n"/>
      <c r="G371" s="253" t="n"/>
      <c r="H371" s="534" t="n"/>
      <c r="I371" s="255" t="n"/>
      <c r="J371" s="255" t="n"/>
      <c r="K371" s="185" t="n"/>
      <c r="L371" s="289" t="n"/>
      <c r="M371" s="289" t="n"/>
      <c r="N371" s="180">
        <f>I372*K372+I372+L372+M372</f>
        <v/>
      </c>
      <c r="O371" s="342" t="n"/>
      <c r="P371" s="340" t="n"/>
      <c r="Q371" s="159" t="n"/>
      <c r="R371" s="159" t="n"/>
    </row>
    <row customHeight="1" ht="15" r="372">
      <c r="A372" s="189" t="n"/>
      <c r="B372" s="534" t="n"/>
      <c r="C372" s="343" t="inlineStr">
        <is>
          <t>учет 9-го этажа</t>
        </is>
      </c>
      <c r="D372" s="343" t="n"/>
      <c r="E372" s="362" t="inlineStr"/>
      <c r="F372" s="362" t="n">
        <v>85751.3</v>
      </c>
      <c r="G372" s="231">
        <f>E372-F372</f>
        <v/>
      </c>
      <c r="H372" s="534" t="n">
        <v>1</v>
      </c>
      <c r="I372" s="184">
        <f>G372*H372</f>
        <v/>
      </c>
      <c r="J372" s="184" t="n"/>
      <c r="K372" s="185" t="n">
        <v>0.32</v>
      </c>
      <c r="L372" s="178" t="n"/>
      <c r="M372" s="178">
        <f>(I372+L372)*$W$41</f>
        <v/>
      </c>
      <c r="O372" s="194" t="n"/>
      <c r="P372" s="340" t="n"/>
      <c r="Q372" s="159" t="n"/>
      <c r="R372" s="159" t="n"/>
    </row>
    <row customHeight="1" ht="15" r="373">
      <c r="A373" s="189" t="n"/>
      <c r="B373" s="534" t="n"/>
      <c r="C373" s="343" t="n"/>
      <c r="D373" s="343" t="n"/>
      <c r="E373" s="362" t="inlineStr"/>
      <c r="F373" s="362" t="n"/>
      <c r="G373" s="231" t="n"/>
      <c r="H373" s="534" t="n"/>
      <c r="I373" s="184" t="n"/>
      <c r="J373" s="184" t="n"/>
      <c r="K373" s="178" t="n"/>
      <c r="L373" s="178" t="n"/>
      <c r="M373" s="178" t="n"/>
      <c r="N373" s="180" t="n"/>
      <c r="O373" s="194" t="n"/>
      <c r="P373" s="340" t="n"/>
      <c r="Q373" s="159" t="n"/>
      <c r="R373" s="159" t="n"/>
    </row>
    <row customHeight="1" ht="15" r="374">
      <c r="A374" s="189" t="n"/>
      <c r="B374" s="534" t="n"/>
      <c r="C374" s="192" t="inlineStr">
        <is>
          <t>Потребление арендаторов:</t>
        </is>
      </c>
      <c r="D374" s="192" t="n"/>
      <c r="E374" s="255" t="inlineStr"/>
      <c r="F374" s="255" t="n"/>
      <c r="G374" s="231" t="n"/>
      <c r="H374" s="534" t="n"/>
      <c r="J374" s="255">
        <f>SUM(I372)</f>
        <v/>
      </c>
      <c r="K374" s="178" t="n"/>
      <c r="L374" s="178" t="n"/>
      <c r="M374" s="178" t="n"/>
      <c r="O374" s="194">
        <f>K374*L374+K374</f>
        <v/>
      </c>
      <c r="P374" s="290">
        <f>SUM(I372)</f>
        <v/>
      </c>
      <c r="Q374" s="159" t="n"/>
      <c r="R374" s="159" t="n"/>
    </row>
    <row customHeight="1" ht="15" r="375">
      <c r="A375" s="255" t="n"/>
      <c r="B375" s="534" t="n"/>
      <c r="C375" s="192" t="inlineStr">
        <is>
          <t>Учет 9-й этаж секция Б общий :</t>
        </is>
      </c>
      <c r="D375" s="192" t="n"/>
      <c r="E375" s="362" t="inlineStr"/>
      <c r="F375" s="362">
        <f>E372</f>
        <v/>
      </c>
      <c r="G375" s="253">
        <f>E375-F375</f>
        <v/>
      </c>
      <c r="H375" s="418" t="n">
        <v>1</v>
      </c>
      <c r="J375" s="119">
        <f>G375*H375</f>
        <v/>
      </c>
      <c r="K375" s="198" t="n"/>
      <c r="L375" s="178" t="n"/>
      <c r="M375" s="178" t="n"/>
      <c r="O375" s="194">
        <f>K375*L375+K375</f>
        <v/>
      </c>
      <c r="P375" s="194">
        <f>J375*K375+J375</f>
        <v/>
      </c>
      <c r="Q375" s="200" t="n"/>
      <c r="R375" s="201" t="n"/>
      <c r="S375" s="202" t="n"/>
      <c r="T375" s="427" t="n"/>
      <c r="U375" s="427" t="n"/>
      <c r="V375" s="427" t="n"/>
      <c r="W375" s="427" t="n"/>
      <c r="X375" s="427" t="n"/>
      <c r="Y375" s="427" t="n"/>
    </row>
    <row customHeight="1" ht="15" r="376">
      <c r="A376" s="189" t="n"/>
      <c r="B376" s="534" t="n"/>
      <c r="C376" s="192" t="inlineStr">
        <is>
          <t>Потребление коридора:</t>
        </is>
      </c>
      <c r="D376" s="192" t="n"/>
      <c r="E376" s="255" t="inlineStr"/>
      <c r="F376" s="255" t="n"/>
      <c r="G376" s="231" t="n"/>
      <c r="H376" s="534" t="n"/>
      <c r="I376" s="255">
        <f>J375-J374</f>
        <v/>
      </c>
      <c r="J376" s="255" t="n"/>
      <c r="K376" s="178" t="n"/>
      <c r="L376" s="178" t="n"/>
      <c r="M376" s="178" t="n"/>
      <c r="O376" s="194">
        <f>K376*L376+K376</f>
        <v/>
      </c>
      <c r="P376" s="194">
        <f>I376*K376+I376</f>
        <v/>
      </c>
      <c r="Q376" s="159" t="n"/>
      <c r="R376" s="159" t="n"/>
    </row>
    <row customHeight="1" ht="15.75" r="377">
      <c r="A377" s="255" t="n"/>
      <c r="B377" s="534" t="n"/>
      <c r="C377" s="192" t="inlineStr">
        <is>
          <t>Выставляем арендаторам :</t>
        </is>
      </c>
      <c r="D377" s="192" t="n"/>
      <c r="E377" s="197" t="inlineStr"/>
      <c r="F377" s="197" t="n"/>
      <c r="G377" s="231" t="n"/>
      <c r="H377" s="534" t="n"/>
      <c r="I377" s="255" t="n"/>
      <c r="J377" s="255" t="n"/>
      <c r="K377" s="198" t="n"/>
      <c r="L377" s="178" t="n"/>
      <c r="M377" s="178" t="n"/>
      <c r="O377" s="194" t="n"/>
      <c r="P377" s="199">
        <f>N371</f>
        <v/>
      </c>
      <c r="Q377" s="200" t="n"/>
      <c r="R377" s="201" t="n"/>
      <c r="S377" s="202" t="n"/>
      <c r="T377" s="427" t="n"/>
      <c r="U377" s="427" t="n"/>
      <c r="V377" s="427" t="n"/>
      <c r="W377" s="427" t="n"/>
      <c r="X377" s="427" t="n"/>
      <c r="Y377" s="427" t="n"/>
    </row>
    <row customHeight="1" ht="15" r="378">
      <c r="A378" s="255" t="n"/>
      <c r="B378" s="534" t="n"/>
      <c r="C378" s="192" t="inlineStr">
        <is>
          <t>Общий итог :</t>
        </is>
      </c>
      <c r="D378" s="192" t="n"/>
      <c r="E378" s="197" t="inlineStr"/>
      <c r="F378" s="197" t="n"/>
      <c r="G378" s="231" t="n"/>
      <c r="H378" s="534" t="n"/>
      <c r="I378" s="255" t="n"/>
      <c r="J378" s="255" t="n"/>
      <c r="K378" s="198" t="n"/>
      <c r="L378" s="178" t="n"/>
      <c r="M378" s="178" t="n"/>
      <c r="O378" s="194" t="n"/>
      <c r="P378" s="194">
        <f>P377-P375</f>
        <v/>
      </c>
      <c r="Q378" s="200" t="n"/>
      <c r="R378" s="201" t="n"/>
      <c r="S378" s="202" t="n"/>
      <c r="T378" s="427" t="n"/>
      <c r="U378" s="427" t="n"/>
      <c r="V378" s="427" t="n"/>
      <c r="W378" s="427" t="n"/>
      <c r="X378" s="427" t="n"/>
      <c r="Y378" s="427" t="n"/>
    </row>
    <row customHeight="1" ht="15" r="379">
      <c r="A379" s="255" t="n"/>
      <c r="B379" s="534" t="n"/>
      <c r="C379" s="192" t="inlineStr">
        <is>
          <t>Общий итог с потерями РЭСа:</t>
        </is>
      </c>
      <c r="D379" s="192" t="n"/>
      <c r="E379" s="197" t="inlineStr"/>
      <c r="F379" s="197" t="n"/>
      <c r="G379" s="231" t="n"/>
      <c r="H379" s="534" t="n"/>
      <c r="I379" s="255" t="n"/>
      <c r="J379" s="255" t="n"/>
      <c r="K379" s="198" t="n"/>
      <c r="L379" s="178" t="n"/>
      <c r="M379" s="178" t="n"/>
      <c r="O379" s="194" t="n"/>
      <c r="P379" s="194">
        <f>P377-(P375*AC25+P375)</f>
        <v/>
      </c>
      <c r="Q379" s="200" t="n"/>
      <c r="R379" s="201" t="n"/>
      <c r="S379" s="202" t="n"/>
      <c r="T379" s="427" t="n"/>
      <c r="U379" s="427" t="n"/>
      <c r="V379" s="427" t="n"/>
      <c r="W379" s="427" t="n"/>
      <c r="X379" s="427" t="n"/>
      <c r="Y379" s="427" t="n"/>
    </row>
    <row customHeight="1" ht="17.25" r="380">
      <c r="A380" s="536" t="n"/>
      <c r="B380" s="537" t="n"/>
      <c r="C380" s="536" t="n"/>
      <c r="D380" s="536" t="n"/>
      <c r="E380" s="537" t="inlineStr"/>
      <c r="F380" s="537" t="n"/>
      <c r="G380" s="537" t="n"/>
      <c r="H380" s="537" t="n"/>
      <c r="I380" s="537" t="n"/>
      <c r="J380" s="536" t="n"/>
      <c r="K380" s="537" t="n"/>
      <c r="L380" s="537" t="n"/>
      <c r="M380" s="537" t="n"/>
      <c r="N380" s="536" t="n"/>
      <c r="O380" s="536" t="n"/>
      <c r="P380" s="340" t="n"/>
      <c r="Q380" s="159" t="n"/>
      <c r="R380" s="159" t="n"/>
    </row>
    <row customHeight="1" ht="15" r="381">
      <c r="A381" s="164" t="n"/>
      <c r="B381" s="192" t="inlineStr">
        <is>
          <t>Корп. 4</t>
        </is>
      </c>
      <c r="C381" s="192" t="inlineStr">
        <is>
          <t>Подвал</t>
        </is>
      </c>
      <c r="D381" s="166" t="inlineStr">
        <is>
          <t>код ОКПО</t>
        </is>
      </c>
      <c r="E381" s="204" t="inlineStr"/>
      <c r="F381" s="204" t="n"/>
      <c r="G381" s="208" t="n"/>
      <c r="H381" s="164" t="n"/>
      <c r="I381" s="167" t="n"/>
      <c r="J381" s="167" t="n"/>
      <c r="K381" s="207" t="n">
        <v>0.32</v>
      </c>
      <c r="L381" s="323" t="n"/>
      <c r="M381" s="323" t="n"/>
      <c r="N381" s="353" t="n"/>
      <c r="O381" s="354" t="n"/>
      <c r="P381" s="355" t="n"/>
      <c r="Q381" s="159" t="n"/>
      <c r="R381" s="159" t="n"/>
    </row>
    <row customHeight="1" ht="15" r="382">
      <c r="A382" s="356" t="n"/>
      <c r="B382" s="512" t="n">
        <v>4901</v>
      </c>
      <c r="C382" s="212" t="inlineStr">
        <is>
          <t>Вантелеком</t>
        </is>
      </c>
      <c r="D382" s="515" t="n">
        <v>35049144</v>
      </c>
      <c r="E382" s="284" t="inlineStr"/>
      <c r="F382" s="284" t="n">
        <v>154356.4</v>
      </c>
      <c r="G382" s="231">
        <f>E382-F382</f>
        <v/>
      </c>
      <c r="H382" s="534" t="n">
        <v>1</v>
      </c>
      <c r="I382" s="184">
        <f>G382*H382</f>
        <v/>
      </c>
      <c r="J382" s="184" t="n"/>
      <c r="K382" s="185">
        <f>K381</f>
        <v/>
      </c>
      <c r="L382" s="178" t="n"/>
      <c r="M382" s="178">
        <f>(I382+L382)*$W$41</f>
        <v/>
      </c>
      <c r="N382" s="180">
        <f>I382*K382+I382+L382+M382</f>
        <v/>
      </c>
      <c r="O382" s="194" t="n"/>
      <c r="P382" s="355" t="n"/>
      <c r="Q382" s="159" t="n"/>
      <c r="R382" s="159" t="n"/>
    </row>
    <row customHeight="1" ht="15" r="383">
      <c r="A383" s="356" t="n"/>
      <c r="B383" s="512" t="n">
        <v>4902</v>
      </c>
      <c r="C383" s="212" t="inlineStr">
        <is>
          <t>Чкаловские курсы</t>
        </is>
      </c>
      <c r="D383" s="515" t="n">
        <v>38295904</v>
      </c>
      <c r="E383" s="284" t="inlineStr"/>
      <c r="F383" s="284" t="n">
        <v>2014.8</v>
      </c>
      <c r="G383" s="231">
        <f>E383-F383</f>
        <v/>
      </c>
      <c r="H383" s="534" t="n">
        <v>1</v>
      </c>
      <c r="I383" s="184">
        <f>G383*H383</f>
        <v/>
      </c>
      <c r="J383" s="184" t="n"/>
      <c r="K383" s="185">
        <f>K382</f>
        <v/>
      </c>
      <c r="L383" s="178" t="n">
        <v>10</v>
      </c>
      <c r="M383" s="178">
        <f>(I383+L383)*$W$41</f>
        <v/>
      </c>
      <c r="N383" s="180">
        <f>I383*K383+I383+L383+M383</f>
        <v/>
      </c>
      <c r="O383" s="194" t="n"/>
      <c r="P383" s="355" t="n"/>
      <c r="Q383" s="159" t="n"/>
      <c r="R383" s="159" t="n"/>
    </row>
    <row customHeight="1" ht="15" r="384">
      <c r="A384" s="356" t="n"/>
      <c r="B384" s="512" t="n">
        <v>4903</v>
      </c>
      <c r="C384" s="212" t="inlineStr">
        <is>
          <t>Чкаловские курсы</t>
        </is>
      </c>
      <c r="D384" s="515" t="n">
        <v>38295904</v>
      </c>
      <c r="E384" s="284" t="inlineStr"/>
      <c r="F384" s="284" t="n">
        <v>2272.4</v>
      </c>
      <c r="G384" s="231">
        <f>E384-F384</f>
        <v/>
      </c>
      <c r="H384" s="534" t="n">
        <v>1</v>
      </c>
      <c r="I384" s="184">
        <f>G384*H384</f>
        <v/>
      </c>
      <c r="J384" s="184" t="n"/>
      <c r="K384" s="185">
        <f>K383</f>
        <v/>
      </c>
      <c r="L384" s="178" t="n"/>
      <c r="M384" s="178">
        <f>(I384+L384)*$W$41</f>
        <v/>
      </c>
      <c r="N384" s="180">
        <f>I384*K384+I384+L384+M384</f>
        <v/>
      </c>
      <c r="O384" s="194" t="n"/>
      <c r="P384" s="355" t="n"/>
      <c r="Q384" s="159" t="n"/>
      <c r="R384" s="159" t="n"/>
    </row>
    <row customHeight="1" ht="15" r="385">
      <c r="A385" s="356" t="n"/>
      <c r="B385" s="512" t="n">
        <v>4904</v>
      </c>
      <c r="C385" s="212" t="inlineStr">
        <is>
          <t>Чкаловские курсы</t>
        </is>
      </c>
      <c r="D385" s="515" t="n">
        <v>38295904</v>
      </c>
      <c r="E385" s="284" t="inlineStr"/>
      <c r="F385" s="284" t="n">
        <v>6580.4</v>
      </c>
      <c r="G385" s="231">
        <f>E385-F385</f>
        <v/>
      </c>
      <c r="H385" s="534" t="n">
        <v>1</v>
      </c>
      <c r="I385" s="184">
        <f>G385*H385</f>
        <v/>
      </c>
      <c r="J385" s="184" t="n"/>
      <c r="K385" s="185">
        <f>K384</f>
        <v/>
      </c>
      <c r="L385" s="178" t="n"/>
      <c r="M385" s="178">
        <f>(I385+L385)*$W$41</f>
        <v/>
      </c>
      <c r="N385" s="180">
        <f>I385*K385+I385+L385+M385</f>
        <v/>
      </c>
      <c r="O385" s="194" t="n"/>
      <c r="P385" s="355" t="n"/>
      <c r="Q385" s="159" t="n"/>
      <c r="R385" s="159" t="n"/>
    </row>
    <row customHeight="1" ht="15" r="386">
      <c r="A386" s="356" t="n"/>
      <c r="B386" s="512" t="n">
        <v>4905</v>
      </c>
      <c r="C386" s="212" t="inlineStr">
        <is>
          <t>Цымбал</t>
        </is>
      </c>
      <c r="D386" s="515" t="n">
        <v>3130016644</v>
      </c>
      <c r="E386" s="284" t="inlineStr"/>
      <c r="F386" s="284" t="n">
        <v>12553.7</v>
      </c>
      <c r="G386" s="231">
        <f>E386-F386</f>
        <v/>
      </c>
      <c r="H386" s="534" t="n">
        <v>1</v>
      </c>
      <c r="I386" s="184">
        <f>G386*H386</f>
        <v/>
      </c>
      <c r="J386" s="184" t="n"/>
      <c r="K386" s="185">
        <f>K385</f>
        <v/>
      </c>
      <c r="L386" s="178" t="n">
        <v>5</v>
      </c>
      <c r="M386" s="178">
        <f>(I386+L386)*$W$41</f>
        <v/>
      </c>
      <c r="N386" s="180">
        <f>I386*K386+I386+L386+M386</f>
        <v/>
      </c>
      <c r="O386" s="194" t="n"/>
      <c r="P386" s="355" t="n"/>
      <c r="Q386" s="159" t="n"/>
      <c r="R386" s="159" t="n"/>
    </row>
    <row customHeight="1" ht="15" r="387">
      <c r="A387" s="356" t="n"/>
      <c r="B387" s="512" t="n">
        <v>4906</v>
      </c>
      <c r="C387" s="212" t="inlineStr">
        <is>
          <t>Чкаловские курсы</t>
        </is>
      </c>
      <c r="D387" s="515" t="n">
        <v>38295904</v>
      </c>
      <c r="E387" s="284" t="inlineStr"/>
      <c r="F387" s="284" t="n">
        <v>3423.9</v>
      </c>
      <c r="G387" s="231">
        <f>E387-F387</f>
        <v/>
      </c>
      <c r="H387" s="534" t="n">
        <v>1</v>
      </c>
      <c r="I387" s="184">
        <f>G387*H387</f>
        <v/>
      </c>
      <c r="J387" s="184" t="n"/>
      <c r="K387" s="185">
        <f>K386</f>
        <v/>
      </c>
      <c r="L387" s="178" t="n"/>
      <c r="M387" s="178">
        <f>(I387+L387)*$W$41</f>
        <v/>
      </c>
      <c r="N387" s="180">
        <f>I387*K387+I387+L387+M387</f>
        <v/>
      </c>
      <c r="O387" s="194" t="n"/>
      <c r="P387" s="355" t="n"/>
      <c r="Q387" s="159" t="n"/>
      <c r="R387" s="159" t="n"/>
    </row>
    <row customHeight="1" ht="15" r="388">
      <c r="A388" s="356" t="n"/>
      <c r="B388" s="512" t="n">
        <v>4907</v>
      </c>
      <c r="C388" s="212" t="inlineStr">
        <is>
          <t>Чкаловские курсы</t>
        </is>
      </c>
      <c r="D388" s="515" t="n">
        <v>38295904</v>
      </c>
      <c r="E388" s="284" t="inlineStr"/>
      <c r="F388" s="284" t="n">
        <v>4547.5</v>
      </c>
      <c r="G388" s="231">
        <f>E388-F388</f>
        <v/>
      </c>
      <c r="H388" s="534" t="n">
        <v>1</v>
      </c>
      <c r="I388" s="184">
        <f>G388*H388</f>
        <v/>
      </c>
      <c r="J388" s="184" t="n"/>
      <c r="K388" s="185">
        <f>K387</f>
        <v/>
      </c>
      <c r="L388" s="178" t="n"/>
      <c r="M388" s="178">
        <f>(I388+L388)*$W$41</f>
        <v/>
      </c>
      <c r="N388" s="180">
        <f>I388*K388+I388+L388+M388</f>
        <v/>
      </c>
      <c r="O388" s="194" t="n"/>
      <c r="P388" s="355" t="n"/>
      <c r="Q388" s="159" t="n"/>
      <c r="R388" s="159" t="n"/>
    </row>
    <row customHeight="1" ht="15" r="389">
      <c r="A389" s="356" t="n"/>
      <c r="B389" s="512" t="n">
        <v>4908</v>
      </c>
      <c r="C389" s="212" t="inlineStr">
        <is>
          <t>Вантелеком</t>
        </is>
      </c>
      <c r="D389" s="515" t="n">
        <v>35049144</v>
      </c>
      <c r="E389" s="284" t="inlineStr"/>
      <c r="F389" s="284" t="n">
        <v>43794.9</v>
      </c>
      <c r="G389" s="231">
        <f>E389-F389</f>
        <v/>
      </c>
      <c r="H389" s="534" t="n">
        <v>1</v>
      </c>
      <c r="I389" s="184">
        <f>G389*H389</f>
        <v/>
      </c>
      <c r="J389" s="184" t="n"/>
      <c r="K389" s="185">
        <f>K388</f>
        <v/>
      </c>
      <c r="L389" s="178" t="n"/>
      <c r="M389" s="178">
        <f>(I389+L389)*$W$41</f>
        <v/>
      </c>
      <c r="N389" s="180">
        <f>I389*K389+I389+L389+M389</f>
        <v/>
      </c>
      <c r="O389" s="194" t="n"/>
      <c r="P389" s="355" t="n"/>
      <c r="Q389" s="159" t="n"/>
      <c r="R389" s="159" t="n"/>
    </row>
    <row customHeight="1" ht="15" r="390">
      <c r="A390" s="222" t="n"/>
      <c r="B390" s="512" t="n">
        <v>4910</v>
      </c>
      <c r="C390" s="212" t="inlineStr">
        <is>
          <t>Тенет</t>
        </is>
      </c>
      <c r="D390" s="515" t="n">
        <v>22485498</v>
      </c>
      <c r="E390" s="248" t="inlineStr"/>
      <c r="F390" s="248" t="n">
        <v>14335.2</v>
      </c>
      <c r="G390" s="217">
        <f>E390-F390</f>
        <v/>
      </c>
      <c r="H390" s="216" t="n">
        <v>1</v>
      </c>
      <c r="I390" s="223">
        <f>G390*H390</f>
        <v/>
      </c>
      <c r="J390" s="223" t="n"/>
      <c r="K390" s="185">
        <f>K389</f>
        <v/>
      </c>
      <c r="L390" s="217" t="n"/>
      <c r="M390" s="178">
        <f>(I390+L390)*$W$41</f>
        <v/>
      </c>
      <c r="N390" s="180">
        <f>I390*K390+I390+L390+M390</f>
        <v/>
      </c>
      <c r="O390" s="288" t="n"/>
      <c r="P390" s="355" t="n"/>
      <c r="Q390" s="159" t="n"/>
      <c r="R390" s="159" t="n"/>
    </row>
    <row customHeight="1" ht="15" r="391">
      <c r="A391" s="222" t="n"/>
      <c r="B391" s="421" t="n"/>
      <c r="C391" s="421" t="n"/>
      <c r="D391" s="531" t="n"/>
      <c r="E391" s="248" t="inlineStr"/>
      <c r="F391" s="248" t="n"/>
      <c r="G391" s="217" t="n"/>
      <c r="H391" s="216" t="n"/>
      <c r="I391" s="223" t="n"/>
      <c r="J391" s="223" t="n"/>
      <c r="K391" s="178" t="n"/>
      <c r="L391" s="217" t="n"/>
      <c r="M391" s="217" t="n"/>
      <c r="N391" s="180" t="n"/>
      <c r="O391" s="288" t="n"/>
      <c r="P391" s="355" t="n"/>
      <c r="Q391" s="159" t="n"/>
      <c r="R391" s="159" t="n"/>
    </row>
    <row customHeight="1" ht="15" r="392">
      <c r="A392" s="189" t="n"/>
      <c r="B392" s="534" t="n"/>
      <c r="C392" s="192" t="inlineStr">
        <is>
          <t>Потребление арендаторов:</t>
        </is>
      </c>
      <c r="D392" s="192" t="n"/>
      <c r="E392" s="255" t="inlineStr"/>
      <c r="F392" s="255" t="n"/>
      <c r="G392" s="231" t="n"/>
      <c r="H392" s="534" t="n"/>
      <c r="J392" s="255">
        <f>SUM(I382:I390)</f>
        <v/>
      </c>
      <c r="K392" s="178" t="n"/>
      <c r="L392" s="178" t="n"/>
      <c r="M392" s="178" t="n"/>
      <c r="O392" s="194">
        <f>K392*L392+K392</f>
        <v/>
      </c>
      <c r="P392" s="290">
        <f>SUM(I382:I390)</f>
        <v/>
      </c>
      <c r="Q392" s="159" t="n"/>
      <c r="R392" s="159" t="n"/>
    </row>
    <row customHeight="1" ht="15" r="393">
      <c r="A393" s="255" t="n"/>
      <c r="B393" s="534" t="n"/>
      <c r="C393" s="192" t="inlineStr">
        <is>
          <t>Учет подвал секция стилобат общий :</t>
        </is>
      </c>
      <c r="D393" s="192" t="n"/>
      <c r="E393" s="362" t="inlineStr"/>
      <c r="F393" s="362" t="n">
        <v>292537.2</v>
      </c>
      <c r="G393" s="253">
        <f>E393-F393</f>
        <v/>
      </c>
      <c r="H393" s="418" t="n">
        <v>1</v>
      </c>
      <c r="J393" s="119">
        <f>G393*H393</f>
        <v/>
      </c>
      <c r="K393" s="198" t="n"/>
      <c r="L393" s="178" t="n"/>
      <c r="M393" s="178" t="n"/>
      <c r="O393" s="194">
        <f>K393*L393+K393</f>
        <v/>
      </c>
      <c r="P393" s="194">
        <f>J393*K393+J393</f>
        <v/>
      </c>
      <c r="Q393" s="200" t="n"/>
      <c r="R393" s="201" t="n"/>
      <c r="S393" s="202" t="n"/>
      <c r="T393" s="427" t="n"/>
      <c r="U393" s="427" t="n"/>
      <c r="V393" s="427" t="n"/>
      <c r="W393" s="427" t="n"/>
      <c r="X393" s="427" t="n"/>
      <c r="Y393" s="427" t="n"/>
      <c r="AE393" s="527" t="n"/>
    </row>
    <row customHeight="1" ht="39.75" r="394">
      <c r="A394" s="189" t="n"/>
      <c r="B394" s="534" t="n"/>
      <c r="C394" s="263" t="inlineStr">
        <is>
          <t>Потребление коридора,вентиляция,наружное освещение</t>
        </is>
      </c>
      <c r="D394" s="263" t="n"/>
      <c r="E394" s="255" t="inlineStr"/>
      <c r="F394" s="189" t="n"/>
      <c r="G394" s="231" t="n"/>
      <c r="H394" s="534" t="n"/>
      <c r="J394" s="255">
        <f>J393-J392</f>
        <v/>
      </c>
      <c r="K394" s="178" t="n"/>
      <c r="L394" s="178" t="n"/>
      <c r="M394" s="178" t="n"/>
      <c r="O394" s="194">
        <f>K394*L394+K394</f>
        <v/>
      </c>
      <c r="P394" s="194">
        <f>J394*K394+J394</f>
        <v/>
      </c>
      <c r="Q394" s="159" t="n"/>
      <c r="R394" s="159" t="n"/>
    </row>
    <row customHeight="1" ht="15.75" r="395">
      <c r="A395" s="255" t="n"/>
      <c r="B395" s="534" t="n"/>
      <c r="C395" s="192" t="inlineStr">
        <is>
          <t>Выставляем арендаторам :</t>
        </is>
      </c>
      <c r="D395" s="192" t="n"/>
      <c r="E395" s="197" t="inlineStr"/>
      <c r="F395" s="197" t="n"/>
      <c r="G395" s="231" t="n"/>
      <c r="H395" s="534" t="n"/>
      <c r="I395" s="255" t="n"/>
      <c r="J395" s="255" t="n"/>
      <c r="K395" s="198" t="n"/>
      <c r="L395" s="178" t="n"/>
      <c r="M395" s="178" t="n"/>
      <c r="O395" s="194" t="n"/>
      <c r="P395" s="199">
        <f>SUM(N382:N390)</f>
        <v/>
      </c>
      <c r="Q395" s="200" t="n"/>
      <c r="R395" s="201" t="n"/>
      <c r="S395" s="202" t="n"/>
      <c r="T395" s="427" t="n"/>
      <c r="U395" s="427" t="n"/>
      <c r="V395" s="427" t="n"/>
      <c r="W395" s="427" t="n"/>
      <c r="X395" s="427" t="n"/>
      <c r="Y395" s="427" t="n"/>
    </row>
    <row customHeight="1" ht="15" r="396">
      <c r="A396" s="255" t="n"/>
      <c r="B396" s="534" t="n"/>
      <c r="C396" s="192" t="inlineStr">
        <is>
          <t>Общий итог :</t>
        </is>
      </c>
      <c r="D396" s="192" t="n"/>
      <c r="E396" s="197" t="inlineStr"/>
      <c r="F396" s="197" t="n"/>
      <c r="G396" s="231" t="n"/>
      <c r="H396" s="534" t="n"/>
      <c r="I396" s="255" t="n"/>
      <c r="J396" s="255" t="n"/>
      <c r="K396" s="198" t="n"/>
      <c r="L396" s="178" t="n"/>
      <c r="M396" s="178" t="n"/>
      <c r="O396" s="194" t="n"/>
      <c r="P396" s="194">
        <f>P395-P393</f>
        <v/>
      </c>
      <c r="Q396" s="200" t="n"/>
      <c r="R396" s="201" t="n"/>
      <c r="S396" s="202" t="n"/>
      <c r="T396" s="427" t="n"/>
      <c r="U396" s="427" t="n"/>
      <c r="V396" s="427" t="n"/>
      <c r="W396" s="427" t="n"/>
      <c r="X396" s="427" t="n"/>
      <c r="Y396" s="427" t="n"/>
    </row>
    <row customHeight="1" ht="15" r="397">
      <c r="A397" s="255" t="n"/>
      <c r="B397" s="534" t="n"/>
      <c r="C397" s="192" t="inlineStr">
        <is>
          <t>Общий итог с потерями РЭСа:</t>
        </is>
      </c>
      <c r="D397" s="192" t="n"/>
      <c r="E397" s="197" t="inlineStr"/>
      <c r="F397" s="197" t="n"/>
      <c r="G397" s="231" t="n"/>
      <c r="H397" s="534" t="n"/>
      <c r="I397" s="255" t="n"/>
      <c r="J397" s="255" t="n"/>
      <c r="K397" s="198" t="n"/>
      <c r="L397" s="178" t="n"/>
      <c r="M397" s="178" t="n"/>
      <c r="O397" s="194" t="n"/>
      <c r="P397" s="194">
        <f>P395-(P393*AC25+P393)</f>
        <v/>
      </c>
      <c r="Q397" s="200" t="n"/>
      <c r="R397" s="201" t="n"/>
      <c r="S397" s="202" t="n"/>
      <c r="T397" s="427" t="n"/>
      <c r="U397" s="427" t="n"/>
      <c r="V397" s="427" t="n"/>
      <c r="W397" s="427" t="n"/>
      <c r="X397" s="427" t="n"/>
      <c r="Y397" s="427" t="n"/>
    </row>
    <row customHeight="1" ht="18.75" r="398">
      <c r="A398" s="536" t="n"/>
      <c r="B398" s="537" t="n"/>
      <c r="C398" s="536" t="n"/>
      <c r="D398" s="536" t="n"/>
      <c r="E398" s="537" t="inlineStr"/>
      <c r="F398" s="537" t="n"/>
      <c r="G398" s="537" t="n"/>
      <c r="H398" s="537" t="n"/>
      <c r="I398" s="537" t="n"/>
      <c r="J398" s="536" t="n"/>
      <c r="K398" s="537" t="n"/>
      <c r="L398" s="537" t="n"/>
      <c r="M398" s="537" t="n"/>
      <c r="N398" s="536" t="n"/>
      <c r="O398" s="536" t="n"/>
      <c r="P398" s="351" t="n"/>
      <c r="Q398" s="200" t="n"/>
      <c r="R398" s="201" t="n"/>
      <c r="S398" s="202" t="n"/>
      <c r="T398" s="427" t="n"/>
      <c r="U398" s="427" t="n"/>
      <c r="V398" s="427" t="n"/>
      <c r="W398" s="427" t="n"/>
      <c r="X398" s="427" t="n"/>
      <c r="Y398" s="427" t="n"/>
    </row>
    <row customHeight="1" ht="15" r="399">
      <c r="A399" s="164" t="n"/>
      <c r="B399" s="192" t="inlineStr">
        <is>
          <t>Корп. 4</t>
        </is>
      </c>
      <c r="C399" s="192" t="inlineStr">
        <is>
          <t>1-й этаж</t>
        </is>
      </c>
      <c r="D399" s="166" t="inlineStr">
        <is>
          <t>код ОКПО</t>
        </is>
      </c>
      <c r="E399" s="204" t="inlineStr"/>
      <c r="F399" s="204" t="n"/>
      <c r="G399" s="208" t="n"/>
      <c r="H399" s="164" t="n"/>
      <c r="I399" s="167" t="n"/>
      <c r="J399" s="167" t="n"/>
      <c r="K399" s="207" t="n">
        <v>0.32</v>
      </c>
      <c r="L399" s="323" t="n"/>
      <c r="M399" s="323" t="n"/>
      <c r="N399" s="353" t="n"/>
      <c r="O399" s="354" t="n"/>
      <c r="P399" s="355" t="n"/>
      <c r="Q399" s="159" t="n"/>
      <c r="R399" s="159" t="n"/>
    </row>
    <row customHeight="1" ht="15" r="400">
      <c r="A400" s="222" t="n"/>
      <c r="B400" s="509" t="n">
        <v>4101</v>
      </c>
      <c r="C400" s="212" t="inlineStr">
        <is>
          <t>Попова</t>
        </is>
      </c>
      <c r="D400" s="515" t="n">
        <v>1910914667</v>
      </c>
      <c r="E400" s="284" t="inlineStr"/>
      <c r="F400" s="284" t="n">
        <v>6719.1</v>
      </c>
      <c r="G400" s="231">
        <f>E400-F400</f>
        <v/>
      </c>
      <c r="H400" s="534" t="n">
        <v>1</v>
      </c>
      <c r="I400" s="184">
        <f>G400*H400</f>
        <v/>
      </c>
      <c r="J400" s="184" t="n"/>
      <c r="K400" s="185">
        <f>K399</f>
        <v/>
      </c>
      <c r="L400" s="178" t="n"/>
      <c r="M400" s="178">
        <f>(I400+L400)*$W$41</f>
        <v/>
      </c>
      <c r="N400" s="180">
        <f>I400*K400+I400+L400+M400</f>
        <v/>
      </c>
      <c r="O400" s="194" t="n"/>
      <c r="P400" s="355" t="n"/>
      <c r="Q400" s="159" t="n"/>
      <c r="R400" s="159" t="n"/>
    </row>
    <row customHeight="1" ht="15" r="401">
      <c r="A401" s="356" t="n"/>
      <c r="B401" s="509" t="n">
        <v>4102</v>
      </c>
      <c r="C401" s="212" t="n"/>
      <c r="D401" s="515" t="n"/>
      <c r="E401" s="284" t="inlineStr"/>
      <c r="F401" s="284" t="n">
        <v>17983.3</v>
      </c>
      <c r="G401" s="231">
        <f>E401-F401</f>
        <v/>
      </c>
      <c r="H401" s="534" t="n">
        <v>1</v>
      </c>
      <c r="I401" s="184">
        <f>G401*H401</f>
        <v/>
      </c>
      <c r="J401" s="184" t="n"/>
      <c r="K401" s="185">
        <f>K400</f>
        <v/>
      </c>
      <c r="L401" s="178" t="n"/>
      <c r="M401" s="178">
        <f>(I401+L401)*$W$41</f>
        <v/>
      </c>
      <c r="N401" s="180">
        <f>I401*K401+I401+L401+M401</f>
        <v/>
      </c>
      <c r="O401" s="194" t="n"/>
      <c r="P401" s="355" t="n"/>
      <c r="Q401" s="159" t="n"/>
      <c r="R401" s="159" t="n"/>
    </row>
    <row customHeight="1" ht="15" r="402">
      <c r="A402" s="222" t="n"/>
      <c r="B402" s="509" t="n">
        <v>4103</v>
      </c>
      <c r="C402" s="358" t="inlineStr">
        <is>
          <t>Администрация (ТМСИ)</t>
        </is>
      </c>
      <c r="D402" s="515" t="n"/>
      <c r="E402" s="284" t="inlineStr"/>
      <c r="F402" s="284" t="n">
        <v>36080.6</v>
      </c>
      <c r="G402" s="231">
        <f>E402-F402</f>
        <v/>
      </c>
      <c r="H402" s="534" t="n">
        <v>1</v>
      </c>
      <c r="I402" s="184">
        <f>G402*H402</f>
        <v/>
      </c>
      <c r="J402" s="184" t="n"/>
      <c r="K402" s="185">
        <f>K401</f>
        <v/>
      </c>
      <c r="L402" s="178" t="n"/>
      <c r="M402" s="178" t="n"/>
      <c r="N402" s="180" t="n"/>
      <c r="O402" s="194" t="n"/>
      <c r="P402" s="355" t="n"/>
      <c r="Q402" s="159" t="n"/>
      <c r="R402" s="159" t="n"/>
    </row>
    <row customHeight="1" ht="15" r="403">
      <c r="A403" s="222" t="n"/>
      <c r="B403" s="509" t="n">
        <v>4104</v>
      </c>
      <c r="C403" s="358" t="inlineStr">
        <is>
          <t>Сабси марин сервисес</t>
        </is>
      </c>
      <c r="D403" s="521" t="n">
        <v>39327156</v>
      </c>
      <c r="E403" s="284" t="inlineStr"/>
      <c r="F403" s="284" t="n">
        <v>4704.6</v>
      </c>
      <c r="G403" s="231">
        <f>E403-F403</f>
        <v/>
      </c>
      <c r="H403" s="534" t="n">
        <v>1</v>
      </c>
      <c r="I403" s="184">
        <f>G403*H403</f>
        <v/>
      </c>
      <c r="J403" s="184" t="n"/>
      <c r="K403" s="185">
        <f>K402</f>
        <v/>
      </c>
      <c r="L403" s="178" t="n"/>
      <c r="M403" s="178">
        <f>(I403+L403)*$W$41</f>
        <v/>
      </c>
      <c r="N403" s="180">
        <f>I403*K403+I403+L403+M403</f>
        <v/>
      </c>
      <c r="O403" s="194" t="n"/>
      <c r="P403" s="355" t="n"/>
      <c r="Q403" s="159" t="n"/>
      <c r="R403" s="159" t="n"/>
    </row>
    <row customHeight="1" ht="15" r="404">
      <c r="A404" s="222" t="n"/>
      <c r="B404" s="509" t="n">
        <v>4105</v>
      </c>
      <c r="C404" s="212" t="inlineStr">
        <is>
          <t>Попова</t>
        </is>
      </c>
      <c r="D404" s="515" t="n">
        <v>1910914667</v>
      </c>
      <c r="E404" s="284" t="inlineStr"/>
      <c r="F404" s="284" t="n">
        <v>1676.7</v>
      </c>
      <c r="G404" s="231">
        <f>E404-F404</f>
        <v/>
      </c>
      <c r="H404" s="534" t="n">
        <v>1</v>
      </c>
      <c r="I404" s="184">
        <f>G404*H404</f>
        <v/>
      </c>
      <c r="J404" s="184" t="n"/>
      <c r="K404" s="185">
        <f>K403</f>
        <v/>
      </c>
      <c r="L404" s="178" t="n"/>
      <c r="M404" s="178">
        <f>(I404+L404)*$W$41</f>
        <v/>
      </c>
      <c r="N404" s="180">
        <f>I404*K404+I404+L404+M404</f>
        <v/>
      </c>
      <c r="O404" s="194" t="n"/>
      <c r="P404" s="355" t="n"/>
      <c r="Q404" s="159" t="n"/>
      <c r="R404" s="159" t="n"/>
    </row>
    <row customHeight="1" ht="15" r="405">
      <c r="A405" s="222" t="n"/>
      <c r="B405" s="509" t="n">
        <v>4106</v>
      </c>
      <c r="C405" s="212" t="inlineStr">
        <is>
          <t>Попова</t>
        </is>
      </c>
      <c r="D405" s="515" t="n">
        <v>1910914667</v>
      </c>
      <c r="E405" s="284" t="inlineStr"/>
      <c r="F405" s="284" t="n">
        <v>2396.4</v>
      </c>
      <c r="G405" s="231">
        <f>E405-F405</f>
        <v/>
      </c>
      <c r="H405" s="534" t="n">
        <v>1</v>
      </c>
      <c r="I405" s="184">
        <f>G405*H405</f>
        <v/>
      </c>
      <c r="J405" s="184" t="n"/>
      <c r="K405" s="185">
        <f>K404</f>
        <v/>
      </c>
      <c r="L405" s="178" t="n"/>
      <c r="M405" s="178">
        <f>(I405+L405)*$W$41</f>
        <v/>
      </c>
      <c r="N405" s="180">
        <f>I405*K405+I405+L405+M405</f>
        <v/>
      </c>
      <c r="O405" s="194" t="n"/>
      <c r="P405" s="355" t="n"/>
      <c r="Q405" s="159" t="n"/>
      <c r="R405" s="159" t="n"/>
    </row>
    <row customHeight="1" ht="15" r="406">
      <c r="A406" s="222" t="n"/>
      <c r="B406" s="509" t="n">
        <v>4107</v>
      </c>
      <c r="C406" s="212" t="inlineStr">
        <is>
          <t>Попова</t>
        </is>
      </c>
      <c r="D406" s="515" t="n">
        <v>1910914667</v>
      </c>
      <c r="E406" s="284" t="inlineStr"/>
      <c r="F406" s="284" t="n">
        <v>2143.6</v>
      </c>
      <c r="G406" s="231">
        <f>E406-F406</f>
        <v/>
      </c>
      <c r="H406" s="534" t="n">
        <v>1</v>
      </c>
      <c r="I406" s="184">
        <f>G406*H406</f>
        <v/>
      </c>
      <c r="J406" s="184" t="n"/>
      <c r="K406" s="185">
        <f>K405</f>
        <v/>
      </c>
      <c r="L406" s="178" t="n"/>
      <c r="M406" s="178">
        <f>(I406+L406)*$W$41</f>
        <v/>
      </c>
      <c r="N406" s="180">
        <f>I406*K406+I406+L406+M406</f>
        <v/>
      </c>
      <c r="O406" s="194" t="n"/>
      <c r="P406" s="355" t="n"/>
      <c r="Q406" s="159" t="n"/>
      <c r="R406" s="159" t="n"/>
    </row>
    <row customHeight="1" ht="15" r="407">
      <c r="A407" s="222" t="n"/>
      <c r="B407" s="509" t="n"/>
      <c r="C407" s="212" t="inlineStr">
        <is>
          <t>МПСС (охрана)</t>
        </is>
      </c>
      <c r="D407" s="515" t="n">
        <v>38017026</v>
      </c>
      <c r="E407" s="284" t="inlineStr"/>
      <c r="F407" s="284" t="n">
        <v>17595.7</v>
      </c>
      <c r="G407" s="231">
        <f>E407-F407</f>
        <v/>
      </c>
      <c r="H407" s="534" t="n">
        <v>1</v>
      </c>
      <c r="I407" s="184">
        <f>E407-F407</f>
        <v/>
      </c>
      <c r="J407" s="184" t="n"/>
      <c r="K407" s="185">
        <f>K62</f>
        <v/>
      </c>
      <c r="L407" s="178" t="n"/>
      <c r="M407" s="178">
        <f>(I407+L407)*$W$41</f>
        <v/>
      </c>
      <c r="N407" s="180">
        <f>I407*K407+I407+L407+M407</f>
        <v/>
      </c>
      <c r="O407" s="194" t="n"/>
      <c r="P407" s="355" t="n"/>
      <c r="Q407" s="159" t="n"/>
      <c r="R407" s="159" t="n"/>
    </row>
    <row customHeight="1" ht="15" r="408">
      <c r="A408" s="222" t="n"/>
      <c r="B408" s="509" t="n"/>
      <c r="C408" s="212" t="inlineStr">
        <is>
          <t>МПСС (охрана)</t>
        </is>
      </c>
      <c r="D408" s="515" t="n">
        <v>38017026</v>
      </c>
      <c r="E408" s="284" t="inlineStr"/>
      <c r="F408" s="284" t="n">
        <v>21893.5</v>
      </c>
      <c r="G408" s="231">
        <f>E408-F408</f>
        <v/>
      </c>
      <c r="H408" s="534" t="n">
        <v>1</v>
      </c>
      <c r="I408" s="184">
        <f>E408-F408</f>
        <v/>
      </c>
      <c r="J408" s="184" t="n"/>
      <c r="K408" s="185">
        <f>K62</f>
        <v/>
      </c>
      <c r="L408" s="178" t="n"/>
      <c r="M408" s="178">
        <f>(I408+L408)*$W$41</f>
        <v/>
      </c>
      <c r="N408" s="180">
        <f>I408*K408+I408+L408+M408</f>
        <v/>
      </c>
      <c r="O408" s="194" t="n"/>
      <c r="P408" s="355" t="n"/>
      <c r="Q408" s="159" t="n"/>
      <c r="R408" s="159" t="n"/>
    </row>
    <row customHeight="1" ht="15" r="409">
      <c r="A409" s="356" t="n"/>
      <c r="B409" s="216" t="n"/>
      <c r="C409" s="359" t="n"/>
      <c r="D409" s="359" t="n"/>
      <c r="E409" s="248" t="inlineStr"/>
      <c r="F409" s="248" t="n"/>
      <c r="G409" s="217" t="n"/>
      <c r="H409" s="216" t="n"/>
      <c r="I409" s="223" t="n"/>
      <c r="J409" s="223" t="n"/>
      <c r="K409" s="217" t="n"/>
      <c r="L409" s="217" t="n"/>
      <c r="M409" s="217" t="n"/>
      <c r="N409" s="224" t="n"/>
      <c r="O409" s="288" t="n"/>
      <c r="P409" s="355" t="n"/>
      <c r="Q409" s="159" t="n"/>
      <c r="R409" s="159" t="n"/>
    </row>
    <row customHeight="1" ht="15" r="410">
      <c r="A410" s="189" t="n"/>
      <c r="B410" s="534" t="n"/>
      <c r="C410" s="192" t="inlineStr">
        <is>
          <t>Потребление арендаторов:</t>
        </is>
      </c>
      <c r="D410" s="192" t="n"/>
      <c r="E410" s="255" t="inlineStr"/>
      <c r="F410" s="255" t="n"/>
      <c r="G410" s="231" t="n"/>
      <c r="H410" s="534" t="n"/>
      <c r="J410" s="223">
        <f>SUM(I400:I408)</f>
        <v/>
      </c>
      <c r="K410" s="178" t="n"/>
      <c r="L410" s="178" t="n"/>
      <c r="M410" s="178" t="n"/>
      <c r="O410" s="194">
        <f>K410*L410+K410</f>
        <v/>
      </c>
      <c r="P410" s="290">
        <f>SUM(I400:I406)</f>
        <v/>
      </c>
      <c r="Q410" s="159" t="n"/>
      <c r="R410" s="159" t="n"/>
    </row>
    <row customHeight="1" ht="15" r="411">
      <c r="A411" s="255" t="n"/>
      <c r="B411" s="534" t="n"/>
      <c r="C411" s="192" t="inlineStr">
        <is>
          <t>Учет 1-й этаж секция стилобат общий :</t>
        </is>
      </c>
      <c r="D411" s="192" t="n"/>
      <c r="E411" s="362" t="inlineStr"/>
      <c r="F411" s="362" t="n">
        <v>123253.78</v>
      </c>
      <c r="G411" s="253">
        <f>E411-F411</f>
        <v/>
      </c>
      <c r="H411" s="418" t="n">
        <v>1</v>
      </c>
      <c r="J411" s="119">
        <f>G411*H411</f>
        <v/>
      </c>
      <c r="K411" s="198" t="n"/>
      <c r="L411" s="178" t="n"/>
      <c r="M411" s="178" t="n"/>
      <c r="O411" s="194">
        <f>K411*L411+K411</f>
        <v/>
      </c>
      <c r="P411" s="194">
        <f>J411*K411+J411</f>
        <v/>
      </c>
      <c r="Q411" s="200" t="n"/>
      <c r="R411" s="201" t="n"/>
      <c r="S411" s="202" t="n"/>
      <c r="T411" s="427" t="n"/>
      <c r="U411" s="427" t="n"/>
      <c r="V411" s="427" t="n"/>
      <c r="W411" s="427" t="n"/>
      <c r="X411" s="427" t="n"/>
      <c r="Y411" s="427" t="n"/>
    </row>
    <row customHeight="1" ht="15" r="412">
      <c r="A412" s="189" t="n"/>
      <c r="B412" s="534" t="n"/>
      <c r="C412" s="192" t="inlineStr">
        <is>
          <t>Потребление коридора:</t>
        </is>
      </c>
      <c r="D412" s="192" t="n"/>
      <c r="E412" s="255" t="inlineStr"/>
      <c r="F412" s="255" t="n"/>
      <c r="G412" s="231" t="n"/>
      <c r="H412" s="534" t="n"/>
      <c r="J412" s="255">
        <f>J411-J410</f>
        <v/>
      </c>
      <c r="K412" s="178" t="n"/>
      <c r="L412" s="178" t="n"/>
      <c r="M412" s="178" t="n"/>
      <c r="O412" s="194">
        <f>K412*L412+K412</f>
        <v/>
      </c>
      <c r="P412" s="194">
        <f>J412*K412+J412</f>
        <v/>
      </c>
      <c r="Q412" s="159" t="n"/>
      <c r="R412" s="159" t="n"/>
    </row>
    <row customHeight="1" ht="15.75" r="413">
      <c r="A413" s="255" t="n"/>
      <c r="B413" s="534" t="n"/>
      <c r="C413" s="192" t="inlineStr">
        <is>
          <t>Выставляем арендаторам :</t>
        </is>
      </c>
      <c r="D413" s="192" t="n"/>
      <c r="E413" s="197" t="inlineStr"/>
      <c r="F413" s="197" t="n"/>
      <c r="G413" s="231" t="n"/>
      <c r="H413" s="534" t="n"/>
      <c r="I413" s="255" t="n"/>
      <c r="J413" s="255" t="n"/>
      <c r="K413" s="198" t="n"/>
      <c r="L413" s="178" t="n"/>
      <c r="M413" s="178" t="n"/>
      <c r="O413" s="194" t="n"/>
      <c r="P413" s="199">
        <f>SUM(N400:N408)</f>
        <v/>
      </c>
      <c r="Q413" s="200" t="n"/>
      <c r="R413" s="201" t="n"/>
      <c r="S413" s="202" t="n"/>
      <c r="T413" s="427" t="n"/>
      <c r="U413" s="427" t="n"/>
      <c r="V413" s="427" t="n"/>
      <c r="W413" s="427" t="n"/>
      <c r="X413" s="427" t="n"/>
      <c r="Y413" s="427" t="n"/>
    </row>
    <row customHeight="1" ht="15" r="414">
      <c r="A414" s="255" t="n"/>
      <c r="B414" s="534" t="n"/>
      <c r="C414" s="192" t="inlineStr">
        <is>
          <t>Общий итог :</t>
        </is>
      </c>
      <c r="D414" s="192" t="n"/>
      <c r="E414" s="197" t="inlineStr"/>
      <c r="F414" s="197" t="n"/>
      <c r="G414" s="231" t="n"/>
      <c r="H414" s="534" t="n"/>
      <c r="I414" s="255" t="n"/>
      <c r="J414" s="255" t="n"/>
      <c r="K414" s="198" t="n"/>
      <c r="L414" s="178" t="n"/>
      <c r="M414" s="178" t="n"/>
      <c r="O414" s="194" t="n"/>
      <c r="P414" s="194">
        <f>P413-P411</f>
        <v/>
      </c>
      <c r="Q414" s="200" t="n"/>
      <c r="R414" s="201" t="n"/>
      <c r="S414" s="202" t="n"/>
      <c r="T414" s="427" t="n"/>
      <c r="U414" s="427" t="n"/>
      <c r="V414" s="427" t="n"/>
      <c r="W414" s="427" t="n"/>
      <c r="X414" s="427" t="n"/>
      <c r="Y414" s="427" t="n"/>
    </row>
    <row customHeight="1" ht="15" r="415">
      <c r="A415" s="255" t="n"/>
      <c r="B415" s="534" t="n"/>
      <c r="C415" s="192" t="inlineStr">
        <is>
          <t>Общий итог с потерями РЭСа:</t>
        </is>
      </c>
      <c r="D415" s="192" t="n"/>
      <c r="E415" s="197" t="inlineStr"/>
      <c r="F415" s="197" t="n"/>
      <c r="G415" s="231" t="n"/>
      <c r="H415" s="534" t="n"/>
      <c r="I415" s="255" t="n"/>
      <c r="J415" s="255" t="n"/>
      <c r="K415" s="198" t="n"/>
      <c r="L415" s="178" t="n"/>
      <c r="M415" s="178" t="n"/>
      <c r="O415" s="194" t="n"/>
      <c r="P415" s="194">
        <f>P413-(P411*AC25+P411)</f>
        <v/>
      </c>
      <c r="Q415" s="200" t="n"/>
      <c r="R415" s="201" t="n"/>
      <c r="S415" s="202" t="n"/>
      <c r="T415" s="427" t="n"/>
      <c r="U415" s="427" t="n"/>
      <c r="V415" s="427" t="n"/>
      <c r="W415" s="427" t="n"/>
      <c r="X415" s="427" t="n"/>
      <c r="Y415" s="427" t="n"/>
    </row>
    <row customHeight="1" ht="18" r="416">
      <c r="A416" s="536" t="n"/>
      <c r="B416" s="537" t="n"/>
      <c r="C416" s="536" t="n"/>
      <c r="D416" s="536" t="n"/>
      <c r="E416" s="537" t="inlineStr"/>
      <c r="F416" s="537" t="n"/>
      <c r="G416" s="537" t="n"/>
      <c r="H416" s="537" t="n"/>
      <c r="I416" s="537" t="n"/>
      <c r="J416" s="536" t="n"/>
      <c r="K416" s="537" t="n"/>
      <c r="L416" s="537" t="n"/>
      <c r="M416" s="537" t="n"/>
      <c r="N416" s="536" t="n"/>
      <c r="O416" s="536" t="n"/>
      <c r="P416" s="355" t="n"/>
      <c r="Q416" s="159" t="n"/>
      <c r="R416" s="159" t="n"/>
    </row>
    <row customHeight="1" ht="15" r="417">
      <c r="A417" s="203" t="n"/>
      <c r="B417" s="192" t="inlineStr">
        <is>
          <t>Корп. 4</t>
        </is>
      </c>
      <c r="C417" s="192" t="inlineStr">
        <is>
          <t>2-й этаж</t>
        </is>
      </c>
      <c r="D417" s="166" t="inlineStr">
        <is>
          <t>код ОКПО</t>
        </is>
      </c>
      <c r="E417" s="204" t="inlineStr"/>
      <c r="F417" s="204" t="n"/>
      <c r="G417" s="208" t="n"/>
      <c r="H417" s="164" t="n"/>
      <c r="I417" s="206" t="n"/>
      <c r="J417" s="206" t="n"/>
      <c r="K417" s="360" t="n"/>
      <c r="L417" s="206" t="n"/>
      <c r="M417" s="206" t="n"/>
      <c r="N417" s="353" t="n"/>
      <c r="O417" s="354" t="n"/>
      <c r="P417" s="355" t="n"/>
      <c r="Q417" s="159" t="n"/>
      <c r="R417" s="159" t="n"/>
    </row>
    <row customHeight="1" ht="15" r="418">
      <c r="A418" s="255" t="n"/>
      <c r="B418" s="534" t="n"/>
      <c r="C418" s="361" t="inlineStr">
        <is>
          <t>МПСС (16 мая 2016)</t>
        </is>
      </c>
      <c r="D418" s="515" t="n">
        <v>38017026</v>
      </c>
      <c r="E418" s="362" t="inlineStr"/>
      <c r="F418" s="362" t="n">
        <v>138636.24</v>
      </c>
      <c r="G418" s="253">
        <f>E418-F418</f>
        <v/>
      </c>
      <c r="H418" s="418" t="n">
        <v>1</v>
      </c>
      <c r="I418" s="119">
        <f>G418*H418</f>
        <v/>
      </c>
      <c r="J418" s="119" t="n"/>
      <c r="K418" s="185">
        <f>K407</f>
        <v/>
      </c>
      <c r="L418" s="178" t="n"/>
      <c r="M418" s="178">
        <f>(I418+L418)*$W$41</f>
        <v/>
      </c>
      <c r="N418" s="363">
        <f>P424</f>
        <v/>
      </c>
      <c r="O418" s="194" t="n"/>
      <c r="P418" s="194">
        <f>I418*K418+I418+M418</f>
        <v/>
      </c>
      <c r="Q418" s="200" t="n"/>
      <c r="R418" s="201" t="n"/>
      <c r="S418" s="202" t="n"/>
      <c r="T418" s="427" t="n"/>
      <c r="U418" s="427" t="n"/>
      <c r="V418" s="427" t="n"/>
      <c r="W418" s="427" t="n"/>
      <c r="X418" s="427" t="n"/>
      <c r="Y418" s="427" t="n"/>
    </row>
    <row customHeight="1" ht="15" r="419">
      <c r="A419" s="255" t="n"/>
      <c r="B419" s="534" t="n"/>
      <c r="C419" s="361" t="inlineStr">
        <is>
          <t>МПСС (16 мая 2016)реактив</t>
        </is>
      </c>
      <c r="D419" s="515" t="n">
        <v>38017026</v>
      </c>
      <c r="E419" s="362" t="inlineStr"/>
      <c r="F419" s="362" t="n">
        <v>1331.3</v>
      </c>
      <c r="G419" s="253">
        <f>E419-F419</f>
        <v/>
      </c>
      <c r="H419" s="418" t="n">
        <v>1</v>
      </c>
      <c r="I419" s="184">
        <f>G419*Субпотребители!Q11</f>
        <v/>
      </c>
      <c r="J419" s="119" t="n"/>
      <c r="K419" s="364">
        <f>K418</f>
        <v/>
      </c>
      <c r="L419" s="365" t="n"/>
      <c r="M419" s="178">
        <f>(I419+L419)*$W$41</f>
        <v/>
      </c>
      <c r="N419" s="180">
        <f>I419*K419+I419+L419+M419</f>
        <v/>
      </c>
      <c r="O419" s="194" t="n"/>
      <c r="P419" s="351" t="n"/>
      <c r="Q419" s="200" t="n"/>
      <c r="R419" s="201" t="n"/>
      <c r="S419" s="202" t="n"/>
      <c r="T419" s="427" t="n"/>
      <c r="U419" s="427" t="n"/>
      <c r="V419" s="427" t="n"/>
      <c r="W419" s="427" t="n"/>
      <c r="X419" s="427" t="n"/>
      <c r="Y419" s="427" t="n"/>
    </row>
    <row customHeight="1" ht="15" r="420">
      <c r="A420" s="222" t="n"/>
      <c r="B420" s="216" t="n"/>
      <c r="C420" s="359" t="n"/>
      <c r="D420" s="359" t="n"/>
      <c r="E420" s="248" t="inlineStr"/>
      <c r="F420" s="248" t="n"/>
      <c r="G420" s="217" t="n"/>
      <c r="H420" s="216" t="n"/>
      <c r="I420" s="223" t="n"/>
      <c r="J420" s="223" t="n"/>
      <c r="K420" s="223" t="n"/>
      <c r="L420" s="223" t="n"/>
      <c r="M420" s="223" t="n"/>
      <c r="N420" s="224" t="n"/>
      <c r="O420" s="288" t="n"/>
      <c r="P420" s="355" t="n"/>
      <c r="Q420" s="159" t="n"/>
      <c r="R420" s="159" t="n"/>
    </row>
    <row customHeight="1" ht="15" r="421">
      <c r="A421" s="189" t="n"/>
      <c r="B421" s="534" t="n"/>
      <c r="C421" s="192" t="inlineStr">
        <is>
          <t>Потребление арендаторов:</t>
        </is>
      </c>
      <c r="D421" s="192" t="n"/>
      <c r="E421" s="255" t="inlineStr"/>
      <c r="F421" s="255" t="n"/>
      <c r="G421" s="231" t="n"/>
      <c r="H421" s="534" t="n"/>
      <c r="J421" s="231">
        <f>P418</f>
        <v/>
      </c>
      <c r="K421" s="178" t="n"/>
      <c r="L421" s="178" t="n"/>
      <c r="M421" s="178" t="n"/>
      <c r="O421" s="194">
        <f>K421*L421+K421</f>
        <v/>
      </c>
      <c r="P421" s="290">
        <f>J421</f>
        <v/>
      </c>
      <c r="Q421" s="159" t="n"/>
      <c r="R421" s="159" t="n"/>
    </row>
    <row customHeight="1" ht="15" r="422">
      <c r="A422" s="255" t="n"/>
      <c r="B422" s="366" t="n"/>
      <c r="C422" s="192" t="inlineStr">
        <is>
          <t>Учет 2-й этаж секция стилобат общий :</t>
        </is>
      </c>
      <c r="D422" s="192" t="n"/>
      <c r="E422" s="362" t="inlineStr"/>
      <c r="F422" s="362">
        <f>E418</f>
        <v/>
      </c>
      <c r="G422" s="253">
        <f>E422-F422</f>
        <v/>
      </c>
      <c r="H422" s="418" t="n">
        <v>1</v>
      </c>
      <c r="J422" s="119">
        <f>G422*H422</f>
        <v/>
      </c>
      <c r="K422" s="198" t="n"/>
      <c r="L422" s="178" t="n"/>
      <c r="M422" s="178" t="n"/>
      <c r="O422" s="194">
        <f>K422*L422+K422</f>
        <v/>
      </c>
      <c r="P422" s="194">
        <f>J422*K422+J422</f>
        <v/>
      </c>
      <c r="Q422" s="200" t="n"/>
      <c r="R422" s="201" t="n"/>
      <c r="S422" s="202" t="n"/>
      <c r="T422" s="427" t="n"/>
      <c r="U422" s="427" t="n"/>
      <c r="V422" s="427" t="n"/>
      <c r="W422" s="427" t="n"/>
      <c r="X422" s="427" t="n"/>
      <c r="Y422" s="427" t="n"/>
    </row>
    <row customHeight="1" ht="15" r="423">
      <c r="A423" s="189" t="n"/>
      <c r="B423" s="534" t="n"/>
      <c r="C423" s="192" t="inlineStr">
        <is>
          <t>Потребление коридора:</t>
        </is>
      </c>
      <c r="D423" s="192" t="n"/>
      <c r="E423" s="255" t="inlineStr"/>
      <c r="F423" s="255" t="n"/>
      <c r="G423" s="231" t="n"/>
      <c r="H423" s="534" t="n"/>
      <c r="J423" s="255" t="n"/>
      <c r="K423" s="178" t="n"/>
      <c r="L423" s="178" t="n"/>
      <c r="M423" s="178" t="n"/>
      <c r="O423" s="194">
        <f>K423*L423+K423</f>
        <v/>
      </c>
      <c r="P423" s="194">
        <f>J423*K423+J423</f>
        <v/>
      </c>
      <c r="Q423" s="159" t="n"/>
      <c r="R423" s="159" t="n"/>
    </row>
    <row customHeight="1" ht="15.75" r="424">
      <c r="A424" s="255" t="n"/>
      <c r="B424" s="534" t="n"/>
      <c r="C424" s="192" t="inlineStr">
        <is>
          <t>Выставляем арендаторам :</t>
        </is>
      </c>
      <c r="D424" s="192" t="n"/>
      <c r="E424" s="197" t="inlineStr"/>
      <c r="F424" s="197" t="n"/>
      <c r="G424" s="231" t="n"/>
      <c r="H424" s="534" t="n"/>
      <c r="I424" s="255" t="n"/>
      <c r="J424" s="255" t="n"/>
      <c r="K424" s="198" t="n"/>
      <c r="L424" s="178" t="n"/>
      <c r="M424" s="178" t="n"/>
      <c r="O424" s="194" t="n"/>
      <c r="P424" s="199">
        <f>P421</f>
        <v/>
      </c>
      <c r="Q424" s="200" t="n"/>
      <c r="R424" s="201" t="n"/>
      <c r="S424" s="202" t="n"/>
      <c r="T424" s="427" t="n"/>
      <c r="U424" s="427" t="n"/>
      <c r="V424" s="427" t="n"/>
      <c r="W424" s="427" t="n"/>
      <c r="X424" s="427" t="n"/>
      <c r="Y424" s="427" t="n"/>
    </row>
    <row customHeight="1" ht="15" r="425">
      <c r="A425" s="255" t="n"/>
      <c r="B425" s="534" t="n"/>
      <c r="C425" s="192" t="inlineStr">
        <is>
          <t>Общий итог :</t>
        </is>
      </c>
      <c r="D425" s="192" t="n"/>
      <c r="E425" s="197" t="inlineStr"/>
      <c r="F425" s="197" t="n"/>
      <c r="G425" s="231" t="n"/>
      <c r="H425" s="534" t="n"/>
      <c r="I425" s="255" t="n"/>
      <c r="J425" s="255" t="n"/>
      <c r="K425" s="198" t="n"/>
      <c r="L425" s="178" t="n"/>
      <c r="M425" s="178" t="n"/>
      <c r="O425" s="194" t="n"/>
      <c r="P425" s="194">
        <f>P424-P422</f>
        <v/>
      </c>
      <c r="Q425" s="200" t="n"/>
      <c r="R425" s="201" t="n"/>
      <c r="S425" s="202" t="n"/>
      <c r="T425" s="427" t="n"/>
      <c r="U425" s="427" t="n"/>
      <c r="V425" s="427" t="n"/>
      <c r="W425" s="427" t="n"/>
      <c r="X425" s="427" t="n"/>
      <c r="Y425" s="427" t="n"/>
    </row>
    <row customHeight="1" ht="15" r="426">
      <c r="A426" s="255" t="n"/>
      <c r="B426" s="534" t="n"/>
      <c r="C426" s="192" t="inlineStr">
        <is>
          <t>Общий итог с потерями РЭСа:</t>
        </is>
      </c>
      <c r="D426" s="192" t="n"/>
      <c r="E426" s="197" t="inlineStr"/>
      <c r="F426" s="197" t="n"/>
      <c r="G426" s="231" t="n"/>
      <c r="H426" s="534" t="n"/>
      <c r="I426" s="255" t="n"/>
      <c r="J426" s="255" t="n"/>
      <c r="K426" s="198" t="n"/>
      <c r="L426" s="178" t="n"/>
      <c r="M426" s="178" t="n"/>
      <c r="O426" s="194" t="n"/>
      <c r="P426" s="194">
        <f>P424-(P422*AC25+P422)</f>
        <v/>
      </c>
      <c r="Q426" s="200" t="n"/>
      <c r="R426" s="201" t="n"/>
      <c r="S426" s="202" t="n"/>
      <c r="T426" s="427" t="n"/>
      <c r="U426" s="427" t="n"/>
      <c r="V426" s="427" t="n"/>
      <c r="W426" s="427" t="n"/>
      <c r="X426" s="427" t="n"/>
      <c r="Y426" s="427" t="n"/>
    </row>
    <row customHeight="1" ht="15" r="427">
      <c r="A427" s="255" t="n"/>
      <c r="B427" s="534" t="n"/>
      <c r="C427" s="361" t="n"/>
      <c r="D427" s="515" t="n"/>
      <c r="E427" s="362" t="inlineStr"/>
      <c r="F427" s="362" t="n"/>
      <c r="G427" s="253" t="n"/>
      <c r="H427" s="418" t="n"/>
      <c r="I427" s="119" t="n"/>
      <c r="J427" s="119" t="n"/>
      <c r="K427" s="198" t="n"/>
      <c r="L427" s="178" t="n"/>
      <c r="M427" s="178" t="n"/>
      <c r="O427" s="194" t="n"/>
      <c r="P427" s="194">
        <f>I427*K427+I427</f>
        <v/>
      </c>
      <c r="Q427" s="200" t="n"/>
      <c r="R427" s="201" t="n"/>
      <c r="S427" s="202" t="n"/>
      <c r="T427" s="427" t="n"/>
      <c r="U427" s="427" t="n"/>
      <c r="V427" s="427" t="n"/>
      <c r="W427" s="427" t="n"/>
      <c r="X427" s="427" t="n"/>
      <c r="Y427" s="427" t="n"/>
    </row>
    <row customHeight="1" ht="15" r="428">
      <c r="A428" s="255" t="n"/>
      <c r="B428" s="534" t="n"/>
      <c r="C428" s="361" t="n"/>
      <c r="D428" s="515" t="n"/>
      <c r="E428" s="362" t="inlineStr"/>
      <c r="F428" s="362" t="n"/>
      <c r="G428" s="253" t="n"/>
      <c r="H428" s="418" t="n"/>
      <c r="I428" s="119" t="n"/>
      <c r="J428" s="119" t="n"/>
      <c r="K428" s="198" t="n"/>
      <c r="L428" s="178" t="n"/>
      <c r="M428" s="178" t="n"/>
      <c r="N428" s="180" t="n"/>
      <c r="O428" s="194" t="n"/>
      <c r="P428" s="351" t="n"/>
      <c r="Q428" s="200" t="n"/>
      <c r="R428" s="201" t="n"/>
      <c r="S428" s="202" t="n"/>
      <c r="T428" s="427" t="n"/>
      <c r="U428" s="427" t="n"/>
      <c r="V428" s="427" t="n"/>
      <c r="W428" s="427" t="n"/>
      <c r="X428" s="427" t="n"/>
      <c r="Y428" s="427" t="n"/>
    </row>
    <row customHeight="1" ht="21.75" r="429">
      <c r="A429" s="536" t="n"/>
      <c r="B429" s="537" t="n"/>
      <c r="C429" s="536" t="n"/>
      <c r="D429" s="536" t="n"/>
      <c r="E429" s="537" t="inlineStr"/>
      <c r="F429" s="537" t="n"/>
      <c r="G429" s="537" t="n"/>
      <c r="H429" s="537" t="n"/>
      <c r="I429" s="537" t="n"/>
      <c r="J429" s="536" t="n"/>
      <c r="K429" s="537" t="n"/>
      <c r="L429" s="537" t="n"/>
      <c r="M429" s="537" t="n"/>
      <c r="N429" s="536" t="n"/>
      <c r="O429" s="536" t="n"/>
      <c r="P429" s="355" t="n"/>
      <c r="Q429" s="159" t="n"/>
      <c r="R429" s="159" t="n"/>
    </row>
    <row customHeight="1" ht="15" r="430">
      <c r="A430" s="203" t="n"/>
      <c r="B430" s="192" t="inlineStr">
        <is>
          <t>Корп. 4</t>
        </is>
      </c>
      <c r="C430" s="192" t="inlineStr">
        <is>
          <t>3-й этаж</t>
        </is>
      </c>
      <c r="D430" s="166" t="inlineStr">
        <is>
          <t>код ОКПО</t>
        </is>
      </c>
      <c r="E430" s="204" t="inlineStr"/>
      <c r="F430" s="204" t="n"/>
      <c r="G430" s="208" t="n"/>
      <c r="H430" s="164" t="n"/>
      <c r="I430" s="206" t="n"/>
      <c r="J430" s="206" t="n"/>
      <c r="K430" s="367" t="n"/>
      <c r="L430" s="206" t="n"/>
      <c r="M430" s="206" t="n"/>
      <c r="N430" s="353" t="n"/>
      <c r="O430" s="354" t="n"/>
      <c r="P430" s="355" t="n"/>
      <c r="Q430" s="159" t="n"/>
      <c r="R430" s="159" t="n"/>
    </row>
    <row customHeight="1" ht="15" r="431">
      <c r="A431" s="356" t="n"/>
      <c r="B431" s="508" t="n"/>
      <c r="C431" s="212" t="inlineStr">
        <is>
          <t>МПСС(актив)</t>
        </is>
      </c>
      <c r="D431" s="515" t="n">
        <v>38017026</v>
      </c>
      <c r="E431" s="284" t="inlineStr"/>
      <c r="F431" s="284" t="n">
        <v>206519.22</v>
      </c>
      <c r="G431" s="231">
        <f>E431-F431</f>
        <v/>
      </c>
      <c r="H431" s="534" t="n">
        <v>1</v>
      </c>
      <c r="I431" s="184">
        <f>G431*H431</f>
        <v/>
      </c>
      <c r="J431" s="146" t="n"/>
      <c r="K431" s="364">
        <f>K418</f>
        <v/>
      </c>
      <c r="L431" s="365" t="n"/>
      <c r="M431" s="178">
        <f>(I431+L431)*$W$41</f>
        <v/>
      </c>
      <c r="N431" s="180">
        <f>I431*K431+I431+L431+M431</f>
        <v/>
      </c>
      <c r="O431" s="194" t="n"/>
      <c r="P431" s="355" t="n"/>
      <c r="Q431" s="159" t="n"/>
      <c r="R431" s="159" t="n"/>
    </row>
    <row customHeight="1" ht="15" r="432">
      <c r="A432" s="356" t="n"/>
      <c r="B432" s="508" t="n"/>
      <c r="C432" s="212" t="inlineStr">
        <is>
          <t>МПСС(реактив)</t>
        </is>
      </c>
      <c r="D432" s="515" t="n">
        <v>38017026</v>
      </c>
      <c r="E432" s="284" t="inlineStr"/>
      <c r="F432" s="284" t="n">
        <v>9400.99</v>
      </c>
      <c r="G432" s="231">
        <f>E432-F432</f>
        <v/>
      </c>
      <c r="H432" s="534" t="n">
        <v>1</v>
      </c>
      <c r="I432" s="184">
        <f>G432*Субпотребители!Q11</f>
        <v/>
      </c>
      <c r="J432" s="146" t="n"/>
      <c r="K432" s="364">
        <f>K431</f>
        <v/>
      </c>
      <c r="L432" s="365" t="n"/>
      <c r="M432" s="178">
        <f>(I432+L432)*$W$41</f>
        <v/>
      </c>
      <c r="N432" s="180">
        <f>I432*K432+I432+L432+M432</f>
        <v/>
      </c>
      <c r="O432" s="194" t="n"/>
      <c r="P432" s="355" t="n"/>
      <c r="Q432" s="159" t="n"/>
      <c r="R432" s="159" t="n"/>
    </row>
    <row customHeight="1" ht="15" r="433">
      <c r="A433" s="189" t="n"/>
      <c r="B433" s="534" t="n"/>
      <c r="C433" s="192" t="inlineStr">
        <is>
          <t>Потребление арендаторов:</t>
        </is>
      </c>
      <c r="D433" s="192" t="n"/>
      <c r="E433" s="255" t="inlineStr"/>
      <c r="F433" s="255" t="n"/>
      <c r="G433" s="231" t="n"/>
      <c r="H433" s="534" t="n"/>
      <c r="J433" s="255">
        <f>SUM(I431)</f>
        <v/>
      </c>
      <c r="K433" s="178" t="n"/>
      <c r="L433" s="178" t="n"/>
      <c r="M433" s="178" t="n"/>
      <c r="O433" s="194">
        <f>K433*L433+K433</f>
        <v/>
      </c>
      <c r="P433" s="290">
        <f>SUM(I431)</f>
        <v/>
      </c>
      <c r="Q433" s="159" t="n"/>
      <c r="R433" s="159" t="n"/>
    </row>
    <row customHeight="1" ht="15" r="434">
      <c r="A434" s="255" t="n"/>
      <c r="B434" s="534" t="n"/>
      <c r="C434" s="192" t="inlineStr">
        <is>
          <t>Учет 3-й этаж секция стилобат общий :</t>
        </is>
      </c>
      <c r="D434" s="192" t="n"/>
      <c r="E434" s="284" t="inlineStr"/>
      <c r="F434" s="284">
        <f>E431</f>
        <v/>
      </c>
      <c r="G434" s="253">
        <f>E434-F434</f>
        <v/>
      </c>
      <c r="H434" s="418" t="n">
        <v>1</v>
      </c>
      <c r="J434" s="119">
        <f>G434*H434</f>
        <v/>
      </c>
      <c r="K434" s="198" t="n"/>
      <c r="L434" s="178" t="n"/>
      <c r="M434" s="178" t="n"/>
      <c r="O434" s="194">
        <f>K434*L434+K434</f>
        <v/>
      </c>
      <c r="P434" s="194">
        <f>J434*K434+J434</f>
        <v/>
      </c>
      <c r="Q434" s="200" t="n"/>
      <c r="R434" s="201" t="n"/>
      <c r="S434" s="202" t="n"/>
      <c r="T434" s="427" t="n"/>
      <c r="U434" s="427" t="n"/>
      <c r="V434" s="427" t="n"/>
      <c r="W434" s="427" t="n"/>
      <c r="X434" s="427" t="n"/>
      <c r="Y434" s="427" t="n"/>
    </row>
    <row customHeight="1" ht="15" r="435">
      <c r="A435" s="189" t="n"/>
      <c r="B435" s="534" t="n"/>
      <c r="C435" s="192" t="inlineStr">
        <is>
          <t>Потребление коридора:</t>
        </is>
      </c>
      <c r="D435" s="192" t="n"/>
      <c r="E435" s="255" t="inlineStr"/>
      <c r="F435" s="255" t="n"/>
      <c r="G435" s="231" t="n"/>
      <c r="H435" s="534" t="n"/>
      <c r="J435" s="255" t="n"/>
      <c r="K435" s="178" t="n"/>
      <c r="L435" s="178" t="n"/>
      <c r="M435" s="178" t="n"/>
      <c r="O435" s="194">
        <f>K435*L435+K435</f>
        <v/>
      </c>
      <c r="P435" s="194">
        <f>J435*K435+J435</f>
        <v/>
      </c>
      <c r="Q435" s="159" t="n"/>
      <c r="R435" s="159" t="n"/>
    </row>
    <row customHeight="1" ht="15.75" r="436">
      <c r="A436" s="255" t="n"/>
      <c r="B436" s="534" t="n"/>
      <c r="C436" s="192" t="inlineStr">
        <is>
          <t>Выставляем арендаторам :</t>
        </is>
      </c>
      <c r="D436" s="192" t="n"/>
      <c r="E436" s="197" t="inlineStr"/>
      <c r="F436" s="197" t="n"/>
      <c r="G436" s="231" t="n"/>
      <c r="H436" s="534" t="n"/>
      <c r="J436" s="255" t="n"/>
      <c r="K436" s="198" t="n"/>
      <c r="L436" s="178" t="n"/>
      <c r="M436" s="178" t="n"/>
      <c r="O436" s="194" t="n"/>
      <c r="P436" s="199">
        <f>N431</f>
        <v/>
      </c>
      <c r="Q436" s="200" t="n"/>
      <c r="R436" s="201" t="n"/>
      <c r="S436" s="202" t="n"/>
      <c r="T436" s="427" t="n"/>
      <c r="U436" s="427" t="n"/>
      <c r="V436" s="427" t="n"/>
      <c r="W436" s="427" t="n"/>
      <c r="X436" s="427" t="n"/>
      <c r="Y436" s="427" t="n"/>
    </row>
    <row customHeight="1" ht="15" r="437">
      <c r="A437" s="255" t="n"/>
      <c r="B437" s="534" t="n"/>
      <c r="C437" s="192" t="inlineStr">
        <is>
          <t>Общий итог :</t>
        </is>
      </c>
      <c r="D437" s="192" t="n"/>
      <c r="E437" s="197" t="inlineStr"/>
      <c r="F437" s="197" t="n"/>
      <c r="G437" s="231" t="n"/>
      <c r="H437" s="534" t="n"/>
      <c r="J437" s="255" t="n"/>
      <c r="K437" s="198" t="n"/>
      <c r="L437" s="178" t="n"/>
      <c r="M437" s="178" t="n"/>
      <c r="O437" s="194" t="n"/>
      <c r="P437" s="194">
        <f>P436-P434</f>
        <v/>
      </c>
      <c r="Q437" s="200" t="n"/>
      <c r="R437" s="201" t="n"/>
      <c r="S437" s="202" t="n"/>
      <c r="T437" s="427" t="n"/>
      <c r="U437" s="427" t="n"/>
      <c r="V437" s="427" t="n"/>
      <c r="W437" s="427" t="n"/>
      <c r="X437" s="427" t="n"/>
      <c r="Y437" s="427" t="n"/>
    </row>
    <row customHeight="1" ht="15" r="438">
      <c r="A438" s="255" t="n"/>
      <c r="B438" s="534" t="n"/>
      <c r="C438" s="192" t="inlineStr">
        <is>
          <t>Общий итог с потерями РЭСа:</t>
        </is>
      </c>
      <c r="D438" s="192" t="n"/>
      <c r="E438" s="197" t="inlineStr"/>
      <c r="F438" s="197" t="n"/>
      <c r="G438" s="231" t="n"/>
      <c r="H438" s="534" t="n"/>
      <c r="I438" s="255" t="n"/>
      <c r="J438" s="255" t="n"/>
      <c r="K438" s="198" t="n"/>
      <c r="L438" s="178" t="n"/>
      <c r="M438" s="178" t="n"/>
      <c r="O438" s="194" t="n"/>
      <c r="P438" s="194">
        <f>P436-(P434*AC25+P434)</f>
        <v/>
      </c>
      <c r="Q438" s="200" t="n"/>
      <c r="R438" s="201" t="n"/>
      <c r="S438" s="202" t="n"/>
      <c r="T438" s="427" t="n"/>
      <c r="U438" s="427" t="n"/>
      <c r="V438" s="427" t="n"/>
      <c r="W438" s="427" t="n"/>
      <c r="X438" s="427" t="n"/>
      <c r="Y438" s="427" t="n"/>
    </row>
    <row customHeight="1" ht="21" r="439">
      <c r="A439" s="536" t="n"/>
      <c r="B439" s="537" t="n"/>
      <c r="C439" s="536" t="n"/>
      <c r="D439" s="536" t="n"/>
      <c r="E439" s="537" t="inlineStr"/>
      <c r="F439" s="537" t="n"/>
      <c r="G439" s="537" t="n"/>
      <c r="H439" s="537" t="n"/>
      <c r="I439" s="537" t="n"/>
      <c r="J439" s="536" t="n"/>
      <c r="K439" s="537" t="n"/>
      <c r="L439" s="537" t="n"/>
      <c r="M439" s="537" t="n"/>
      <c r="N439" s="536" t="n"/>
      <c r="O439" s="536" t="n"/>
      <c r="P439" s="355" t="n"/>
      <c r="Q439" s="159" t="n"/>
      <c r="R439" s="159" t="n"/>
    </row>
    <row customHeight="1" ht="15" r="440">
      <c r="A440" s="203" t="n"/>
      <c r="B440" s="192" t="inlineStr">
        <is>
          <t>Корп. 4</t>
        </is>
      </c>
      <c r="C440" s="192" t="inlineStr">
        <is>
          <t>4-й этаж</t>
        </is>
      </c>
      <c r="D440" s="166" t="inlineStr">
        <is>
          <t>код ОКПО</t>
        </is>
      </c>
      <c r="E440" s="204" t="inlineStr"/>
      <c r="F440" s="204" t="n"/>
      <c r="G440" s="208" t="n"/>
      <c r="H440" s="164" t="n"/>
      <c r="I440" s="206" t="n"/>
      <c r="J440" s="206" t="n"/>
      <c r="K440" s="367" t="n"/>
      <c r="L440" s="206" t="n"/>
      <c r="M440" s="206" t="n"/>
      <c r="N440" s="353" t="n"/>
      <c r="O440" s="354" t="n"/>
      <c r="P440" s="355" t="n"/>
      <c r="Q440" s="159" t="n"/>
      <c r="R440" s="159" t="n"/>
    </row>
    <row customHeight="1" ht="15" r="441">
      <c r="A441" s="356" t="n"/>
      <c r="B441" s="513" t="n"/>
      <c r="C441" s="212" t="inlineStr">
        <is>
          <t>МПСС</t>
        </is>
      </c>
      <c r="D441" s="515" t="n">
        <v>38017026</v>
      </c>
      <c r="E441" s="284" t="inlineStr"/>
      <c r="F441" s="284" t="n">
        <v>141970.78</v>
      </c>
      <c r="G441" s="231">
        <f>E441-F441</f>
        <v/>
      </c>
      <c r="H441" s="534" t="n">
        <v>1</v>
      </c>
      <c r="I441" s="184">
        <f>G441*H441</f>
        <v/>
      </c>
      <c r="J441" s="146" t="n"/>
      <c r="K441" s="364">
        <f>K431</f>
        <v/>
      </c>
      <c r="L441" s="365" t="n"/>
      <c r="M441" s="178">
        <f>(I441+L441)*$W$41</f>
        <v/>
      </c>
      <c r="N441" s="180">
        <f>I441*K441+I441+L441+M441</f>
        <v/>
      </c>
      <c r="O441" s="194" t="n"/>
      <c r="P441" s="355" t="n"/>
      <c r="Q441" s="159" t="n"/>
      <c r="R441" s="159" t="n"/>
    </row>
    <row customHeight="1" ht="15" r="442">
      <c r="A442" s="356" t="n"/>
      <c r="B442" s="513" t="n"/>
      <c r="C442" s="212" t="inlineStr">
        <is>
          <t>МПСС (аварийная линия)</t>
        </is>
      </c>
      <c r="D442" s="515" t="n">
        <v>38017026</v>
      </c>
      <c r="E442" s="284" t="inlineStr"/>
      <c r="F442" s="284" t="n">
        <v>120134.11</v>
      </c>
      <c r="G442" s="231">
        <f>E442-F442</f>
        <v/>
      </c>
      <c r="H442" s="534" t="n">
        <v>1</v>
      </c>
      <c r="I442" s="184">
        <f>G442*H442</f>
        <v/>
      </c>
      <c r="J442" s="146" t="n"/>
      <c r="K442" s="364">
        <f>K441</f>
        <v/>
      </c>
      <c r="L442" s="365" t="n"/>
      <c r="M442" s="178">
        <f>(I442+L442)*$W$41</f>
        <v/>
      </c>
      <c r="N442" s="180">
        <f>I442*K442+I442+L442+M442</f>
        <v/>
      </c>
      <c r="O442" s="194" t="n"/>
      <c r="P442" s="355" t="n"/>
      <c r="Q442" s="159" t="n"/>
      <c r="R442" s="159" t="n"/>
    </row>
    <row customHeight="1" ht="15" r="443">
      <c r="A443" s="356" t="n"/>
      <c r="B443" s="513" t="n"/>
      <c r="C443" s="212" t="inlineStr">
        <is>
          <t>МПСС(реактив)</t>
        </is>
      </c>
      <c r="D443" s="515" t="n">
        <v>38017026</v>
      </c>
      <c r="E443" s="284" t="inlineStr"/>
      <c r="F443" s="284" t="n">
        <v>4930.19</v>
      </c>
      <c r="G443" s="231">
        <f>E443-F443</f>
        <v/>
      </c>
      <c r="H443" s="534" t="n">
        <v>1</v>
      </c>
      <c r="I443" s="184">
        <f>G443*Субпотребители!Q11</f>
        <v/>
      </c>
      <c r="J443" s="146" t="n"/>
      <c r="K443" s="364">
        <f>K442</f>
        <v/>
      </c>
      <c r="L443" s="365" t="n"/>
      <c r="M443" s="178">
        <f>(I443+L443)*$W$41</f>
        <v/>
      </c>
      <c r="N443" s="180">
        <f>I443*K443+I443+L443+M443</f>
        <v/>
      </c>
      <c r="O443" s="194" t="n"/>
      <c r="P443" s="355" t="n"/>
      <c r="Q443" s="159" t="n"/>
      <c r="R443" s="159" t="n"/>
    </row>
    <row customHeight="1" ht="15" r="444">
      <c r="A444" s="189" t="n"/>
      <c r="B444" s="534" t="n"/>
      <c r="C444" s="192" t="inlineStr">
        <is>
          <t>Потребление арендаторов:</t>
        </is>
      </c>
      <c r="D444" s="192" t="n"/>
      <c r="E444" s="255" t="inlineStr"/>
      <c r="F444" s="255" t="n"/>
      <c r="G444" s="231" t="n"/>
      <c r="H444" s="534" t="n"/>
      <c r="J444" s="255">
        <f>SUM(I441:I442)-I442</f>
        <v/>
      </c>
      <c r="K444" s="178" t="n"/>
      <c r="L444" s="178" t="n"/>
      <c r="M444" s="178" t="n"/>
      <c r="O444" s="194">
        <f>K444*L444+K444</f>
        <v/>
      </c>
      <c r="P444" s="290">
        <f>SUM(I441)</f>
        <v/>
      </c>
      <c r="Q444" s="159" t="n"/>
      <c r="R444" s="159" t="n"/>
    </row>
    <row customHeight="1" ht="15" r="445">
      <c r="A445" s="255" t="n"/>
      <c r="B445" s="534" t="n"/>
      <c r="C445" s="192" t="inlineStr">
        <is>
          <t>Учет 4-й этаж секция стилобат общий :</t>
        </is>
      </c>
      <c r="D445" s="192" t="n"/>
      <c r="E445" s="284" t="inlineStr"/>
      <c r="F445" s="284" t="n">
        <v>141970.78</v>
      </c>
      <c r="G445" s="253">
        <f>E445-F445</f>
        <v/>
      </c>
      <c r="H445" s="418" t="n">
        <v>1</v>
      </c>
      <c r="J445" s="119">
        <f>G445*H445</f>
        <v/>
      </c>
      <c r="K445" s="198" t="n"/>
      <c r="L445" s="178" t="n"/>
      <c r="M445" s="178" t="n"/>
      <c r="O445" s="194">
        <f>K445*L445+K445</f>
        <v/>
      </c>
      <c r="P445" s="194">
        <f>J445*K445+J445</f>
        <v/>
      </c>
      <c r="Q445" s="200" t="n"/>
      <c r="R445" s="201" t="n"/>
      <c r="S445" s="202" t="n"/>
      <c r="T445" s="427" t="n"/>
      <c r="U445" s="427" t="n"/>
      <c r="V445" s="427" t="n"/>
      <c r="W445" s="427" t="n"/>
      <c r="X445" s="427" t="n"/>
      <c r="Y445" s="427" t="n"/>
    </row>
    <row customHeight="1" ht="15" r="446">
      <c r="A446" s="189" t="n"/>
      <c r="B446" s="534" t="n"/>
      <c r="C446" s="192" t="inlineStr">
        <is>
          <t>Потребление коридора:</t>
        </is>
      </c>
      <c r="D446" s="192" t="n"/>
      <c r="E446" s="255" t="inlineStr"/>
      <c r="F446" s="189" t="n"/>
      <c r="G446" s="231" t="n"/>
      <c r="H446" s="534" t="n"/>
      <c r="J446" s="255">
        <f>J445-J444</f>
        <v/>
      </c>
      <c r="K446" s="178" t="n"/>
      <c r="L446" s="178" t="n"/>
      <c r="M446" s="178" t="n"/>
      <c r="O446" s="194">
        <f>K446*L446+K446</f>
        <v/>
      </c>
      <c r="P446" s="194">
        <f>J446*K446+J446</f>
        <v/>
      </c>
      <c r="Q446" s="159" t="n"/>
      <c r="R446" s="159" t="n"/>
    </row>
    <row customHeight="1" ht="15.75" r="447">
      <c r="A447" s="255" t="n"/>
      <c r="B447" s="534" t="n"/>
      <c r="C447" s="192" t="inlineStr">
        <is>
          <t>Выставляем арендаторам :</t>
        </is>
      </c>
      <c r="D447" s="192" t="n"/>
      <c r="E447" s="197" t="inlineStr"/>
      <c r="F447" s="197" t="n"/>
      <c r="G447" s="231" t="n"/>
      <c r="H447" s="534" t="n"/>
      <c r="I447" s="255" t="n"/>
      <c r="J447" s="255" t="n"/>
      <c r="K447" s="198" t="n"/>
      <c r="L447" s="178" t="n"/>
      <c r="M447" s="178" t="n"/>
      <c r="O447" s="194" t="n"/>
      <c r="P447" s="199">
        <f>SUM(N441:N442)</f>
        <v/>
      </c>
      <c r="Q447" s="200" t="n"/>
      <c r="R447" s="201" t="n"/>
      <c r="S447" s="202" t="n"/>
      <c r="T447" s="427" t="n"/>
      <c r="U447" s="427" t="n"/>
      <c r="V447" s="427" t="n"/>
      <c r="W447" s="427" t="n"/>
      <c r="X447" s="427" t="n"/>
      <c r="Y447" s="427" t="n"/>
    </row>
    <row customHeight="1" ht="15" r="448">
      <c r="A448" s="255" t="n"/>
      <c r="B448" s="534" t="n"/>
      <c r="C448" s="192" t="inlineStr">
        <is>
          <t>Общий итог :</t>
        </is>
      </c>
      <c r="D448" s="192" t="n"/>
      <c r="E448" s="197" t="inlineStr"/>
      <c r="F448" s="197" t="n"/>
      <c r="G448" s="231" t="n"/>
      <c r="H448" s="534" t="n"/>
      <c r="I448" s="255" t="n"/>
      <c r="J448" s="255" t="n"/>
      <c r="K448" s="198" t="n"/>
      <c r="L448" s="178" t="n"/>
      <c r="M448" s="178" t="n"/>
      <c r="O448" s="194" t="n"/>
      <c r="P448" s="194">
        <f>P447-P445</f>
        <v/>
      </c>
      <c r="Q448" s="200" t="n"/>
      <c r="R448" s="201" t="n"/>
      <c r="S448" s="202" t="n"/>
      <c r="T448" s="427" t="n"/>
      <c r="U448" s="427" t="n"/>
      <c r="V448" s="427" t="n"/>
      <c r="W448" s="427" t="n"/>
      <c r="X448" s="427" t="n"/>
      <c r="Y448" s="427" t="n"/>
    </row>
    <row customHeight="1" ht="15" r="449">
      <c r="A449" s="255" t="n"/>
      <c r="B449" s="534" t="n"/>
      <c r="C449" s="192" t="inlineStr">
        <is>
          <t>Общий итог с потерями РЭСа:</t>
        </is>
      </c>
      <c r="D449" s="192" t="n"/>
      <c r="E449" s="197" t="inlineStr"/>
      <c r="F449" s="197" t="n"/>
      <c r="G449" s="231" t="n"/>
      <c r="H449" s="534" t="n"/>
      <c r="I449" s="255" t="n"/>
      <c r="J449" s="255" t="n"/>
      <c r="K449" s="198" t="n"/>
      <c r="L449" s="178" t="n"/>
      <c r="M449" s="178" t="n"/>
      <c r="O449" s="194" t="n"/>
      <c r="P449" s="194">
        <f>P447-(P445*AC25+P445)</f>
        <v/>
      </c>
      <c r="Q449" s="200" t="n"/>
      <c r="R449" s="201" t="n"/>
      <c r="S449" s="202" t="n"/>
      <c r="T449" s="427" t="n"/>
      <c r="U449" s="427" t="n"/>
      <c r="V449" s="427" t="n"/>
      <c r="W449" s="427" t="n"/>
      <c r="X449" s="427" t="n"/>
      <c r="Y449" s="427" t="n"/>
    </row>
    <row customHeight="1" ht="19.5" r="450">
      <c r="A450" s="536" t="n"/>
      <c r="B450" s="537" t="n"/>
      <c r="C450" s="536" t="n"/>
      <c r="D450" s="536" t="n"/>
      <c r="E450" s="537" t="inlineStr"/>
      <c r="F450" s="537" t="n"/>
      <c r="G450" s="537" t="n"/>
      <c r="H450" s="537" t="n"/>
      <c r="I450" s="537" t="n"/>
      <c r="J450" s="536" t="n"/>
      <c r="K450" s="537" t="n"/>
      <c r="L450" s="537" t="n"/>
      <c r="M450" s="537" t="n"/>
      <c r="N450" s="536" t="n"/>
      <c r="O450" s="536" t="n"/>
      <c r="P450" s="355" t="n"/>
      <c r="Q450" s="159" t="n"/>
      <c r="R450" s="159" t="n"/>
    </row>
    <row r="451">
      <c r="A451" s="376" t="n"/>
      <c r="B451" s="165" t="inlineStr">
        <is>
          <t>Корп. 3</t>
        </is>
      </c>
      <c r="C451" s="165" t="inlineStr">
        <is>
          <t>Переход</t>
        </is>
      </c>
      <c r="D451" s="166" t="inlineStr">
        <is>
          <t>код ОКПО</t>
        </is>
      </c>
      <c r="E451" s="204" t="inlineStr"/>
      <c r="F451" s="204" t="n"/>
      <c r="G451" s="291" t="n"/>
      <c r="H451" s="164" t="n"/>
      <c r="I451" s="330" t="n"/>
      <c r="J451" s="330" t="n"/>
      <c r="K451" s="377" t="n">
        <v>0.32</v>
      </c>
      <c r="L451" s="330" t="n"/>
      <c r="M451" s="330" t="n"/>
      <c r="N451" s="332" t="n"/>
      <c r="O451" s="378" t="n"/>
      <c r="P451" s="355" t="n"/>
      <c r="Q451" s="159" t="n"/>
      <c r="R451" s="159" t="n"/>
    </row>
    <row r="452">
      <c r="A452" s="189" t="n">
        <v>1</v>
      </c>
      <c r="B452" s="514" t="inlineStr">
        <is>
          <t>подвал</t>
        </is>
      </c>
      <c r="C452" s="379" t="inlineStr">
        <is>
          <t>Котекна</t>
        </is>
      </c>
      <c r="D452" s="525" t="n">
        <v>32521869</v>
      </c>
      <c r="E452" s="380" t="inlineStr"/>
      <c r="F452" s="380" t="n"/>
      <c r="G452" s="381" t="n"/>
      <c r="H452" s="382" t="n"/>
      <c r="I452" s="261" t="n"/>
      <c r="J452" s="261" t="n"/>
      <c r="K452" s="377" t="n">
        <v>0.32</v>
      </c>
      <c r="L452" s="383" t="n"/>
      <c r="M452" s="178" t="n"/>
      <c r="N452" s="73" t="n"/>
      <c r="O452" s="342" t="n"/>
      <c r="P452" s="326" t="n"/>
      <c r="Q452" s="159" t="n"/>
      <c r="R452" s="159" t="n"/>
    </row>
    <row customHeight="1" ht="15" r="453">
      <c r="A453" s="189" t="n">
        <v>2</v>
      </c>
      <c r="B453" s="508" t="n"/>
      <c r="C453" s="212" t="inlineStr">
        <is>
          <t>Котекна</t>
        </is>
      </c>
      <c r="D453" s="515" t="n">
        <v>32521869</v>
      </c>
      <c r="E453" s="284" t="inlineStr"/>
      <c r="F453" s="284" t="n">
        <v>15625.02</v>
      </c>
      <c r="G453" s="231">
        <f>E453-F453</f>
        <v/>
      </c>
      <c r="H453" s="534" t="n">
        <v>40</v>
      </c>
      <c r="I453" s="184">
        <f>G453*H453</f>
        <v/>
      </c>
      <c r="J453" s="184" t="n"/>
      <c r="K453" s="377" t="n">
        <v>0.32</v>
      </c>
      <c r="L453" s="384" t="n"/>
      <c r="M453" s="178">
        <f>(I453+L453)*$W$41</f>
        <v/>
      </c>
      <c r="N453" s="180">
        <f>I453*K453+I453+L453+M453</f>
        <v/>
      </c>
      <c r="O453" s="194" t="n"/>
      <c r="P453" s="385">
        <f>N453-I453</f>
        <v/>
      </c>
      <c r="Q453" s="159" t="n"/>
      <c r="R453" s="159" t="n"/>
    </row>
    <row customHeight="1" ht="15" r="454">
      <c r="A454" s="189" t="n">
        <v>3</v>
      </c>
      <c r="B454" s="508" t="n"/>
      <c r="C454" s="212" t="n"/>
      <c r="D454" s="515" t="n"/>
      <c r="E454" s="284" t="inlineStr"/>
      <c r="F454" s="284" t="n"/>
      <c r="G454" s="231">
        <f>E454-F454</f>
        <v/>
      </c>
      <c r="H454" s="534" t="n">
        <v>1</v>
      </c>
      <c r="I454" s="184">
        <f>G454*H454</f>
        <v/>
      </c>
      <c r="J454" s="184" t="n"/>
      <c r="K454" s="377" t="n">
        <v>0.32</v>
      </c>
      <c r="L454" s="384" t="n"/>
      <c r="M454" s="178">
        <f>(I454+L454)*$W$41</f>
        <v/>
      </c>
      <c r="N454" s="180">
        <f>I454*K454+I454+L454+M454</f>
        <v/>
      </c>
      <c r="O454" s="194" t="n"/>
      <c r="P454" s="385">
        <f>N454-I454</f>
        <v/>
      </c>
      <c r="Q454" s="159" t="n"/>
      <c r="R454" s="159" t="n"/>
    </row>
    <row customHeight="1" ht="15" r="455">
      <c r="A455" s="189" t="n"/>
      <c r="B455" s="534" t="n"/>
      <c r="C455" s="192" t="inlineStr">
        <is>
          <t>Потребление арендаторов:</t>
        </is>
      </c>
      <c r="D455" s="192" t="n"/>
      <c r="E455" s="255" t="inlineStr"/>
      <c r="F455" s="255" t="n"/>
      <c r="G455" s="231" t="n"/>
      <c r="H455" s="534" t="n"/>
      <c r="J455" s="255" t="n"/>
      <c r="K455" s="178" t="n"/>
      <c r="L455" s="178" t="n"/>
      <c r="M455" s="178" t="n"/>
      <c r="O455" s="194">
        <f>K455*L455+K455</f>
        <v/>
      </c>
      <c r="P455" s="290">
        <f>SUM(I453:I454)</f>
        <v/>
      </c>
      <c r="Q455" s="159" t="n"/>
      <c r="R455" s="159" t="n"/>
    </row>
    <row customHeight="1" ht="15" r="456">
      <c r="A456" s="255" t="n"/>
      <c r="B456" s="534" t="n"/>
      <c r="C456" s="192" t="inlineStr">
        <is>
          <t>Учет переход общий :</t>
        </is>
      </c>
      <c r="D456" s="192" t="n"/>
      <c r="E456" s="362" t="inlineStr"/>
      <c r="F456" s="362" t="n"/>
      <c r="G456" s="253" t="n"/>
      <c r="H456" s="534" t="n"/>
      <c r="J456" s="119">
        <f>G456*H456</f>
        <v/>
      </c>
      <c r="K456" s="198" t="n"/>
      <c r="L456" s="178" t="n"/>
      <c r="M456" s="178" t="n"/>
      <c r="O456" s="194">
        <f>K456*L456+K456</f>
        <v/>
      </c>
      <c r="P456" s="194">
        <f>J456*K456+J456</f>
        <v/>
      </c>
      <c r="Q456" s="200" t="n"/>
      <c r="R456" s="201" t="n"/>
      <c r="S456" s="202" t="n"/>
      <c r="T456" s="427" t="n"/>
      <c r="U456" s="427" t="n"/>
      <c r="V456" s="427" t="n"/>
      <c r="W456" s="427" t="n"/>
      <c r="X456" s="427" t="n"/>
      <c r="Y456" s="427" t="n"/>
    </row>
    <row customHeight="1" ht="15" r="457">
      <c r="A457" s="189" t="n"/>
      <c r="B457" s="534" t="n"/>
      <c r="C457" s="192" t="inlineStr">
        <is>
          <t>Потребление коридора:</t>
        </is>
      </c>
      <c r="D457" s="192" t="n"/>
      <c r="E457" s="255" t="inlineStr"/>
      <c r="F457" s="189" t="n"/>
      <c r="G457" s="231" t="n"/>
      <c r="H457" s="534" t="n"/>
      <c r="J457" s="255">
        <f>J456-J455</f>
        <v/>
      </c>
      <c r="K457" s="178" t="n"/>
      <c r="L457" s="178" t="n"/>
      <c r="M457" s="178" t="n"/>
      <c r="O457" s="194">
        <f>K457*L457+K457</f>
        <v/>
      </c>
      <c r="P457" s="194">
        <f>J457*K457+J457</f>
        <v/>
      </c>
      <c r="Q457" s="159" t="n"/>
      <c r="R457" s="159" t="n"/>
    </row>
    <row customHeight="1" ht="15.75" r="458">
      <c r="A458" s="255" t="n"/>
      <c r="B458" s="534" t="n"/>
      <c r="C458" s="192" t="inlineStr">
        <is>
          <t>Выставляем арендаторам :</t>
        </is>
      </c>
      <c r="D458" s="192" t="n"/>
      <c r="E458" s="197" t="inlineStr"/>
      <c r="F458" s="197" t="n"/>
      <c r="G458" s="231" t="n"/>
      <c r="H458" s="534" t="n"/>
      <c r="I458" s="255" t="n"/>
      <c r="J458" s="255" t="n"/>
      <c r="K458" s="198" t="n"/>
      <c r="L458" s="178" t="n"/>
      <c r="M458" s="178" t="n"/>
      <c r="O458" s="194" t="n"/>
      <c r="P458" s="199">
        <f>SUM(N453:N454)</f>
        <v/>
      </c>
      <c r="Q458" s="200" t="n"/>
      <c r="R458" s="201" t="n"/>
      <c r="S458" s="202" t="n"/>
      <c r="T458" s="427" t="n"/>
      <c r="U458" s="427" t="n"/>
      <c r="V458" s="427" t="n"/>
      <c r="W458" s="427" t="n"/>
      <c r="X458" s="427" t="n"/>
      <c r="Y458" s="427" t="n"/>
    </row>
    <row customHeight="1" ht="15" r="459">
      <c r="A459" s="255" t="n"/>
      <c r="B459" s="534" t="n"/>
      <c r="C459" s="192" t="inlineStr">
        <is>
          <t>Общий итог :</t>
        </is>
      </c>
      <c r="D459" s="192" t="n"/>
      <c r="E459" s="197" t="inlineStr"/>
      <c r="F459" s="197" t="n"/>
      <c r="G459" s="231" t="n"/>
      <c r="H459" s="534" t="n"/>
      <c r="I459" s="255" t="n"/>
      <c r="J459" s="255" t="n"/>
      <c r="K459" s="198" t="n"/>
      <c r="L459" s="178" t="n"/>
      <c r="M459" s="178" t="n"/>
      <c r="O459" s="194" t="n"/>
      <c r="P459" s="194">
        <f>P458-P456</f>
        <v/>
      </c>
      <c r="Q459" s="200" t="n"/>
      <c r="R459" s="201" t="n"/>
      <c r="S459" s="202" t="n"/>
      <c r="T459" s="427" t="n"/>
      <c r="U459" s="427" t="n"/>
      <c r="V459" s="427" t="n"/>
      <c r="W459" s="427" t="n"/>
      <c r="X459" s="427" t="n"/>
      <c r="Y459" s="427" t="n"/>
    </row>
    <row customHeight="1" ht="15" r="460">
      <c r="A460" s="255" t="n"/>
      <c r="B460" s="534" t="n"/>
      <c r="C460" s="192" t="inlineStr">
        <is>
          <t>Общий итог с потерями РЭСа:</t>
        </is>
      </c>
      <c r="D460" s="192" t="n"/>
      <c r="E460" s="197" t="inlineStr"/>
      <c r="F460" s="197" t="n"/>
      <c r="G460" s="231" t="n"/>
      <c r="H460" s="534" t="n"/>
      <c r="I460" s="255" t="n"/>
      <c r="J460" s="255" t="n"/>
      <c r="K460" s="198" t="n"/>
      <c r="L460" s="178" t="n"/>
      <c r="M460" s="178" t="n"/>
      <c r="O460" s="194" t="n"/>
      <c r="P460" s="194">
        <f>P458-(P456*AC25+P456)</f>
        <v/>
      </c>
      <c r="Q460" s="200" t="n"/>
      <c r="R460" s="201" t="n"/>
      <c r="S460" s="202" t="n"/>
      <c r="T460" s="427" t="n"/>
      <c r="U460" s="427" t="n"/>
      <c r="V460" s="427" t="n"/>
      <c r="W460" s="427" t="n"/>
      <c r="X460" s="427" t="n"/>
      <c r="Y460" s="427" t="n"/>
    </row>
    <row customHeight="1" ht="15" r="461">
      <c r="A461" s="255" t="n"/>
      <c r="B461" s="534" t="n"/>
      <c r="C461" s="192" t="n"/>
      <c r="D461" s="192" t="n"/>
      <c r="E461" s="197" t="inlineStr"/>
      <c r="F461" s="197" t="n"/>
      <c r="G461" s="231" t="n"/>
      <c r="H461" s="534" t="n"/>
      <c r="I461" s="255" t="n"/>
      <c r="J461" s="255" t="n"/>
      <c r="K461" s="198" t="n"/>
      <c r="L461" s="178" t="n"/>
      <c r="M461" s="178" t="n"/>
      <c r="O461" s="194" t="n"/>
      <c r="P461" s="194" t="n"/>
      <c r="Q461" s="200" t="n"/>
      <c r="R461" s="201" t="n"/>
      <c r="S461" s="202" t="n"/>
      <c r="T461" s="427" t="n"/>
      <c r="U461" s="427" t="n"/>
      <c r="V461" s="427" t="n"/>
      <c r="W461" s="427" t="n"/>
      <c r="X461" s="427" t="n"/>
      <c r="Y461" s="427" t="n"/>
    </row>
    <row customHeight="1" ht="15" r="462">
      <c r="A462" s="203" t="n"/>
      <c r="B462" s="192" t="inlineStr">
        <is>
          <t>Корп. Б</t>
        </is>
      </c>
      <c r="C462" s="192" t="inlineStr">
        <is>
          <t>Общие нужды</t>
        </is>
      </c>
      <c r="D462" s="192" t="n"/>
      <c r="E462" s="204" t="inlineStr"/>
      <c r="F462" s="204" t="n"/>
      <c r="G462" s="208" t="n"/>
      <c r="H462" s="164" t="n"/>
      <c r="I462" s="206" t="n"/>
      <c r="J462" s="206" t="n"/>
      <c r="K462" s="367" t="n"/>
      <c r="L462" s="206" t="n"/>
      <c r="M462" s="206" t="n"/>
      <c r="N462" s="353" t="n"/>
      <c r="O462" s="354" t="n"/>
      <c r="P462" s="355" t="n"/>
      <c r="Q462" s="159" t="n"/>
      <c r="R462" s="159" t="n"/>
    </row>
    <row customHeight="1" ht="15" r="463">
      <c r="A463" s="181" t="n"/>
      <c r="B463" s="513" t="n"/>
      <c r="C463" s="386" t="inlineStr">
        <is>
          <t xml:space="preserve">Котельная </t>
        </is>
      </c>
      <c r="D463" s="386" t="n"/>
      <c r="E463" s="248" t="inlineStr"/>
      <c r="F463" s="248" t="n">
        <v>62331.4</v>
      </c>
      <c r="G463" s="231">
        <f>E463-F463</f>
        <v/>
      </c>
      <c r="H463" s="534" t="n">
        <v>1</v>
      </c>
      <c r="J463" s="184">
        <f>G463*H463</f>
        <v/>
      </c>
      <c r="K463" s="367" t="n"/>
      <c r="L463" s="206" t="n"/>
      <c r="M463" s="206" t="n"/>
      <c r="O463" s="194" t="n"/>
      <c r="P463" s="194">
        <f>J463*K463+J463+L463</f>
        <v/>
      </c>
      <c r="Q463" s="159" t="n"/>
      <c r="R463" s="159" t="n"/>
    </row>
    <row customHeight="1" ht="15" r="464">
      <c r="A464" s="181" t="n"/>
      <c r="B464" s="513" t="n"/>
      <c r="C464" s="386" t="inlineStr">
        <is>
          <t>Лифт грузовой</t>
        </is>
      </c>
      <c r="D464" s="386" t="n"/>
      <c r="E464" s="248" t="inlineStr"/>
      <c r="F464" s="248" t="n">
        <v>13861.8</v>
      </c>
      <c r="G464" s="231">
        <f>E464-F464</f>
        <v/>
      </c>
      <c r="H464" s="534" t="n">
        <v>1</v>
      </c>
      <c r="J464" s="184">
        <f>G464*H464</f>
        <v/>
      </c>
      <c r="K464" s="367" t="n"/>
      <c r="L464" s="206" t="n"/>
      <c r="M464" s="206" t="n"/>
      <c r="O464" s="194" t="n"/>
      <c r="P464" s="194">
        <f>J464*K464+J464+L464</f>
        <v/>
      </c>
      <c r="Q464" s="159" t="n"/>
      <c r="R464" s="159" t="n"/>
      <c r="S464" s="478" t="n"/>
      <c r="T464" s="478" t="n"/>
      <c r="U464" s="478" t="n"/>
    </row>
    <row customHeight="1" ht="15" r="465">
      <c r="A465" s="181" t="n"/>
      <c r="B465" s="513" t="n"/>
      <c r="C465" s="386" t="inlineStr">
        <is>
          <t>Лифт пассажир</t>
        </is>
      </c>
      <c r="D465" s="386" t="n"/>
      <c r="E465" s="248" t="inlineStr"/>
      <c r="F465" s="248" t="n">
        <v>8759</v>
      </c>
      <c r="G465" s="231">
        <f>E465-F465</f>
        <v/>
      </c>
      <c r="H465" s="534" t="n">
        <v>1</v>
      </c>
      <c r="J465" s="184">
        <f>G465*H465</f>
        <v/>
      </c>
      <c r="K465" s="367" t="n"/>
      <c r="L465" s="206" t="n"/>
      <c r="M465" s="206" t="n"/>
      <c r="O465" s="194" t="n"/>
      <c r="P465" s="194">
        <f>J465*K465+J465+L465</f>
        <v/>
      </c>
      <c r="Q465" s="159" t="n"/>
      <c r="R465" s="159" t="n"/>
      <c r="S465" s="478" t="n"/>
      <c r="T465" s="478" t="n"/>
      <c r="U465" s="478" t="n"/>
    </row>
    <row customHeight="1" ht="15" r="466">
      <c r="A466" s="356" t="n"/>
      <c r="B466" s="513" t="n"/>
      <c r="C466" s="386" t="inlineStr">
        <is>
          <t>Бойлерная</t>
        </is>
      </c>
      <c r="D466" s="386" t="n"/>
      <c r="E466" s="284" t="inlineStr"/>
      <c r="F466" s="284" t="n">
        <v>245191.6</v>
      </c>
      <c r="G466" s="231">
        <f>E466-F466</f>
        <v/>
      </c>
      <c r="H466" s="534" t="n">
        <v>1</v>
      </c>
      <c r="J466" s="184">
        <f>G466*H466</f>
        <v/>
      </c>
      <c r="K466" s="384" t="n"/>
      <c r="L466" s="384" t="n"/>
      <c r="M466" s="384" t="n"/>
      <c r="O466" s="194" t="n"/>
      <c r="P466" s="194">
        <f>J466*K466+J466+L466</f>
        <v/>
      </c>
      <c r="Q466" s="159" t="n"/>
      <c r="R466" s="159" t="n"/>
      <c r="S466" s="478" t="n"/>
      <c r="T466" s="478" t="n"/>
      <c r="U466" s="478" t="n"/>
    </row>
    <row customHeight="1" hidden="1" ht="15" outlineLevel="1" r="467">
      <c r="A467" s="368" t="n"/>
      <c r="B467" s="368" t="n"/>
      <c r="C467" s="369" t="n"/>
      <c r="D467" s="369" t="n"/>
      <c r="E467" s="370" t="n"/>
      <c r="F467" s="370" t="n"/>
      <c r="G467" s="387" t="n"/>
      <c r="H467" s="371" t="n"/>
      <c r="I467" s="372" t="inlineStr">
        <is>
          <t>,</t>
        </is>
      </c>
      <c r="J467" s="372" t="n"/>
      <c r="K467" s="373" t="n"/>
      <c r="L467" s="373" t="n"/>
      <c r="M467" s="373" t="n"/>
      <c r="N467" s="374" t="n"/>
      <c r="O467" s="375" t="n"/>
      <c r="P467" s="355" t="n"/>
      <c r="Q467" s="159" t="n"/>
      <c r="R467" s="159" t="n"/>
      <c r="S467" s="478" t="n"/>
      <c r="T467" s="478" t="n"/>
      <c r="U467" s="478" t="n"/>
    </row>
    <row customHeight="1" hidden="1" ht="15" outlineLevel="1" r="468">
      <c r="A468" s="255" t="n"/>
      <c r="B468" s="534" t="n"/>
      <c r="C468" s="192" t="inlineStr">
        <is>
          <t>Общий итог :</t>
        </is>
      </c>
      <c r="D468" s="192" t="n"/>
      <c r="E468" s="197" t="n"/>
      <c r="F468" s="197" t="n"/>
      <c r="G468" s="231" t="n"/>
      <c r="H468" s="534" t="n"/>
      <c r="I468" s="388">
        <f>SUM(I43:I467)</f>
        <v/>
      </c>
      <c r="J468" s="389">
        <f>N468/I468</f>
        <v/>
      </c>
      <c r="K468" s="198" t="n"/>
      <c r="L468" s="388">
        <f>SUM(L44:L467)</f>
        <v/>
      </c>
      <c r="M468" s="388">
        <f>SUM(M44:M460)</f>
        <v/>
      </c>
      <c r="N468" s="388">
        <f>SUM(N43:N467)</f>
        <v/>
      </c>
      <c r="O468" s="194" t="n"/>
      <c r="P468" s="194">
        <f>-(P463+P464+P465+P466)</f>
        <v/>
      </c>
      <c r="Q468" s="200" t="n"/>
      <c r="R468" s="201" t="n"/>
      <c r="S468" s="390" t="n"/>
      <c r="T468" s="158" t="n"/>
      <c r="U468" s="478" t="n"/>
      <c r="V468" s="427" t="n"/>
      <c r="W468" s="427" t="n"/>
      <c r="X468" s="427" t="n"/>
      <c r="Y468" s="427" t="n"/>
    </row>
    <row customHeight="1" hidden="1" ht="15" outlineLevel="1" r="469">
      <c r="A469" s="255" t="n"/>
      <c r="B469" s="534" t="n"/>
      <c r="C469" s="192" t="inlineStr">
        <is>
          <t>Общий итог с потерями РЭСа:</t>
        </is>
      </c>
      <c r="D469" s="192" t="n"/>
      <c r="E469" s="197" t="n"/>
      <c r="F469" s="197" t="n"/>
      <c r="G469" s="231" t="n"/>
      <c r="H469" s="534" t="n"/>
      <c r="I469" s="255" t="n"/>
      <c r="J469" s="255" t="n"/>
      <c r="K469" s="198" t="n"/>
      <c r="L469" s="178" t="n"/>
      <c r="M469" s="178" t="n"/>
      <c r="O469" s="194" t="n"/>
      <c r="P469" s="194">
        <f>(P468*AC25+P468)</f>
        <v/>
      </c>
      <c r="Q469" s="200" t="n"/>
      <c r="R469" s="201" t="n"/>
      <c r="S469" s="390" t="n"/>
      <c r="T469" s="478" t="n"/>
      <c r="U469" s="478" t="n"/>
      <c r="V469" s="427" t="n"/>
      <c r="W469" s="427" t="n"/>
      <c r="X469" s="427" t="n"/>
      <c r="Y469" s="427" t="n"/>
    </row>
    <row customFormat="1" customHeight="1" hidden="1" ht="15" outlineLevel="1" r="470" s="252">
      <c r="A470" s="262" t="n"/>
      <c r="B470" s="216" t="n"/>
      <c r="C470" s="222" t="n"/>
      <c r="D470" s="222" t="n"/>
      <c r="E470" s="350" t="n"/>
      <c r="F470" s="350" t="n"/>
      <c r="G470" s="217" t="n"/>
      <c r="H470" s="216" t="n"/>
      <c r="I470" s="262" t="n"/>
      <c r="J470" s="262" t="n"/>
      <c r="K470" s="223" t="n"/>
      <c r="L470" s="217" t="n"/>
      <c r="M470" s="217" t="n"/>
      <c r="N470" s="224" t="n"/>
      <c r="O470" s="288" t="n"/>
      <c r="P470" s="392" t="n"/>
      <c r="Q470" s="393" t="n"/>
      <c r="R470" s="394" t="n"/>
      <c r="S470" s="395" t="n"/>
      <c r="T470" s="396" t="n"/>
      <c r="U470" s="396" t="n"/>
      <c r="V470" s="397" t="n"/>
      <c r="W470" s="397" t="n"/>
      <c r="X470" s="397" t="n"/>
      <c r="Y470" s="397" t="n"/>
    </row>
    <row customFormat="1" customHeight="1" hidden="1" ht="15" outlineLevel="1" r="471" s="252">
      <c r="A471" s="262" t="n"/>
      <c r="B471" s="216" t="n"/>
      <c r="C471" s="222" t="n"/>
      <c r="D471" s="222" t="n"/>
      <c r="E471" s="350" t="n"/>
      <c r="F471" s="350" t="n"/>
      <c r="G471" s="217" t="n"/>
      <c r="H471" s="216" t="n"/>
      <c r="I471" s="262" t="n"/>
      <c r="J471" s="262" t="n"/>
      <c r="K471" s="223" t="n"/>
      <c r="L471" s="217" t="n"/>
      <c r="M471" s="217" t="n"/>
      <c r="N471" s="224" t="n"/>
      <c r="O471" s="288" t="n"/>
      <c r="P471" s="392" t="n"/>
      <c r="Q471" s="392" t="n"/>
      <c r="R471" s="74" t="n"/>
      <c r="S471" s="395" t="n"/>
      <c r="T471" s="396" t="n"/>
      <c r="U471" s="396" t="n"/>
      <c r="V471" s="397" t="n"/>
      <c r="W471" s="397" t="n"/>
      <c r="X471" s="397" t="n"/>
      <c r="Y471" s="397" t="n"/>
    </row>
    <row customFormat="1" customHeight="1" hidden="1" ht="15" outlineLevel="1" r="472" s="252">
      <c r="A472" s="262" t="n"/>
      <c r="B472" s="216" t="n"/>
      <c r="C472" s="222" t="n"/>
      <c r="D472" s="222" t="n"/>
      <c r="E472" s="350" t="n"/>
      <c r="F472" s="350" t="n"/>
      <c r="G472" s="217" t="n"/>
      <c r="H472" s="216" t="n"/>
      <c r="I472" s="262" t="n"/>
      <c r="J472" s="262" t="n"/>
      <c r="K472" s="223" t="n"/>
      <c r="L472" s="217" t="n"/>
      <c r="M472" s="217" t="n"/>
      <c r="N472" s="224" t="n"/>
      <c r="O472" s="288" t="n"/>
      <c r="P472" s="392" t="n"/>
      <c r="Q472" s="392" t="n"/>
      <c r="R472" s="74" t="n"/>
      <c r="S472" s="395" t="n"/>
      <c r="T472" s="396" t="n"/>
      <c r="U472" s="396" t="n"/>
      <c r="V472" s="397" t="n"/>
      <c r="W472" s="397" t="n"/>
      <c r="X472" s="397" t="n"/>
      <c r="Y472" s="397" t="n"/>
    </row>
    <row customFormat="1" customHeight="1" hidden="1" ht="15" outlineLevel="1" r="473" s="252">
      <c r="A473" s="262" t="n"/>
      <c r="B473" s="216" t="n"/>
      <c r="C473" s="222" t="n"/>
      <c r="D473" s="222" t="n"/>
      <c r="E473" s="350" t="n"/>
      <c r="F473" s="350" t="n"/>
      <c r="G473" s="217" t="n"/>
      <c r="H473" s="216" t="n"/>
      <c r="I473" s="262" t="n"/>
      <c r="J473" s="262" t="n"/>
      <c r="K473" s="223" t="n"/>
      <c r="L473" s="217" t="n"/>
      <c r="M473" s="217" t="n"/>
      <c r="N473" s="224" t="n"/>
      <c r="O473" s="288" t="n"/>
      <c r="P473" s="392" t="n"/>
      <c r="Q473" s="392" t="n"/>
      <c r="R473" s="74" t="n"/>
      <c r="S473" s="398" t="n"/>
      <c r="T473" s="397" t="n"/>
      <c r="U473" s="397" t="n"/>
      <c r="V473" s="397" t="n"/>
      <c r="W473" s="397" t="n"/>
      <c r="X473" s="397" t="n"/>
      <c r="Y473" s="397" t="n"/>
    </row>
    <row customHeight="1" hidden="1" ht="15" outlineLevel="1" r="474">
      <c r="A474" s="203" t="n"/>
      <c r="B474" s="164" t="n"/>
      <c r="C474" s="165" t="inlineStr">
        <is>
          <t>Итого секция Б</t>
        </is>
      </c>
      <c r="D474" s="165" t="n"/>
      <c r="E474" s="204" t="n"/>
      <c r="F474" s="204" t="n"/>
      <c r="G474" s="206" t="n"/>
      <c r="H474" s="164">
        <f>F474-G474</f>
        <v/>
      </c>
      <c r="I474" s="206" t="n"/>
      <c r="J474" s="206" t="n"/>
      <c r="K474" s="208" t="n"/>
      <c r="L474" s="209" t="inlineStr">
        <is>
          <t>Арендаторы</t>
        </is>
      </c>
      <c r="M474" s="209" t="n"/>
      <c r="N474" s="209" t="inlineStr">
        <is>
          <t>По учетам</t>
        </is>
      </c>
      <c r="O474" s="325" t="inlineStr">
        <is>
          <t>Высталяем</t>
        </is>
      </c>
      <c r="P474" s="399" t="n"/>
      <c r="Q474" s="159" t="n"/>
      <c r="R474" s="159" t="n"/>
    </row>
    <row customHeight="1" hidden="1" ht="15" outlineLevel="1" r="475">
      <c r="A475" s="266" t="n"/>
      <c r="B475" s="265" t="n"/>
      <c r="C475" s="401" t="inlineStr">
        <is>
          <t>Ввод в секцию Б(1)</t>
        </is>
      </c>
      <c r="D475" s="401" t="n"/>
      <c r="E475" s="402">
        <f>E26</f>
        <v/>
      </c>
      <c r="F475" s="402">
        <f>F26</f>
        <v/>
      </c>
      <c r="G475" s="274">
        <f>E475-F475</f>
        <v/>
      </c>
      <c r="H475" s="269" t="n">
        <v>80</v>
      </c>
      <c r="I475" s="266">
        <f>G475*H475</f>
        <v/>
      </c>
      <c r="J475" s="266" t="n"/>
      <c r="K475" s="270" t="n"/>
      <c r="L475" s="270" t="n"/>
      <c r="M475" s="270" t="n"/>
      <c r="N475" s="271" t="n"/>
      <c r="O475" s="272" t="n"/>
      <c r="P475" s="400" t="n"/>
      <c r="Q475" s="159" t="n"/>
      <c r="R475" s="159" t="n"/>
    </row>
    <row customHeight="1" hidden="1" ht="15" outlineLevel="1" r="476">
      <c r="A476" s="266" t="n"/>
      <c r="B476" s="265" t="n"/>
      <c r="C476" s="401" t="inlineStr">
        <is>
          <t>Ввод в секцию Б(2)</t>
        </is>
      </c>
      <c r="D476" s="403" t="n"/>
      <c r="E476" s="402">
        <f>E27</f>
        <v/>
      </c>
      <c r="F476" s="402">
        <f>F27</f>
        <v/>
      </c>
      <c r="G476" s="274">
        <f>E476-F476</f>
        <v/>
      </c>
      <c r="H476" s="269" t="n">
        <v>80</v>
      </c>
      <c r="I476" s="266">
        <f>G476*H476</f>
        <v/>
      </c>
      <c r="J476" s="266" t="n"/>
      <c r="K476" s="270">
        <f>I475+I476</f>
        <v/>
      </c>
      <c r="L476" s="270" t="n"/>
      <c r="M476" s="270" t="n"/>
      <c r="N476" s="271">
        <f>K476</f>
        <v/>
      </c>
      <c r="O476" s="194">
        <f>(K476*AC25+K476)</f>
        <v/>
      </c>
      <c r="P476" s="400" t="n"/>
      <c r="Q476" s="159" t="n"/>
      <c r="R476" s="159" t="n"/>
    </row>
    <row customHeight="1" hidden="1" ht="15" outlineLevel="1" r="477">
      <c r="A477" s="255" t="n"/>
      <c r="B477" s="534" t="n"/>
      <c r="C477" s="323" t="inlineStr">
        <is>
          <t>Учет подвал секция Б общий :</t>
        </is>
      </c>
      <c r="D477" s="323" t="n"/>
      <c r="E477" s="284">
        <f>E189</f>
        <v/>
      </c>
      <c r="F477" s="284">
        <f>F189</f>
        <v/>
      </c>
      <c r="G477" s="231">
        <f>E477-F477</f>
        <v/>
      </c>
      <c r="H477" s="534" t="n">
        <v>1</v>
      </c>
      <c r="I477" s="255">
        <f>G477*H477</f>
        <v/>
      </c>
      <c r="J477" s="255" t="n"/>
      <c r="K477" s="198" t="n"/>
      <c r="L477" s="180">
        <f>P188</f>
        <v/>
      </c>
      <c r="M477" s="180" t="n"/>
      <c r="N477" s="180">
        <f>I477</f>
        <v/>
      </c>
      <c r="O477" s="194">
        <f>P191</f>
        <v/>
      </c>
      <c r="P477" s="400">
        <f>P193</f>
        <v/>
      </c>
      <c r="Q477" s="159" t="n"/>
      <c r="R477" s="159" t="n"/>
    </row>
    <row customHeight="1" hidden="1" ht="15" outlineLevel="1" r="478">
      <c r="A478" s="255" t="n"/>
      <c r="B478" s="534" t="n"/>
      <c r="C478" s="323" t="inlineStr">
        <is>
          <t>Учет 1-го этажа секция Б общий</t>
        </is>
      </c>
      <c r="D478" s="323" t="n"/>
      <c r="E478" s="284" t="n"/>
      <c r="F478" s="284" t="n"/>
      <c r="G478" s="231">
        <f>E478-F478</f>
        <v/>
      </c>
      <c r="H478" s="534" t="n">
        <v>1</v>
      </c>
      <c r="I478" s="255">
        <f>L478</f>
        <v/>
      </c>
      <c r="J478" s="255" t="n"/>
      <c r="K478" s="198" t="n"/>
      <c r="L478" s="180">
        <f>P207</f>
        <v/>
      </c>
      <c r="M478" s="180" t="n"/>
      <c r="N478" s="180">
        <f>P207</f>
        <v/>
      </c>
      <c r="O478" s="194">
        <f>P210</f>
        <v/>
      </c>
      <c r="P478" s="400">
        <f>P212</f>
        <v/>
      </c>
      <c r="Q478" s="159" t="n"/>
      <c r="R478" s="159" t="n"/>
    </row>
    <row customHeight="1" hidden="1" ht="15" outlineLevel="1" r="479">
      <c r="A479" s="255" t="n"/>
      <c r="B479" s="534" t="n"/>
      <c r="C479" s="323" t="inlineStr">
        <is>
          <t>Учет 2-го этажа секция Б общий</t>
        </is>
      </c>
      <c r="D479" s="323" t="n"/>
      <c r="E479" s="284">
        <f>E228</f>
        <v/>
      </c>
      <c r="F479" s="284">
        <f>F228</f>
        <v/>
      </c>
      <c r="G479" s="231">
        <f>E479-F479</f>
        <v/>
      </c>
      <c r="H479" s="534" t="n">
        <v>1</v>
      </c>
      <c r="I479" s="255">
        <f>G479*H479</f>
        <v/>
      </c>
      <c r="J479" s="255" t="n"/>
      <c r="K479" s="198" t="n"/>
      <c r="L479" s="180">
        <f>P227</f>
        <v/>
      </c>
      <c r="M479" s="180" t="n"/>
      <c r="N479" s="180">
        <f>I479</f>
        <v/>
      </c>
      <c r="O479" s="194">
        <f>P230</f>
        <v/>
      </c>
      <c r="P479" s="400">
        <f>P232</f>
        <v/>
      </c>
      <c r="Q479" s="159" t="n"/>
      <c r="R479" s="159" t="n"/>
    </row>
    <row customHeight="1" hidden="1" ht="15" outlineLevel="1" r="480">
      <c r="A480" s="255" t="n"/>
      <c r="B480" s="534" t="n"/>
      <c r="C480" s="323" t="inlineStr">
        <is>
          <t>Учет 3-го этажа секция Б общий</t>
        </is>
      </c>
      <c r="D480" s="323" t="n"/>
      <c r="E480" s="284">
        <f>E250</f>
        <v/>
      </c>
      <c r="F480" s="284">
        <f>F250</f>
        <v/>
      </c>
      <c r="G480" s="231">
        <f>E480-F480</f>
        <v/>
      </c>
      <c r="H480" s="534" t="n">
        <v>1</v>
      </c>
      <c r="I480" s="255">
        <f>G480*H480</f>
        <v/>
      </c>
      <c r="J480" s="255" t="n"/>
      <c r="K480" s="198" t="n"/>
      <c r="L480" s="180">
        <f>P249</f>
        <v/>
      </c>
      <c r="M480" s="180" t="n"/>
      <c r="N480" s="180">
        <f>I480</f>
        <v/>
      </c>
      <c r="O480" s="194">
        <f>P252</f>
        <v/>
      </c>
      <c r="P480" s="400">
        <f>P254</f>
        <v/>
      </c>
      <c r="Q480" s="159" t="n"/>
      <c r="R480" s="159" t="n"/>
    </row>
    <row customHeight="1" hidden="1" ht="15" outlineLevel="1" r="481">
      <c r="A481" s="255" t="n"/>
      <c r="B481" s="534" t="n"/>
      <c r="C481" s="323" t="inlineStr">
        <is>
          <t>Учет 4-го этажа секция Б общий</t>
        </is>
      </c>
      <c r="D481" s="323" t="n"/>
      <c r="E481" s="284">
        <f>E272</f>
        <v/>
      </c>
      <c r="F481" s="284">
        <f>F272</f>
        <v/>
      </c>
      <c r="G481" s="231">
        <f>E481-F481</f>
        <v/>
      </c>
      <c r="H481" s="534" t="n">
        <v>1</v>
      </c>
      <c r="I481" s="255">
        <f>G481*H481</f>
        <v/>
      </c>
      <c r="J481" s="255" t="n"/>
      <c r="K481" s="198" t="n"/>
      <c r="L481" s="180">
        <f>P271</f>
        <v/>
      </c>
      <c r="M481" s="180" t="n"/>
      <c r="N481" s="180">
        <f>I481</f>
        <v/>
      </c>
      <c r="O481" s="194">
        <f>P274</f>
        <v/>
      </c>
      <c r="P481" s="400">
        <f>P276</f>
        <v/>
      </c>
      <c r="Q481" s="159" t="n"/>
      <c r="R481" s="159" t="n"/>
    </row>
    <row customHeight="1" hidden="1" ht="15" outlineLevel="1" r="482">
      <c r="A482" s="255" t="n"/>
      <c r="B482" s="534" t="n"/>
      <c r="C482" s="323" t="inlineStr">
        <is>
          <t>Учет 5-го этажа секция Б общий</t>
        </is>
      </c>
      <c r="D482" s="323" t="n"/>
      <c r="E482" s="284">
        <f>E299</f>
        <v/>
      </c>
      <c r="F482" s="284">
        <f>F299</f>
        <v/>
      </c>
      <c r="G482" s="231">
        <f>E482-F482</f>
        <v/>
      </c>
      <c r="H482" s="534" t="n">
        <v>1</v>
      </c>
      <c r="I482" s="255">
        <f>G482*H482</f>
        <v/>
      </c>
      <c r="J482" s="255" t="n"/>
      <c r="K482" s="198" t="n"/>
      <c r="L482" s="180">
        <f>P298</f>
        <v/>
      </c>
      <c r="M482" s="180" t="n"/>
      <c r="N482" s="180">
        <f>I482</f>
        <v/>
      </c>
      <c r="O482" s="194">
        <f>P303</f>
        <v/>
      </c>
      <c r="P482" s="400">
        <f>P305</f>
        <v/>
      </c>
      <c r="Q482" s="159" t="n"/>
      <c r="R482" s="159" t="n"/>
    </row>
    <row customHeight="1" hidden="1" ht="15" outlineLevel="1" r="483">
      <c r="A483" s="255" t="n"/>
      <c r="B483" s="534" t="n"/>
      <c r="C483" s="323" t="inlineStr">
        <is>
          <t>Учет 6-го этажа секция Б общий</t>
        </is>
      </c>
      <c r="D483" s="323" t="n"/>
      <c r="E483" s="284">
        <f>E325</f>
        <v/>
      </c>
      <c r="F483" s="284">
        <f>F325</f>
        <v/>
      </c>
      <c r="G483" s="231">
        <f>E483-F483</f>
        <v/>
      </c>
      <c r="H483" s="534" t="n">
        <v>1</v>
      </c>
      <c r="I483" s="255">
        <f>G483*H483</f>
        <v/>
      </c>
      <c r="J483" s="255" t="n"/>
      <c r="K483" s="198" t="n"/>
      <c r="L483" s="180">
        <f>P324</f>
        <v/>
      </c>
      <c r="M483" s="180" t="n"/>
      <c r="N483" s="180">
        <f>I483</f>
        <v/>
      </c>
      <c r="O483" s="194">
        <f>P327</f>
        <v/>
      </c>
      <c r="P483" s="400">
        <f>P329</f>
        <v/>
      </c>
      <c r="Q483" s="159" t="n"/>
      <c r="R483" s="159" t="n"/>
    </row>
    <row customHeight="1" hidden="1" ht="15" outlineLevel="1" r="484">
      <c r="A484" s="255" t="n"/>
      <c r="B484" s="534" t="n"/>
      <c r="C484" s="323" t="inlineStr">
        <is>
          <t>Учет 7-го этажа секция Б общий</t>
        </is>
      </c>
      <c r="D484" s="323" t="n"/>
      <c r="E484" s="284">
        <f>E352</f>
        <v/>
      </c>
      <c r="F484" s="284">
        <f>F352</f>
        <v/>
      </c>
      <c r="G484" s="231">
        <f>E484-F484</f>
        <v/>
      </c>
      <c r="H484" s="534" t="n">
        <v>1</v>
      </c>
      <c r="I484" s="255">
        <f>G484*H484</f>
        <v/>
      </c>
      <c r="J484" s="255" t="n"/>
      <c r="K484" s="198" t="n"/>
      <c r="L484" s="180">
        <f>P351</f>
        <v/>
      </c>
      <c r="M484" s="180" t="n"/>
      <c r="N484" s="180">
        <f>I484</f>
        <v/>
      </c>
      <c r="O484" s="194">
        <f>P354</f>
        <v/>
      </c>
      <c r="P484" s="400">
        <f>P356</f>
        <v/>
      </c>
      <c r="Q484" s="159" t="n"/>
      <c r="R484" s="159" t="n"/>
    </row>
    <row customHeight="1" hidden="1" ht="15" outlineLevel="1" r="485">
      <c r="A485" s="255" t="n"/>
      <c r="B485" s="534" t="n"/>
      <c r="C485" s="323" t="inlineStr">
        <is>
          <t>Учет 8-го этажа секция Б общий</t>
        </is>
      </c>
      <c r="D485" s="323" t="n"/>
      <c r="E485" s="284">
        <f>E361</f>
        <v/>
      </c>
      <c r="F485" s="284">
        <f>F361</f>
        <v/>
      </c>
      <c r="G485" s="231">
        <f>E485-F485</f>
        <v/>
      </c>
      <c r="H485" s="534" t="n">
        <v>1</v>
      </c>
      <c r="I485" s="255">
        <f>G485*H485</f>
        <v/>
      </c>
      <c r="J485" s="255" t="n"/>
      <c r="K485" s="198" t="n"/>
      <c r="L485" s="180">
        <f>P363</f>
        <v/>
      </c>
      <c r="M485" s="180" t="n"/>
      <c r="N485" s="180">
        <f>I485</f>
        <v/>
      </c>
      <c r="O485" s="194">
        <f>P366</f>
        <v/>
      </c>
      <c r="P485" s="400">
        <f>P368</f>
        <v/>
      </c>
      <c r="Q485" s="159" t="n"/>
      <c r="R485" s="159" t="n"/>
    </row>
    <row customHeight="1" hidden="1" ht="15" outlineLevel="1" r="486">
      <c r="A486" s="255" t="n"/>
      <c r="B486" s="534" t="n"/>
      <c r="C486" s="323" t="inlineStr">
        <is>
          <t>Учет 9-го этажа секция Б общий</t>
        </is>
      </c>
      <c r="D486" s="323" t="n"/>
      <c r="E486" s="284">
        <f>E375</f>
        <v/>
      </c>
      <c r="F486" s="284">
        <f>F375</f>
        <v/>
      </c>
      <c r="G486" s="231">
        <f>E486-F486</f>
        <v/>
      </c>
      <c r="H486" s="534" t="n">
        <v>1</v>
      </c>
      <c r="I486" s="255">
        <f>G486*H486</f>
        <v/>
      </c>
      <c r="J486" s="255" t="n"/>
      <c r="K486" s="198" t="n"/>
      <c r="L486" s="180">
        <f>P374</f>
        <v/>
      </c>
      <c r="M486" s="180" t="n"/>
      <c r="N486" s="180">
        <f>I486</f>
        <v/>
      </c>
      <c r="O486" s="194">
        <f>P377</f>
        <v/>
      </c>
      <c r="P486" s="400">
        <f>P379</f>
        <v/>
      </c>
      <c r="Q486" s="159" t="n"/>
      <c r="R486" s="159" t="n"/>
    </row>
    <row customHeight="1" hidden="1" ht="15" outlineLevel="1" r="487">
      <c r="A487" s="255" t="n"/>
      <c r="B487" s="534" t="n"/>
      <c r="C487" s="323" t="inlineStr">
        <is>
          <t>Учет подвала секция стилобат общий</t>
        </is>
      </c>
      <c r="D487" s="323" t="n"/>
      <c r="E487" s="284">
        <f>E393</f>
        <v/>
      </c>
      <c r="F487" s="284">
        <f>F393</f>
        <v/>
      </c>
      <c r="G487" s="231">
        <f>E487-F487</f>
        <v/>
      </c>
      <c r="H487" s="534" t="n">
        <v>1</v>
      </c>
      <c r="I487" s="255">
        <f>G487*H487</f>
        <v/>
      </c>
      <c r="J487" s="255" t="n"/>
      <c r="K487" s="198" t="n"/>
      <c r="L487" s="180">
        <f>P392</f>
        <v/>
      </c>
      <c r="M487" s="180" t="n"/>
      <c r="N487" s="180">
        <f>I487</f>
        <v/>
      </c>
      <c r="O487" s="194">
        <f>P395</f>
        <v/>
      </c>
      <c r="P487" s="400">
        <f>P397</f>
        <v/>
      </c>
      <c r="Q487" s="159" t="n"/>
      <c r="R487" s="159" t="n"/>
    </row>
    <row customHeight="1" hidden="1" ht="15" outlineLevel="1" r="488">
      <c r="A488" s="255" t="n"/>
      <c r="B488" s="534" t="n"/>
      <c r="C488" s="323" t="inlineStr">
        <is>
          <t>Учет 1-го этажа секция стилобат общий</t>
        </is>
      </c>
      <c r="D488" s="323" t="n"/>
      <c r="E488" s="284">
        <f>E411</f>
        <v/>
      </c>
      <c r="F488" s="284">
        <f>F411</f>
        <v/>
      </c>
      <c r="G488" s="231">
        <f>E488-F488</f>
        <v/>
      </c>
      <c r="H488" s="534" t="n">
        <v>1</v>
      </c>
      <c r="I488" s="255">
        <f>G488*H488</f>
        <v/>
      </c>
      <c r="J488" s="255" t="n"/>
      <c r="K488" s="198" t="n"/>
      <c r="L488" s="180">
        <f>P410</f>
        <v/>
      </c>
      <c r="M488" s="180" t="n"/>
      <c r="N488" s="180">
        <f>I488</f>
        <v/>
      </c>
      <c r="O488" s="194">
        <f>P413</f>
        <v/>
      </c>
      <c r="P488" s="400">
        <f>P415</f>
        <v/>
      </c>
      <c r="Q488" s="159" t="n"/>
      <c r="R488" s="159" t="n"/>
    </row>
    <row customHeight="1" hidden="1" ht="15" outlineLevel="1" r="489">
      <c r="A489" s="255" t="n"/>
      <c r="B489" s="534" t="n"/>
      <c r="C489" s="323" t="inlineStr">
        <is>
          <t>Учет 2-го этажа секция стилобат общий</t>
        </is>
      </c>
      <c r="D489" s="323" t="n"/>
      <c r="E489" s="284">
        <f>E422</f>
        <v/>
      </c>
      <c r="F489" s="284">
        <f>F422</f>
        <v/>
      </c>
      <c r="G489" s="231">
        <f>E489-F489</f>
        <v/>
      </c>
      <c r="H489" s="534" t="n">
        <v>1</v>
      </c>
      <c r="I489" s="255">
        <f>G489*H489</f>
        <v/>
      </c>
      <c r="J489" s="255" t="n"/>
      <c r="K489" s="198" t="n"/>
      <c r="L489" s="180">
        <f>P421</f>
        <v/>
      </c>
      <c r="M489" s="180" t="n"/>
      <c r="N489" s="180">
        <f>I489</f>
        <v/>
      </c>
      <c r="O489" s="194">
        <f>P424</f>
        <v/>
      </c>
      <c r="P489" s="400">
        <f>P426</f>
        <v/>
      </c>
      <c r="Q489" s="159" t="n"/>
      <c r="R489" s="159" t="n"/>
    </row>
    <row customHeight="1" hidden="1" ht="15" outlineLevel="1" r="490">
      <c r="A490" s="255" t="n"/>
      <c r="B490" s="534" t="n"/>
      <c r="C490" s="323" t="inlineStr">
        <is>
          <t>Учет 3-го этажа секция стилобат общий</t>
        </is>
      </c>
      <c r="D490" s="323" t="n"/>
      <c r="E490" s="284">
        <f>E434</f>
        <v/>
      </c>
      <c r="F490" s="284">
        <f>F434</f>
        <v/>
      </c>
      <c r="G490" s="231">
        <f>E490-F490</f>
        <v/>
      </c>
      <c r="H490" s="534" t="n">
        <v>1</v>
      </c>
      <c r="I490" s="255">
        <f>G490*H490</f>
        <v/>
      </c>
      <c r="J490" s="255" t="n"/>
      <c r="K490" s="198" t="n"/>
      <c r="L490" s="180">
        <f>P433</f>
        <v/>
      </c>
      <c r="M490" s="180" t="n"/>
      <c r="N490" s="180">
        <f>I490</f>
        <v/>
      </c>
      <c r="O490" s="194">
        <f>P436</f>
        <v/>
      </c>
      <c r="P490" s="400">
        <f>P438</f>
        <v/>
      </c>
      <c r="Q490" s="159" t="n"/>
      <c r="R490" s="159" t="n"/>
    </row>
    <row customHeight="1" hidden="1" ht="15" outlineLevel="1" r="491">
      <c r="A491" s="255" t="n"/>
      <c r="B491" s="534" t="n"/>
      <c r="C491" s="323" t="inlineStr">
        <is>
          <t>Учет 4-го этажа секция стилобат общий</t>
        </is>
      </c>
      <c r="D491" s="323" t="n"/>
      <c r="E491" s="284">
        <f>E445</f>
        <v/>
      </c>
      <c r="F491" s="284">
        <f>F445</f>
        <v/>
      </c>
      <c r="G491" s="231">
        <f>E491-F491</f>
        <v/>
      </c>
      <c r="H491" s="534" t="n">
        <v>1</v>
      </c>
      <c r="I491" s="255">
        <f>G491*H491</f>
        <v/>
      </c>
      <c r="J491" s="255" t="n"/>
      <c r="K491" s="198" t="n"/>
      <c r="L491" s="180">
        <f>P444</f>
        <v/>
      </c>
      <c r="M491" s="180" t="n"/>
      <c r="N491" s="180">
        <f>I491</f>
        <v/>
      </c>
      <c r="O491" s="194">
        <f>P447</f>
        <v/>
      </c>
      <c r="P491" s="400">
        <f>P449</f>
        <v/>
      </c>
      <c r="Q491" s="159" t="n"/>
      <c r="R491" s="159" t="n"/>
    </row>
    <row customHeight="1" hidden="1" ht="15" outlineLevel="1" r="492">
      <c r="A492" s="255" t="n"/>
      <c r="B492" s="534" t="n"/>
      <c r="C492" s="323" t="inlineStr">
        <is>
          <t>Учет перехода общий</t>
        </is>
      </c>
      <c r="D492" s="323" t="n"/>
      <c r="E492" s="284">
        <f>E456</f>
        <v/>
      </c>
      <c r="F492" s="284">
        <f>F456</f>
        <v/>
      </c>
      <c r="G492" s="231">
        <f>E492-F492</f>
        <v/>
      </c>
      <c r="H492" s="534" t="n">
        <v>40</v>
      </c>
      <c r="I492" s="255">
        <f>G492*H492</f>
        <v/>
      </c>
      <c r="J492" s="255" t="n"/>
      <c r="K492" s="198" t="n"/>
      <c r="L492" s="180">
        <f>P455</f>
        <v/>
      </c>
      <c r="M492" s="180" t="n"/>
      <c r="N492" s="180">
        <f>I492</f>
        <v/>
      </c>
      <c r="O492" s="194">
        <f>P458</f>
        <v/>
      </c>
      <c r="P492" s="400">
        <f>P460</f>
        <v/>
      </c>
      <c r="Q492" s="159" t="n"/>
      <c r="R492" s="159" t="n"/>
    </row>
    <row customHeight="1" hidden="1" ht="15" outlineLevel="1" r="493">
      <c r="A493" s="255" t="n"/>
      <c r="B493" s="534" t="n"/>
      <c r="C493" s="323" t="inlineStr">
        <is>
          <t>Учет котельной</t>
        </is>
      </c>
      <c r="D493" s="323" t="n"/>
      <c r="E493" s="284">
        <f>E463</f>
        <v/>
      </c>
      <c r="F493" s="284">
        <f>F463</f>
        <v/>
      </c>
      <c r="G493" s="231">
        <f>E493-F493</f>
        <v/>
      </c>
      <c r="H493" s="534" t="n">
        <v>1</v>
      </c>
      <c r="I493" s="255">
        <f>G493*H493</f>
        <v/>
      </c>
      <c r="J493" s="255" t="n"/>
      <c r="K493" s="198" t="n"/>
      <c r="L493" s="180" t="n"/>
      <c r="M493" s="180" t="n"/>
      <c r="N493" s="180" t="n"/>
      <c r="O493" s="194" t="n"/>
      <c r="P493" s="400">
        <f>-(I493*AC25+I493)</f>
        <v/>
      </c>
      <c r="Q493" s="159" t="n"/>
      <c r="R493" s="159" t="n"/>
    </row>
    <row customHeight="1" hidden="1" ht="15" outlineLevel="1" r="494">
      <c r="A494" s="255" t="n"/>
      <c r="B494" s="534" t="n"/>
      <c r="C494" s="323" t="inlineStr">
        <is>
          <t>Учет лифта  грузовой</t>
        </is>
      </c>
      <c r="D494" s="323" t="n"/>
      <c r="E494" s="284">
        <f>E464</f>
        <v/>
      </c>
      <c r="F494" s="284">
        <f>F464</f>
        <v/>
      </c>
      <c r="G494" s="231">
        <f>E494-F494</f>
        <v/>
      </c>
      <c r="H494" s="534" t="n">
        <v>1</v>
      </c>
      <c r="I494" s="255">
        <f>J464</f>
        <v/>
      </c>
      <c r="J494" s="255" t="n"/>
      <c r="K494" s="198" t="n"/>
      <c r="L494" s="180" t="n"/>
      <c r="M494" s="180" t="n"/>
      <c r="N494" s="180" t="n"/>
      <c r="O494" s="194" t="n"/>
      <c r="P494" s="400">
        <f>-(I494*AC25+I494)</f>
        <v/>
      </c>
      <c r="Q494" s="159" t="n"/>
      <c r="R494" s="159" t="n"/>
    </row>
    <row customHeight="1" hidden="1" ht="15" outlineLevel="1" r="495">
      <c r="A495" s="255" t="n"/>
      <c r="B495" s="534" t="n"/>
      <c r="C495" s="323" t="inlineStr">
        <is>
          <t>Учет лифта пассажир</t>
        </is>
      </c>
      <c r="D495" s="323" t="n"/>
      <c r="E495" s="284">
        <f>E465</f>
        <v/>
      </c>
      <c r="F495" s="284">
        <f>F465</f>
        <v/>
      </c>
      <c r="G495" s="231">
        <f>E495-F495</f>
        <v/>
      </c>
      <c r="H495" s="534" t="n">
        <v>1</v>
      </c>
      <c r="I495" s="255">
        <f>J465</f>
        <v/>
      </c>
      <c r="J495" s="255" t="n"/>
      <c r="K495" s="198" t="n"/>
      <c r="L495" s="180" t="n"/>
      <c r="M495" s="180" t="n"/>
      <c r="N495" s="180" t="n"/>
      <c r="O495" s="194" t="n"/>
      <c r="P495" s="400" t="n"/>
      <c r="Q495" s="159" t="n"/>
      <c r="R495" s="159" t="n"/>
    </row>
    <row customHeight="1" hidden="1" ht="15" outlineLevel="1" r="496">
      <c r="A496" s="255" t="n"/>
      <c r="B496" s="534" t="n"/>
      <c r="C496" s="323" t="inlineStr">
        <is>
          <t>Учет теплопункта</t>
        </is>
      </c>
      <c r="D496" s="323" t="n"/>
      <c r="E496" s="284">
        <f>E466</f>
        <v/>
      </c>
      <c r="F496" s="284">
        <f>F466</f>
        <v/>
      </c>
      <c r="G496" s="231">
        <f>G466</f>
        <v/>
      </c>
      <c r="H496" s="534">
        <f>H466</f>
        <v/>
      </c>
      <c r="I496" s="255">
        <f>J466</f>
        <v/>
      </c>
      <c r="J496" s="255" t="n"/>
      <c r="K496" s="198" t="n"/>
      <c r="L496" s="180" t="n"/>
      <c r="M496" s="180" t="n"/>
      <c r="N496" s="180" t="n"/>
      <c r="O496" s="194" t="n"/>
      <c r="P496" s="400" t="n"/>
      <c r="Q496" s="159" t="n"/>
      <c r="R496" s="159" t="n"/>
    </row>
    <row customHeight="1" hidden="1" ht="15" outlineLevel="1" r="497">
      <c r="A497" s="255" t="n"/>
      <c r="B497" s="534" t="n"/>
      <c r="C497" s="167" t="inlineStr">
        <is>
          <t>Всего секция Б по учетам</t>
        </is>
      </c>
      <c r="D497" s="167" t="n"/>
      <c r="E497" s="284" t="n"/>
      <c r="F497" s="284" t="n"/>
      <c r="G497" s="231" t="n"/>
      <c r="H497" s="534" t="n"/>
      <c r="I497" s="255">
        <f>SUM(I477:I496)</f>
        <v/>
      </c>
      <c r="J497" s="255" t="n"/>
      <c r="K497" s="198" t="n"/>
      <c r="L497" s="404">
        <f>SUM(L477:L496)</f>
        <v/>
      </c>
      <c r="M497" s="404" t="n"/>
      <c r="N497" s="404">
        <f>SUM(N477:N496)</f>
        <v/>
      </c>
      <c r="O497" s="405">
        <f>SUM(O477:O496)</f>
        <v/>
      </c>
      <c r="P497" s="406" t="n"/>
      <c r="Q497" s="159" t="n"/>
      <c r="R497" s="159" t="n"/>
    </row>
    <row customHeight="1" hidden="1" ht="15" outlineLevel="1" r="498">
      <c r="A498" s="266" t="n"/>
      <c r="B498" s="269" t="n"/>
      <c r="C498" s="266" t="inlineStr">
        <is>
          <t>Итого по учетам секции Б</t>
        </is>
      </c>
      <c r="D498" s="266" t="n"/>
      <c r="E498" s="267" t="n"/>
      <c r="F498" s="267" t="n"/>
      <c r="G498" s="274" t="n"/>
      <c r="H498" s="269" t="n"/>
      <c r="I498" s="269" t="n"/>
      <c r="J498" s="269" t="n"/>
      <c r="K498" s="270" t="n"/>
      <c r="L498" s="270" t="n"/>
      <c r="M498" s="270" t="n"/>
      <c r="N498" s="271" t="n"/>
      <c r="O498" s="272">
        <f>O497-O476</f>
        <v/>
      </c>
      <c r="P498" s="404">
        <f>SUM(P477:P494)</f>
        <v/>
      </c>
      <c r="Q498" s="159" t="inlineStr">
        <is>
          <t>сверка по итогу</t>
        </is>
      </c>
      <c r="R498" s="159" t="n"/>
    </row>
    <row customHeight="1" hidden="1" ht="15" outlineLevel="1" r="499">
      <c r="A499" s="266" t="n"/>
      <c r="B499" s="269" t="n"/>
      <c r="C499" s="266" t="inlineStr">
        <is>
          <t>Итого с потерями РЭСа</t>
        </is>
      </c>
      <c r="D499" s="266" t="n"/>
      <c r="E499" s="267" t="n"/>
      <c r="F499" s="267" t="n"/>
      <c r="G499" s="274" t="n"/>
      <c r="H499" s="269" t="n"/>
      <c r="I499" s="269" t="n"/>
      <c r="J499" s="269" t="n"/>
      <c r="K499" s="270" t="n"/>
      <c r="L499" s="270" t="n"/>
      <c r="M499" s="270" t="n"/>
      <c r="N499" s="271" t="n"/>
      <c r="O499" s="272">
        <f>O498*AC25+O498</f>
        <v/>
      </c>
      <c r="P499" s="400" t="n"/>
      <c r="Q499" s="159" t="n"/>
      <c r="R499" s="159" t="n"/>
    </row>
    <row customHeight="1" hidden="1" ht="15" outlineLevel="1" r="500">
      <c r="A500" s="266" t="n"/>
      <c r="B500" s="269" t="n"/>
      <c r="C500" s="266" t="inlineStr">
        <is>
          <t>итого всего</t>
        </is>
      </c>
      <c r="D500" s="266" t="n"/>
      <c r="E500" s="267" t="n"/>
      <c r="F500" s="267" t="n"/>
      <c r="G500" s="274" t="n"/>
      <c r="H500" s="269" t="n"/>
      <c r="I500" s="269" t="n"/>
      <c r="J500" s="269" t="n"/>
      <c r="K500" s="270" t="n"/>
      <c r="L500" s="270" t="n"/>
      <c r="M500" s="270" t="n"/>
      <c r="N500" s="271" t="n"/>
      <c r="O500" s="272" t="n"/>
      <c r="P500" s="400" t="n"/>
      <c r="Q500" s="159" t="n"/>
      <c r="R500" s="159" t="n"/>
    </row>
    <row customHeight="1" hidden="1" ht="15" outlineLevel="1" r="501">
      <c r="A501" s="255" t="n"/>
      <c r="B501" s="534" t="n"/>
      <c r="C501" s="167" t="n"/>
      <c r="D501" s="167" t="n"/>
      <c r="E501" s="284" t="n"/>
      <c r="F501" s="284" t="n"/>
      <c r="G501" s="231" t="n"/>
      <c r="H501" s="534" t="n"/>
      <c r="I501" s="534" t="n"/>
      <c r="J501" s="534" t="n"/>
      <c r="K501" s="198" t="n"/>
      <c r="L501" s="198" t="n"/>
      <c r="M501" s="198" t="n"/>
      <c r="N501" s="180" t="n"/>
      <c r="O501" s="194" t="n"/>
      <c r="P501" s="400" t="n"/>
      <c r="Q501" s="159" t="n"/>
      <c r="R501" s="159" t="n"/>
    </row>
    <row customFormat="1" customHeight="1" hidden="1" ht="15" outlineLevel="1" r="502" s="252">
      <c r="A502" s="262" t="n"/>
      <c r="B502" s="216" t="n"/>
      <c r="C502" s="222" t="n"/>
      <c r="D502" s="222" t="n"/>
      <c r="E502" s="350" t="n"/>
      <c r="F502" s="350" t="n"/>
      <c r="G502" s="217" t="n"/>
      <c r="H502" s="216" t="n"/>
      <c r="I502" s="262" t="n"/>
      <c r="J502" s="262" t="n"/>
      <c r="K502" s="223" t="n"/>
      <c r="L502" s="217" t="n"/>
      <c r="M502" s="217" t="n"/>
      <c r="N502" s="224" t="n"/>
      <c r="O502" s="224" t="n"/>
      <c r="P502" s="397" t="n"/>
      <c r="Q502" s="397" t="n"/>
      <c r="R502" s="398" t="n"/>
      <c r="S502" s="398" t="n"/>
      <c r="T502" s="397" t="n"/>
      <c r="U502" s="397" t="n"/>
      <c r="V502" s="397" t="n"/>
      <c r="W502" s="397" t="n"/>
      <c r="X502" s="397" t="n"/>
      <c r="Y502" s="397" t="n"/>
    </row>
    <row customFormat="1" customHeight="1" hidden="1" ht="15" outlineLevel="1" r="503" s="252">
      <c r="A503" s="262" t="n"/>
      <c r="B503" s="216" t="n"/>
      <c r="C503" s="222" t="n"/>
      <c r="D503" s="222" t="n"/>
      <c r="E503" s="350" t="n"/>
      <c r="F503" s="350" t="n"/>
      <c r="G503" s="217" t="n"/>
      <c r="H503" s="216" t="n"/>
      <c r="I503" s="262" t="n"/>
      <c r="J503" s="262" t="n"/>
      <c r="K503" s="223" t="n"/>
      <c r="L503" s="217" t="n"/>
      <c r="M503" s="217" t="n"/>
      <c r="N503" s="224" t="n"/>
      <c r="O503" s="224" t="n"/>
      <c r="P503" s="397" t="n"/>
      <c r="Q503" s="397" t="n"/>
      <c r="R503" s="398" t="n"/>
      <c r="S503" s="398" t="n"/>
      <c r="T503" s="397" t="n"/>
      <c r="U503" s="397" t="n"/>
      <c r="V503" s="397" t="n"/>
      <c r="W503" s="397" t="n"/>
      <c r="X503" s="397" t="n"/>
      <c r="Y503" s="397" t="n"/>
    </row>
    <row customFormat="1" customHeight="1" hidden="1" ht="15" outlineLevel="1" r="504" s="252">
      <c r="A504" s="262" t="n"/>
      <c r="B504" s="216" t="n"/>
      <c r="C504" s="222" t="n"/>
      <c r="D504" s="222" t="n"/>
      <c r="E504" s="350" t="n"/>
      <c r="F504" s="350" t="n"/>
      <c r="G504" s="217" t="n"/>
      <c r="H504" s="216" t="n"/>
      <c r="I504" s="262" t="n"/>
      <c r="J504" s="262" t="n"/>
      <c r="K504" s="223" t="n"/>
      <c r="L504" s="217" t="n"/>
      <c r="M504" s="217" t="n"/>
      <c r="N504" s="224" t="n"/>
      <c r="O504" s="224" t="n"/>
      <c r="P504" s="397" t="n"/>
      <c r="Q504" s="397" t="n"/>
      <c r="R504" s="398" t="n"/>
      <c r="S504" s="398" t="n"/>
      <c r="T504" s="397" t="n"/>
      <c r="U504" s="397" t="n"/>
      <c r="V504" s="397" t="n"/>
      <c r="W504" s="397" t="n"/>
      <c r="X504" s="397" t="n"/>
      <c r="Y504" s="397" t="n"/>
    </row>
    <row customFormat="1" customHeight="1" hidden="1" ht="15" outlineLevel="1" r="505" s="252">
      <c r="A505" s="262" t="n"/>
      <c r="B505" s="216" t="n"/>
      <c r="C505" s="222" t="n"/>
      <c r="D505" s="222" t="n"/>
      <c r="E505" s="350" t="n"/>
      <c r="F505" s="350" t="n"/>
      <c r="G505" s="217" t="n"/>
      <c r="H505" s="216" t="n"/>
      <c r="I505" s="262" t="n"/>
      <c r="J505" s="262" t="n"/>
      <c r="K505" s="223" t="n"/>
      <c r="L505" s="217" t="n"/>
      <c r="M505" s="217" t="n"/>
      <c r="N505" s="224" t="n"/>
      <c r="O505" s="224" t="n"/>
      <c r="P505" s="397" t="n"/>
      <c r="Q505" s="397" t="n"/>
      <c r="R505" s="398" t="n"/>
      <c r="S505" s="398" t="n"/>
      <c r="T505" s="397" t="n"/>
      <c r="U505" s="397" t="n"/>
      <c r="V505" s="397" t="n"/>
      <c r="W505" s="397" t="n"/>
      <c r="X505" s="397" t="n"/>
      <c r="Y505" s="397" t="n"/>
    </row>
    <row customFormat="1" customHeight="1" hidden="1" ht="15" outlineLevel="1" r="506" s="252">
      <c r="A506" s="262" t="n"/>
      <c r="B506" s="216" t="n"/>
      <c r="C506" s="222" t="n"/>
      <c r="D506" s="222" t="n"/>
      <c r="E506" s="350" t="n"/>
      <c r="F506" s="350" t="n"/>
      <c r="G506" s="217" t="n"/>
      <c r="H506" s="216" t="n"/>
      <c r="I506" s="262" t="n"/>
      <c r="J506" s="262" t="n"/>
      <c r="K506" s="223" t="n"/>
      <c r="L506" s="217" t="n"/>
      <c r="M506" s="217" t="n"/>
      <c r="N506" s="224" t="n"/>
      <c r="O506" s="224" t="n"/>
      <c r="P506" s="397" t="n"/>
      <c r="Q506" s="396" t="n"/>
      <c r="R506" s="395" t="n"/>
      <c r="S506" s="395" t="n"/>
      <c r="T506" s="396" t="n"/>
      <c r="U506" s="396" t="n"/>
      <c r="V506" s="396" t="n"/>
      <c r="W506" s="396" t="n"/>
      <c r="X506" s="396" t="n"/>
      <c r="Y506" s="396" t="n"/>
      <c r="Z506" s="396" t="n"/>
    </row>
    <row customFormat="1" customHeight="1" hidden="1" ht="15" outlineLevel="1" r="507" s="252">
      <c r="A507" s="262" t="n"/>
      <c r="B507" s="216" t="n"/>
      <c r="C507" s="222" t="n"/>
      <c r="D507" s="222" t="n"/>
      <c r="E507" s="350" t="n"/>
      <c r="F507" s="350" t="n"/>
      <c r="G507" s="217" t="n"/>
      <c r="H507" s="216" t="n"/>
      <c r="I507" s="262" t="n"/>
      <c r="J507" s="262" t="n"/>
      <c r="K507" s="223" t="n"/>
      <c r="L507" s="217" t="n"/>
      <c r="M507" s="217" t="n"/>
      <c r="N507" s="224" t="n"/>
      <c r="O507" s="224" t="n"/>
      <c r="P507" s="397" t="n"/>
      <c r="Q507" s="396" t="n"/>
      <c r="R507" s="395" t="n"/>
      <c r="S507" s="395" t="n"/>
      <c r="T507" s="396" t="n"/>
      <c r="U507" s="396" t="n"/>
      <c r="V507" s="396" t="n"/>
      <c r="W507" s="396" t="n"/>
      <c r="X507" s="396" t="n"/>
      <c r="Y507" s="396" t="n"/>
      <c r="Z507" s="396" t="n"/>
    </row>
    <row customFormat="1" customHeight="1" hidden="1" ht="15" outlineLevel="1" r="508" s="252">
      <c r="A508" s="262" t="n"/>
      <c r="B508" s="216" t="n"/>
      <c r="C508" s="222" t="n"/>
      <c r="D508" s="222" t="n"/>
      <c r="E508" s="350" t="n"/>
      <c r="F508" s="350" t="n"/>
      <c r="G508" s="217" t="n"/>
      <c r="H508" s="216" t="n"/>
      <c r="I508" s="262" t="n"/>
      <c r="J508" s="262" t="n"/>
      <c r="K508" s="223" t="n"/>
      <c r="L508" s="217" t="n"/>
      <c r="M508" s="217" t="n"/>
      <c r="N508" s="224" t="n"/>
      <c r="O508" s="224" t="n"/>
      <c r="P508" s="397" t="n"/>
      <c r="Q508" s="396" t="n"/>
      <c r="R508" s="395" t="n"/>
      <c r="S508" s="395" t="n"/>
      <c r="T508" s="396" t="n"/>
      <c r="U508" s="396" t="n"/>
      <c r="V508" s="396" t="n"/>
      <c r="W508" s="396" t="n"/>
      <c r="X508" s="396" t="n"/>
      <c r="Y508" s="396" t="n"/>
      <c r="Z508" s="396" t="n"/>
    </row>
    <row customFormat="1" customHeight="1" hidden="1" ht="15" outlineLevel="1" r="509" s="252">
      <c r="A509" s="262" t="n"/>
      <c r="B509" s="216" t="n"/>
      <c r="C509" s="222" t="n"/>
      <c r="D509" s="222" t="n"/>
      <c r="E509" s="350" t="n"/>
      <c r="F509" s="350" t="n"/>
      <c r="G509" s="217" t="n"/>
      <c r="H509" s="216" t="n"/>
      <c r="I509" s="262" t="n"/>
      <c r="J509" s="262" t="n"/>
      <c r="K509" s="223" t="n"/>
      <c r="L509" s="217" t="n"/>
      <c r="M509" s="217" t="n"/>
      <c r="N509" s="224" t="n"/>
      <c r="O509" s="224" t="n"/>
      <c r="P509" s="397" t="n"/>
      <c r="Q509" s="396" t="n"/>
      <c r="R509" s="395" t="n"/>
      <c r="S509" s="395" t="n"/>
      <c r="T509" s="396" t="n"/>
      <c r="U509" s="396" t="n"/>
      <c r="V509" s="396" t="n"/>
      <c r="W509" s="396" t="n"/>
      <c r="X509" s="396" t="n"/>
      <c r="Y509" s="396" t="n"/>
      <c r="Z509" s="396" t="n"/>
    </row>
    <row customFormat="1" customHeight="1" hidden="1" ht="15" outlineLevel="1" r="510" s="252">
      <c r="A510" s="262" t="n"/>
      <c r="B510" s="216" t="n"/>
      <c r="C510" s="222" t="n"/>
      <c r="D510" s="222" t="n"/>
      <c r="E510" s="350" t="n"/>
      <c r="F510" s="350" t="n"/>
      <c r="G510" s="217" t="n"/>
      <c r="H510" s="216" t="n"/>
      <c r="I510" s="262" t="n"/>
      <c r="J510" s="262" t="n"/>
      <c r="K510" s="223" t="n"/>
      <c r="L510" s="217" t="n"/>
      <c r="M510" s="217" t="n"/>
      <c r="N510" s="224" t="n"/>
      <c r="O510" s="224" t="n"/>
      <c r="P510" s="397" t="n"/>
      <c r="Q510" s="396" t="n"/>
      <c r="R510" s="395" t="n"/>
      <c r="S510" s="395" t="n"/>
      <c r="T510" s="396" t="n"/>
      <c r="U510" s="396" t="n"/>
      <c r="V510" s="396" t="n"/>
      <c r="W510" s="396" t="n"/>
      <c r="X510" s="396" t="n"/>
      <c r="Y510" s="396" t="n"/>
      <c r="Z510" s="396" t="n"/>
      <c r="AA510" s="396" t="n"/>
    </row>
    <row customFormat="1" customHeight="1" hidden="1" ht="15" outlineLevel="1" r="511" s="252">
      <c r="A511" s="262" t="n"/>
      <c r="B511" s="216" t="n"/>
      <c r="C511" s="222" t="n"/>
      <c r="D511" s="222" t="n"/>
      <c r="E511" s="350" t="n"/>
      <c r="F511" s="350" t="n"/>
      <c r="G511" s="217" t="n"/>
      <c r="H511" s="216" t="n"/>
      <c r="I511" s="262" t="n"/>
      <c r="J511" s="262" t="n"/>
      <c r="K511" s="223" t="n"/>
      <c r="L511" s="217" t="n"/>
      <c r="M511" s="217" t="n"/>
      <c r="N511" s="224" t="n"/>
      <c r="O511" s="224" t="n"/>
      <c r="P511" s="397" t="n"/>
      <c r="Q511" s="396" t="n"/>
      <c r="R511" s="395" t="n"/>
      <c r="S511" s="407">
        <f>N442+N441+N236+N431+N418+N408+N407+N185+N62</f>
        <v/>
      </c>
      <c r="T511" s="396" t="n"/>
      <c r="U511" s="396" t="n"/>
      <c r="V511" s="396" t="n"/>
      <c r="W511" s="396" t="n"/>
      <c r="X511" s="396" t="n"/>
      <c r="Y511" s="396" t="n"/>
      <c r="Z511" s="396" t="n"/>
      <c r="AA511" s="396" t="n"/>
    </row>
    <row hidden="1" outlineLevel="1" r="512">
      <c r="E512" s="507" t="inlineStr">
        <is>
          <t xml:space="preserve">                          Сводная таблица без реактива(только актив)</t>
        </is>
      </c>
      <c r="Q512" s="478" t="n"/>
      <c r="R512" s="478" t="n"/>
      <c r="S512" s="478" t="n"/>
      <c r="T512" s="478" t="n"/>
      <c r="U512" s="478" t="n"/>
      <c r="V512" s="478" t="n"/>
      <c r="W512" s="478" t="n"/>
      <c r="X512" s="478" t="n"/>
      <c r="Y512" s="478" t="n"/>
      <c r="Z512" s="478" t="n"/>
      <c r="AA512" s="478" t="n"/>
    </row>
    <row customHeight="1" hidden="1" ht="12.75" outlineLevel="1" r="513">
      <c r="A513" s="529" t="inlineStr">
        <is>
          <t>№ п/п</t>
        </is>
      </c>
      <c r="B513" s="533" t="inlineStr">
        <is>
          <t>№ комнаты</t>
        </is>
      </c>
      <c r="C513" s="531" t="inlineStr">
        <is>
          <t>Точка учета</t>
        </is>
      </c>
      <c r="D513" s="531" t="n"/>
      <c r="E513" s="533" t="inlineStr">
        <is>
          <t>Всего показания(без потерь и реактива)</t>
        </is>
      </c>
      <c r="F513" s="533" t="inlineStr">
        <is>
          <t>Арендаторы</t>
        </is>
      </c>
      <c r="G513" s="532" t="inlineStr">
        <is>
          <t>С/у,коридор</t>
        </is>
      </c>
      <c r="H513" s="533" t="inlineStr">
        <is>
          <t>Охрана,</t>
        </is>
      </c>
      <c r="I513" s="533" t="inlineStr">
        <is>
          <t>Котельная ,теплопункт</t>
        </is>
      </c>
      <c r="J513" s="533" t="n"/>
      <c r="K513" s="533" t="inlineStr">
        <is>
          <t>процент увеличения</t>
        </is>
      </c>
      <c r="L513" s="533" t="inlineStr">
        <is>
          <t>На сколько перекрываются показания</t>
        </is>
      </c>
      <c r="M513" s="533" t="n"/>
      <c r="Q513" s="478" t="n"/>
      <c r="R513" s="478" t="n"/>
      <c r="S513" s="478" t="n"/>
      <c r="T513" s="478" t="n"/>
      <c r="U513" s="478" t="n"/>
      <c r="V513" s="478" t="n"/>
      <c r="W513" s="478" t="n"/>
      <c r="X513" s="478" t="n"/>
      <c r="Y513" s="478" t="n"/>
      <c r="Z513" s="478" t="n"/>
      <c r="AA513" s="478" t="n"/>
    </row>
    <row hidden="1" outlineLevel="1" r="514">
      <c r="A514" s="547" t="n"/>
      <c r="B514" s="547" t="n"/>
      <c r="C514" s="547" t="n"/>
      <c r="D514" s="533" t="n"/>
      <c r="E514" s="547" t="n"/>
      <c r="F514" s="547" t="n"/>
      <c r="G514" s="547" t="n"/>
      <c r="H514" s="547" t="n"/>
      <c r="I514" s="547" t="n"/>
      <c r="J514" s="533" t="n"/>
      <c r="K514" s="547" t="n"/>
      <c r="L514" s="547" t="n"/>
      <c r="M514" s="533" t="n"/>
      <c r="Q514" s="478" t="n"/>
      <c r="R514" s="478" t="n"/>
      <c r="S514" s="478" t="n"/>
      <c r="T514" s="478" t="n"/>
      <c r="U514" s="478" t="n"/>
      <c r="V514" s="478" t="n"/>
      <c r="W514" s="478" t="n"/>
      <c r="X514" s="478" t="n"/>
      <c r="Y514" s="478" t="n"/>
      <c r="Z514" s="478" t="n"/>
      <c r="AA514" s="478" t="n"/>
    </row>
    <row hidden="1" outlineLevel="1" r="515">
      <c r="A515" s="547" t="n"/>
      <c r="B515" s="547" t="n"/>
      <c r="C515" s="547" t="n"/>
      <c r="D515" s="529" t="n"/>
      <c r="E515" s="547" t="n"/>
      <c r="F515" s="547" t="n"/>
      <c r="G515" s="547" t="n"/>
      <c r="H515" s="547" t="n"/>
      <c r="I515" s="547" t="n"/>
      <c r="J515" s="533" t="n"/>
      <c r="K515" s="547" t="n"/>
      <c r="L515" s="547" t="n"/>
      <c r="M515" s="533" t="n"/>
      <c r="Q515" s="478" t="n"/>
      <c r="R515" s="478" t="n"/>
      <c r="S515" s="478" t="n"/>
      <c r="T515" s="478" t="n"/>
      <c r="U515" s="478" t="n"/>
      <c r="V515" s="478" t="n"/>
      <c r="W515" s="478" t="n"/>
      <c r="X515" s="478" t="n"/>
      <c r="Y515" s="478" t="n"/>
      <c r="Z515" s="478" t="n"/>
      <c r="AA515" s="478" t="n"/>
    </row>
    <row hidden="1" outlineLevel="1" r="516">
      <c r="A516" s="547" t="n"/>
      <c r="B516" s="547" t="n"/>
      <c r="C516" s="547" t="n"/>
      <c r="D516" s="529" t="n"/>
      <c r="E516" s="547" t="n"/>
      <c r="F516" s="547" t="n"/>
      <c r="G516" s="547" t="n"/>
      <c r="H516" s="547" t="n"/>
      <c r="I516" s="547" t="n"/>
      <c r="J516" s="533" t="n"/>
      <c r="K516" s="547" t="n"/>
      <c r="L516" s="547" t="n"/>
      <c r="M516" s="533" t="n"/>
      <c r="Q516" s="478" t="n"/>
      <c r="R516" s="478" t="n"/>
      <c r="S516" s="478" t="n"/>
      <c r="T516" s="478" t="n"/>
      <c r="U516" s="478" t="n"/>
      <c r="V516" s="478" t="n"/>
      <c r="W516" s="478" t="n"/>
      <c r="X516" s="478" t="n"/>
      <c r="Y516" s="478" t="n"/>
      <c r="Z516" s="478" t="n"/>
      <c r="AA516" s="478" t="n"/>
    </row>
    <row hidden="1" outlineLevel="1" r="517">
      <c r="A517" s="553" t="n"/>
      <c r="B517" s="553" t="n"/>
      <c r="C517" s="553" t="n"/>
      <c r="D517" s="529" t="n"/>
      <c r="E517" s="553" t="n"/>
      <c r="F517" s="553" t="n"/>
      <c r="G517" s="553" t="n"/>
      <c r="H517" s="553" t="n"/>
      <c r="I517" s="553" t="n"/>
      <c r="J517" s="533" t="n"/>
      <c r="K517" s="553" t="n"/>
      <c r="L517" s="553" t="n"/>
      <c r="M517" s="533" t="n"/>
      <c r="Q517" s="478" t="n"/>
      <c r="R517" s="478" t="n"/>
      <c r="S517" s="478" t="n"/>
      <c r="T517" s="478" t="n"/>
      <c r="U517" s="478" t="n"/>
      <c r="V517" s="478" t="n"/>
      <c r="W517" s="478" t="n"/>
      <c r="X517" s="478" t="n"/>
      <c r="Y517" s="478" t="n"/>
      <c r="Z517" s="478" t="n"/>
      <c r="AA517" s="478" t="n"/>
    </row>
    <row customHeight="1" hidden="1" ht="15" outlineLevel="1" r="518">
      <c r="A518" s="534" t="n">
        <v>1</v>
      </c>
      <c r="B518" s="534" t="n">
        <v>2</v>
      </c>
      <c r="C518" s="534" t="n">
        <v>3</v>
      </c>
      <c r="D518" s="534" t="n"/>
      <c r="E518" s="534" t="n">
        <v>4</v>
      </c>
      <c r="F518" s="534" t="n">
        <v>5</v>
      </c>
      <c r="G518" s="40" t="n">
        <v>6</v>
      </c>
      <c r="H518" s="534" t="n">
        <v>7</v>
      </c>
      <c r="I518" s="534" t="n">
        <v>8</v>
      </c>
      <c r="J518" s="534" t="n"/>
      <c r="K518" s="534" t="n">
        <v>10</v>
      </c>
      <c r="L518" s="408" t="n">
        <v>11</v>
      </c>
      <c r="M518" s="408" t="n"/>
      <c r="Q518" s="478" t="n"/>
      <c r="R518" s="478" t="n"/>
      <c r="S518" s="478" t="n"/>
      <c r="T518" s="478" t="n"/>
      <c r="U518" s="478" t="n"/>
      <c r="V518" s="478" t="n"/>
      <c r="W518" s="478" t="n"/>
      <c r="X518" s="478" t="n"/>
      <c r="Y518" s="478" t="n"/>
      <c r="Z518" s="478" t="n"/>
      <c r="AA518" s="478" t="n"/>
    </row>
    <row hidden="1" outlineLevel="1" r="519">
      <c r="A519" s="382" t="n"/>
      <c r="B519" s="409" t="n"/>
      <c r="C519" s="409" t="inlineStr">
        <is>
          <t>Корп. А</t>
        </is>
      </c>
      <c r="D519" s="409" t="n"/>
      <c r="E519" s="409" t="n"/>
      <c r="F519" s="409" t="n"/>
      <c r="G519" s="410" t="n"/>
      <c r="H519" s="409" t="n"/>
      <c r="I519" s="409" t="n"/>
      <c r="J519" s="409" t="n"/>
      <c r="K519" s="409" t="n"/>
      <c r="L519" s="409" t="n"/>
      <c r="M519" s="409" t="n"/>
      <c r="Q519" s="478" t="n"/>
      <c r="R519" s="478" t="n"/>
      <c r="S519" s="478" t="n"/>
      <c r="T519" s="478" t="n"/>
      <c r="U519" s="478" t="n"/>
      <c r="V519" s="478" t="n"/>
      <c r="W519" s="478" t="n"/>
      <c r="X519" s="478" t="n"/>
      <c r="Y519" s="478" t="n"/>
      <c r="Z519" s="478" t="n"/>
      <c r="AA519" s="478" t="n"/>
    </row>
    <row hidden="1" outlineLevel="1" r="520">
      <c r="A520" s="189" t="n">
        <v>1</v>
      </c>
      <c r="B520" s="534" t="n"/>
      <c r="C520" s="418" t="inlineStr">
        <is>
          <t>подвал</t>
        </is>
      </c>
      <c r="D520" s="418" t="n"/>
      <c r="E520" s="420">
        <f>J71</f>
        <v/>
      </c>
      <c r="F520" s="420">
        <f>J68</f>
        <v/>
      </c>
      <c r="G520" s="412">
        <f>J69</f>
        <v/>
      </c>
      <c r="H520" s="418">
        <f>P70</f>
        <v/>
      </c>
      <c r="I520" s="255" t="n"/>
      <c r="J520" s="452" t="n"/>
      <c r="K520" s="365">
        <f>K53</f>
        <v/>
      </c>
      <c r="L520" s="413">
        <f>P74</f>
        <v/>
      </c>
      <c r="M520" s="413" t="n"/>
      <c r="Q520" s="478" t="n"/>
      <c r="R520" s="478" t="n"/>
      <c r="S520" s="478" t="n"/>
      <c r="T520" s="478" t="n"/>
      <c r="U520" s="478" t="n"/>
      <c r="V520" s="478" t="n"/>
      <c r="W520" s="478" t="n"/>
      <c r="X520" s="478" t="n"/>
      <c r="Y520" s="478" t="n"/>
      <c r="Z520" s="478" t="n"/>
      <c r="AA520" s="478" t="n"/>
    </row>
    <row hidden="1" outlineLevel="1" r="521">
      <c r="A521" s="189" t="n">
        <v>2</v>
      </c>
      <c r="B521" s="534" t="n"/>
      <c r="C521" s="418" t="inlineStr">
        <is>
          <t>1-й этаж</t>
        </is>
      </c>
      <c r="D521" s="418" t="n"/>
      <c r="E521" s="420">
        <f>J105</f>
        <v/>
      </c>
      <c r="F521" s="420">
        <f>J99</f>
        <v/>
      </c>
      <c r="G521" s="412">
        <f>P103</f>
        <v/>
      </c>
      <c r="H521" s="418" t="n"/>
      <c r="I521" s="414">
        <f>I38</f>
        <v/>
      </c>
      <c r="J521" s="415" t="n"/>
      <c r="K521" s="365">
        <f>K76</f>
        <v/>
      </c>
      <c r="L521" s="413">
        <f>P108</f>
        <v/>
      </c>
      <c r="M521" s="413" t="n"/>
      <c r="Q521" s="478" t="n"/>
      <c r="R521" s="478" t="n"/>
      <c r="S521" s="478" t="n"/>
      <c r="T521" s="478" t="n"/>
      <c r="U521" s="478" t="n"/>
      <c r="V521" s="478" t="n"/>
      <c r="W521" s="478" t="n"/>
      <c r="X521" s="478" t="n"/>
      <c r="Y521" s="478" t="n"/>
      <c r="Z521" s="478" t="n"/>
      <c r="AA521" s="478" t="n"/>
    </row>
    <row hidden="1" outlineLevel="1" r="522">
      <c r="A522" s="189" t="n">
        <v>3</v>
      </c>
      <c r="B522" s="534" t="n"/>
      <c r="C522" s="418" t="inlineStr">
        <is>
          <t>2-й этаж</t>
        </is>
      </c>
      <c r="D522" s="418" t="n"/>
      <c r="E522" s="420">
        <f>J151</f>
        <v/>
      </c>
      <c r="F522" s="420">
        <f>J149</f>
        <v/>
      </c>
      <c r="G522" s="412">
        <f>P150</f>
        <v/>
      </c>
      <c r="H522" s="418" t="n"/>
      <c r="I522" s="414" t="n"/>
      <c r="J522" s="415" t="n"/>
      <c r="K522" s="365">
        <f>K110</f>
        <v/>
      </c>
      <c r="L522" s="416">
        <f>P154</f>
        <v/>
      </c>
      <c r="M522" s="416" t="n"/>
      <c r="Q522" s="478" t="n"/>
      <c r="R522" s="478" t="n"/>
      <c r="S522" s="478" t="n"/>
      <c r="T522" s="478" t="n"/>
      <c r="U522" s="478" t="n"/>
      <c r="V522" s="478" t="n"/>
      <c r="W522" s="478" t="n"/>
      <c r="X522" s="478" t="n"/>
      <c r="Y522" s="478" t="n"/>
      <c r="Z522" s="478" t="n"/>
      <c r="AA522" s="478" t="n"/>
    </row>
    <row hidden="1" outlineLevel="1" r="523">
      <c r="A523" s="189" t="n"/>
      <c r="B523" s="534" t="n"/>
      <c r="C523" s="418" t="inlineStr">
        <is>
          <t>Италавто</t>
        </is>
      </c>
      <c r="D523" s="418" t="n"/>
      <c r="E523" s="420">
        <f>J47</f>
        <v/>
      </c>
      <c r="F523" s="420">
        <f>E523</f>
        <v/>
      </c>
      <c r="G523" s="412" t="n"/>
      <c r="H523" s="418" t="n"/>
      <c r="I523" s="414" t="n"/>
      <c r="J523" s="415" t="n"/>
      <c r="K523" s="365">
        <f>K44</f>
        <v/>
      </c>
      <c r="L523" s="416">
        <f>P51</f>
        <v/>
      </c>
      <c r="M523" s="416" t="n"/>
      <c r="Q523" s="478" t="n"/>
      <c r="R523" s="478" t="n"/>
      <c r="S523" s="478" t="n"/>
      <c r="T523" s="478" t="n"/>
      <c r="U523" s="478" t="n"/>
      <c r="V523" s="478" t="n"/>
      <c r="W523" s="478" t="n"/>
      <c r="X523" s="478" t="n"/>
      <c r="Y523" s="478" t="n"/>
      <c r="Z523" s="478" t="n"/>
      <c r="AA523" s="478" t="n"/>
    </row>
    <row hidden="1" outlineLevel="1" r="524">
      <c r="A524" s="189" t="n"/>
      <c r="B524" s="409" t="n"/>
      <c r="C524" s="409" t="inlineStr">
        <is>
          <t>Корп. Б</t>
        </is>
      </c>
      <c r="D524" s="409" t="n"/>
      <c r="E524" s="409" t="n"/>
      <c r="F524" s="409" t="n"/>
      <c r="G524" s="410" t="n"/>
      <c r="H524" s="409" t="n"/>
      <c r="I524" s="409" t="n"/>
      <c r="J524" s="409" t="n"/>
      <c r="K524" s="409" t="n"/>
      <c r="L524" s="409" t="n"/>
      <c r="M524" s="409" t="n"/>
      <c r="Q524" s="478" t="n"/>
      <c r="R524" s="478" t="n"/>
      <c r="S524" s="478" t="n"/>
      <c r="T524" s="478" t="n"/>
      <c r="U524" s="478" t="n"/>
      <c r="V524" s="478" t="n"/>
      <c r="W524" s="478" t="n"/>
      <c r="X524" s="478" t="n"/>
      <c r="Y524" s="478" t="n"/>
      <c r="Z524" s="478" t="n"/>
      <c r="AA524" s="478" t="n"/>
    </row>
    <row hidden="1" outlineLevel="1" r="525">
      <c r="A525" s="189" t="n">
        <v>4</v>
      </c>
      <c r="B525" s="534" t="n"/>
      <c r="C525" s="418" t="inlineStr">
        <is>
          <t>подвал</t>
        </is>
      </c>
      <c r="D525" s="418" t="n"/>
      <c r="E525" s="420">
        <f>J189</f>
        <v/>
      </c>
      <c r="F525" s="420">
        <f>J188</f>
        <v/>
      </c>
      <c r="G525" s="417">
        <f>J190</f>
        <v/>
      </c>
      <c r="H525" s="418" t="n"/>
      <c r="I525" s="418">
        <f>I133</f>
        <v/>
      </c>
      <c r="J525" s="419" t="n"/>
      <c r="K525" s="365">
        <f>K171</f>
        <v/>
      </c>
      <c r="L525" s="413">
        <f>P193</f>
        <v/>
      </c>
      <c r="M525" s="413" t="n"/>
      <c r="Q525" s="478" t="n"/>
      <c r="R525" s="478" t="n"/>
      <c r="S525" s="478" t="n"/>
      <c r="T525" s="478" t="n"/>
      <c r="U525" s="478" t="n"/>
      <c r="V525" s="478" t="n"/>
      <c r="W525" s="478" t="n"/>
      <c r="X525" s="478" t="n"/>
      <c r="Y525" s="478" t="n"/>
      <c r="Z525" s="478" t="n"/>
      <c r="AA525" s="478" t="n"/>
    </row>
    <row customHeight="1" hidden="1" ht="15" outlineLevel="1" r="526">
      <c r="A526" s="189" t="n">
        <v>5</v>
      </c>
      <c r="B526" s="534" t="n"/>
      <c r="C526" s="418" t="inlineStr">
        <is>
          <t>1-й этаж</t>
        </is>
      </c>
      <c r="D526" s="418" t="n"/>
      <c r="E526" s="420">
        <f>J207</f>
        <v/>
      </c>
      <c r="F526" s="420">
        <f>J207</f>
        <v/>
      </c>
      <c r="G526" s="417" t="n">
        <v>100</v>
      </c>
      <c r="H526" s="534" t="n"/>
      <c r="I526" s="184">
        <f>G526*H526</f>
        <v/>
      </c>
      <c r="J526" s="146" t="n"/>
      <c r="K526" s="365">
        <f>K195</f>
        <v/>
      </c>
      <c r="L526" s="180">
        <f>P212</f>
        <v/>
      </c>
      <c r="M526" s="180" t="n"/>
      <c r="Q526" s="478" t="n"/>
      <c r="R526" s="478" t="n"/>
      <c r="S526" s="478" t="n"/>
      <c r="T526" s="478" t="n"/>
      <c r="U526" s="478" t="n"/>
      <c r="V526" s="478" t="n"/>
      <c r="W526" s="478" t="n"/>
      <c r="X526" s="478" t="n"/>
      <c r="Y526" s="478" t="n"/>
      <c r="Z526" s="478" t="n"/>
    </row>
    <row customHeight="1" hidden="1" ht="15" outlineLevel="1" r="527">
      <c r="A527" s="189" t="n">
        <v>6</v>
      </c>
      <c r="B527" s="534" t="n"/>
      <c r="C527" s="418" t="inlineStr">
        <is>
          <t>2-й этаж</t>
        </is>
      </c>
      <c r="D527" s="418" t="n"/>
      <c r="E527" s="420">
        <f>J228</f>
        <v/>
      </c>
      <c r="F527" s="420">
        <f>J227</f>
        <v/>
      </c>
      <c r="G527" s="417">
        <f>J229</f>
        <v/>
      </c>
      <c r="H527" s="534" t="n"/>
      <c r="I527" s="184">
        <f>G527*H527</f>
        <v/>
      </c>
      <c r="J527" s="146" t="n"/>
      <c r="K527" s="365">
        <f>K214</f>
        <v/>
      </c>
      <c r="L527" s="180">
        <f>P232</f>
        <v/>
      </c>
      <c r="M527" s="180" t="n"/>
      <c r="Q527" s="478" t="n"/>
      <c r="R527" s="478" t="n"/>
      <c r="S527" s="478" t="n"/>
      <c r="T527" s="478" t="n"/>
      <c r="U527" s="478" t="n"/>
      <c r="V527" s="478" t="n"/>
      <c r="W527" s="478" t="n"/>
      <c r="X527" s="478" t="n"/>
      <c r="Y527" s="478" t="n"/>
      <c r="Z527" s="478" t="n"/>
    </row>
    <row customHeight="1" hidden="1" ht="15" outlineLevel="1" r="528">
      <c r="A528" s="189" t="n">
        <v>7</v>
      </c>
      <c r="B528" s="534" t="n"/>
      <c r="C528" s="418" t="inlineStr">
        <is>
          <t>3-й этаж</t>
        </is>
      </c>
      <c r="D528" s="418" t="n"/>
      <c r="E528" s="420">
        <f>J250</f>
        <v/>
      </c>
      <c r="F528" s="420">
        <f>J249</f>
        <v/>
      </c>
      <c r="G528" s="417">
        <f>J251</f>
        <v/>
      </c>
      <c r="H528" s="534" t="n"/>
      <c r="I528" s="184" t="n"/>
      <c r="J528" s="146" t="n"/>
      <c r="K528" s="365">
        <f>K234</f>
        <v/>
      </c>
      <c r="L528" s="180">
        <f>P254</f>
        <v/>
      </c>
      <c r="M528" s="180" t="n"/>
      <c r="Q528" s="478" t="n"/>
      <c r="R528" s="478" t="n"/>
      <c r="S528" s="478" t="n"/>
      <c r="T528" s="478" t="n"/>
      <c r="U528" s="478" t="n"/>
      <c r="V528" s="478" t="n"/>
      <c r="W528" s="478" t="n"/>
      <c r="X528" s="478" t="n"/>
      <c r="Y528" s="478" t="n"/>
      <c r="Z528" s="478" t="n"/>
    </row>
    <row customHeight="1" hidden="1" ht="15" outlineLevel="1" r="529">
      <c r="A529" s="189" t="n">
        <v>8</v>
      </c>
      <c r="B529" s="534" t="n"/>
      <c r="C529" s="418" t="inlineStr">
        <is>
          <t>4-й этаж</t>
        </is>
      </c>
      <c r="D529" s="418" t="n"/>
      <c r="E529" s="420">
        <f>J272</f>
        <v/>
      </c>
      <c r="F529" s="420">
        <f>J271</f>
        <v/>
      </c>
      <c r="G529" s="417">
        <f>J273</f>
        <v/>
      </c>
      <c r="H529" s="534" t="n"/>
      <c r="I529" s="184" t="n"/>
      <c r="J529" s="146" t="n"/>
      <c r="K529" s="365">
        <f>K256</f>
        <v/>
      </c>
      <c r="L529" s="180">
        <f>P276</f>
        <v/>
      </c>
      <c r="M529" s="180" t="n"/>
      <c r="Q529" s="478" t="n"/>
      <c r="R529" s="478" t="n"/>
      <c r="S529" s="478" t="n"/>
      <c r="T529" s="478" t="n"/>
      <c r="U529" s="478" t="n"/>
      <c r="V529" s="478" t="n"/>
      <c r="W529" s="478" t="n"/>
      <c r="X529" s="478" t="n"/>
      <c r="Y529" s="478" t="n"/>
      <c r="Z529" s="478" t="n"/>
    </row>
    <row customHeight="1" hidden="1" ht="15" outlineLevel="1" r="530">
      <c r="A530" s="189" t="n">
        <v>9</v>
      </c>
      <c r="B530" s="534" t="n"/>
      <c r="C530" s="418" t="inlineStr">
        <is>
          <t>5-й этаж</t>
        </is>
      </c>
      <c r="D530" s="418" t="n"/>
      <c r="E530" s="420">
        <f>J299</f>
        <v/>
      </c>
      <c r="F530" s="420">
        <f>J298</f>
        <v/>
      </c>
      <c r="G530" s="417">
        <f>J302</f>
        <v/>
      </c>
      <c r="H530" s="418" t="n"/>
      <c r="I530" s="414" t="n"/>
      <c r="J530" s="415" t="n"/>
      <c r="K530" s="365">
        <f>K278</f>
        <v/>
      </c>
      <c r="L530" s="180">
        <f>P305</f>
        <v/>
      </c>
      <c r="M530" s="180" t="n"/>
    </row>
    <row customHeight="1" hidden="1" ht="15" outlineLevel="1" r="531">
      <c r="A531" s="189" t="n">
        <v>10</v>
      </c>
      <c r="B531" s="534" t="n"/>
      <c r="C531" s="418" t="inlineStr">
        <is>
          <t>6-й этаж</t>
        </is>
      </c>
      <c r="D531" s="418" t="n"/>
      <c r="E531" s="420">
        <f>J325</f>
        <v/>
      </c>
      <c r="F531" s="420">
        <f>J324</f>
        <v/>
      </c>
      <c r="G531" s="417">
        <f>J326</f>
        <v/>
      </c>
      <c r="H531" s="418" t="n"/>
      <c r="I531" s="414" t="n"/>
      <c r="J531" s="415" t="n"/>
      <c r="K531" s="365">
        <f>K307</f>
        <v/>
      </c>
      <c r="L531" s="180">
        <f>P329</f>
        <v/>
      </c>
      <c r="M531" s="180" t="n"/>
    </row>
    <row customHeight="1" hidden="1" ht="15" outlineLevel="1" r="532">
      <c r="A532" s="189" t="n">
        <v>11</v>
      </c>
      <c r="B532" s="534" t="n"/>
      <c r="C532" s="418" t="inlineStr">
        <is>
          <t>7-й этаж</t>
        </is>
      </c>
      <c r="D532" s="418" t="n"/>
      <c r="E532" s="420">
        <f>J352</f>
        <v/>
      </c>
      <c r="F532" s="420">
        <f>J351</f>
        <v/>
      </c>
      <c r="G532" s="417">
        <f>J353</f>
        <v/>
      </c>
      <c r="H532" s="418" t="n"/>
      <c r="I532" s="414" t="n"/>
      <c r="J532" s="415" t="n"/>
      <c r="K532" s="365">
        <f>K331</f>
        <v/>
      </c>
      <c r="L532" s="180">
        <f>P356</f>
        <v/>
      </c>
      <c r="M532" s="180" t="n"/>
    </row>
    <row customHeight="1" hidden="1" ht="15" outlineLevel="1" r="533">
      <c r="A533" s="189" t="n">
        <v>12</v>
      </c>
      <c r="B533" s="534" t="n"/>
      <c r="C533" s="418" t="inlineStr">
        <is>
          <t>8-й этаж</t>
        </is>
      </c>
      <c r="D533" s="418" t="n"/>
      <c r="E533" s="420">
        <f>J364</f>
        <v/>
      </c>
      <c r="F533" s="420">
        <f>J363</f>
        <v/>
      </c>
      <c r="G533" s="417">
        <f>I365</f>
        <v/>
      </c>
      <c r="H533" s="418" t="n"/>
      <c r="I533" s="414" t="n"/>
      <c r="J533" s="415" t="n"/>
      <c r="K533" s="365">
        <f>K358</f>
        <v/>
      </c>
      <c r="L533" s="180">
        <f>P368</f>
        <v/>
      </c>
      <c r="M533" s="180" t="n"/>
    </row>
    <row customHeight="1" hidden="1" ht="15" outlineLevel="1" r="534">
      <c r="A534" s="189" t="n">
        <v>13</v>
      </c>
      <c r="B534" s="534" t="n"/>
      <c r="C534" s="418" t="inlineStr">
        <is>
          <t>9-й этаж</t>
        </is>
      </c>
      <c r="D534" s="418" t="n"/>
      <c r="E534" s="420">
        <f>J375</f>
        <v/>
      </c>
      <c r="F534" s="420">
        <f>J374</f>
        <v/>
      </c>
      <c r="G534" s="417">
        <f>I376</f>
        <v/>
      </c>
      <c r="H534" s="418" t="n"/>
      <c r="I534" s="414" t="n"/>
      <c r="J534" s="415" t="n"/>
      <c r="K534" s="365">
        <f>K370</f>
        <v/>
      </c>
      <c r="L534" s="180">
        <f>P379</f>
        <v/>
      </c>
      <c r="M534" s="180" t="n"/>
    </row>
    <row hidden="1" outlineLevel="1" r="535">
      <c r="A535" s="189" t="n"/>
      <c r="B535" s="409" t="n"/>
      <c r="C535" s="409" t="inlineStr">
        <is>
          <t>Корп. 4(Стилобат)</t>
        </is>
      </c>
      <c r="D535" s="409" t="n"/>
      <c r="E535" s="409" t="n"/>
      <c r="F535" s="409" t="n"/>
      <c r="G535" s="410" t="n"/>
      <c r="H535" s="409" t="n"/>
      <c r="I535" s="409" t="n"/>
      <c r="J535" s="409" t="n"/>
      <c r="K535" s="409" t="n"/>
      <c r="L535" s="409" t="n"/>
      <c r="M535" s="409" t="n"/>
    </row>
    <row hidden="1" outlineLevel="1" r="536">
      <c r="A536" s="189" t="n">
        <v>14</v>
      </c>
      <c r="B536" s="534" t="n"/>
      <c r="C536" s="418" t="inlineStr">
        <is>
          <t>подвал</t>
        </is>
      </c>
      <c r="D536" s="418" t="n"/>
      <c r="E536" s="420">
        <f>G393</f>
        <v/>
      </c>
      <c r="F536" s="420">
        <f>J392</f>
        <v/>
      </c>
      <c r="G536" s="417">
        <f>J394</f>
        <v/>
      </c>
      <c r="H536" s="418" t="n"/>
      <c r="I536" s="255" t="n"/>
      <c r="J536" s="452" t="n"/>
      <c r="K536" s="365">
        <f>K381</f>
        <v/>
      </c>
      <c r="L536" s="413">
        <f>P397</f>
        <v/>
      </c>
      <c r="M536" s="413" t="n"/>
    </row>
    <row customHeight="1" hidden="1" ht="15" outlineLevel="1" r="537">
      <c r="A537" s="189" t="n">
        <v>15</v>
      </c>
      <c r="B537" s="534" t="n"/>
      <c r="C537" s="418" t="inlineStr">
        <is>
          <t>1-й этаж</t>
        </is>
      </c>
      <c r="D537" s="418" t="n"/>
      <c r="E537" s="420">
        <f>J411</f>
        <v/>
      </c>
      <c r="F537" s="420">
        <f>J410</f>
        <v/>
      </c>
      <c r="G537" s="417">
        <f>J412</f>
        <v/>
      </c>
      <c r="H537" s="418" t="n"/>
      <c r="I537" s="184" t="n"/>
      <c r="J537" s="146" t="n"/>
      <c r="K537" s="365">
        <f>K399</f>
        <v/>
      </c>
      <c r="L537" s="180">
        <f>P415</f>
        <v/>
      </c>
      <c r="M537" s="180" t="n"/>
    </row>
    <row customHeight="1" hidden="1" ht="15" outlineLevel="1" r="538">
      <c r="A538" s="189" t="n">
        <v>16</v>
      </c>
      <c r="B538" s="534" t="n"/>
      <c r="C538" s="418" t="inlineStr">
        <is>
          <t>2-й этаж</t>
        </is>
      </c>
      <c r="D538" s="418" t="n"/>
      <c r="E538" s="420">
        <f>J422</f>
        <v/>
      </c>
      <c r="F538" s="420">
        <f>J421</f>
        <v/>
      </c>
      <c r="G538" s="417">
        <f>J423</f>
        <v/>
      </c>
      <c r="H538" s="418" t="n"/>
      <c r="I538" s="184" t="n"/>
      <c r="J538" s="146" t="n"/>
      <c r="K538" s="365">
        <f>K417</f>
        <v/>
      </c>
      <c r="L538" s="180">
        <f>P426</f>
        <v/>
      </c>
      <c r="M538" s="180" t="n"/>
    </row>
    <row customHeight="1" hidden="1" ht="15" outlineLevel="1" r="539">
      <c r="A539" s="189" t="n">
        <v>17</v>
      </c>
      <c r="B539" s="534" t="n"/>
      <c r="C539" s="418" t="inlineStr">
        <is>
          <t>3-й этаж</t>
        </is>
      </c>
      <c r="D539" s="418" t="n"/>
      <c r="E539" s="420">
        <f>J434</f>
        <v/>
      </c>
      <c r="F539" s="420">
        <f>J433</f>
        <v/>
      </c>
      <c r="G539" s="417" t="n"/>
      <c r="H539" s="418" t="n"/>
      <c r="I539" s="184" t="n"/>
      <c r="J539" s="146" t="n"/>
      <c r="K539" s="365">
        <f>K430</f>
        <v/>
      </c>
      <c r="L539" s="180">
        <f>P438</f>
        <v/>
      </c>
      <c r="M539" s="180" t="n"/>
    </row>
    <row customHeight="1" hidden="1" ht="15" outlineLevel="1" r="540">
      <c r="A540" s="189" t="n">
        <v>18</v>
      </c>
      <c r="B540" s="534" t="n"/>
      <c r="C540" s="418" t="inlineStr">
        <is>
          <t>4-й этаж</t>
        </is>
      </c>
      <c r="D540" s="418" t="n"/>
      <c r="E540" s="420">
        <f>J272</f>
        <v/>
      </c>
      <c r="F540" s="420">
        <f>J444</f>
        <v/>
      </c>
      <c r="G540" s="417" t="n"/>
      <c r="H540" s="418" t="n"/>
      <c r="I540" s="184" t="n"/>
      <c r="J540" s="146" t="n"/>
      <c r="K540" s="365">
        <f>K440</f>
        <v/>
      </c>
      <c r="L540" s="180">
        <f>P449</f>
        <v/>
      </c>
      <c r="M540" s="180" t="n"/>
    </row>
    <row customHeight="1" hidden="1" ht="15" outlineLevel="1" r="541">
      <c r="A541" s="189" t="n"/>
      <c r="B541" s="534" t="n"/>
      <c r="C541" s="418" t="n"/>
      <c r="D541" s="418" t="n"/>
      <c r="E541" s="420" t="n"/>
      <c r="F541" s="420" t="n"/>
      <c r="G541" s="417" t="n"/>
      <c r="H541" s="418" t="n"/>
      <c r="I541" s="184" t="n"/>
      <c r="J541" s="146" t="n"/>
      <c r="K541" s="365" t="n"/>
      <c r="L541" s="180" t="n"/>
      <c r="M541" s="180" t="n"/>
    </row>
    <row customHeight="1" hidden="1" ht="15" outlineLevel="1" r="542">
      <c r="A542" s="189" t="n"/>
      <c r="B542" s="534" t="n"/>
      <c r="C542" s="418" t="n"/>
      <c r="D542" s="418" t="n"/>
      <c r="E542" s="420" t="n"/>
      <c r="F542" s="420" t="n"/>
      <c r="G542" s="417" t="n"/>
      <c r="H542" s="418" t="n"/>
      <c r="I542" s="184" t="n"/>
      <c r="J542" s="146" t="n"/>
      <c r="K542" s="365" t="n"/>
      <c r="L542" s="180" t="n"/>
      <c r="M542" s="180" t="n"/>
    </row>
    <row customHeight="1" hidden="1" ht="15" outlineLevel="1" r="543">
      <c r="A543" s="189" t="n"/>
      <c r="B543" s="534" t="n"/>
      <c r="C543" s="418" t="n"/>
      <c r="D543" s="418" t="n"/>
      <c r="E543" s="420" t="n"/>
      <c r="F543" s="420" t="n"/>
      <c r="G543" s="417" t="n"/>
      <c r="H543" s="418" t="n"/>
      <c r="I543" s="184" t="n"/>
      <c r="J543" s="146" t="n"/>
      <c r="K543" s="365" t="n"/>
      <c r="L543" s="180" t="n"/>
      <c r="M543" s="180" t="n"/>
    </row>
    <row hidden="1" outlineLevel="1" r="544">
      <c r="A544" s="189" t="n"/>
      <c r="B544" s="409" t="n"/>
      <c r="C544" s="409" t="inlineStr">
        <is>
          <t>Переход</t>
        </is>
      </c>
      <c r="D544" s="409" t="n"/>
      <c r="E544" s="409" t="n"/>
      <c r="F544" s="409" t="n"/>
      <c r="G544" s="410" t="n"/>
      <c r="H544" s="409" t="n"/>
      <c r="I544" s="409" t="n"/>
      <c r="J544" s="409" t="n"/>
      <c r="K544" s="409" t="n"/>
      <c r="L544" s="409" t="n"/>
      <c r="M544" s="409" t="n"/>
    </row>
    <row hidden="1" outlineLevel="1" r="545">
      <c r="A545" s="189" t="n">
        <v>1</v>
      </c>
      <c r="B545" s="534" t="n"/>
      <c r="C545" s="418" t="inlineStr">
        <is>
          <t>подвал</t>
        </is>
      </c>
      <c r="D545" s="418" t="n"/>
      <c r="E545" s="284" t="n"/>
      <c r="F545" s="284" t="n"/>
      <c r="G545" s="231" t="n"/>
      <c r="H545" s="534" t="n"/>
      <c r="I545" s="255" t="n"/>
      <c r="J545" s="255" t="n"/>
      <c r="K545" s="289" t="n"/>
      <c r="L545" s="184" t="n"/>
      <c r="M545" s="184" t="n"/>
    </row>
    <row customHeight="1" hidden="1" ht="15" outlineLevel="1" r="546">
      <c r="A546" s="189" t="n">
        <v>2</v>
      </c>
      <c r="B546" s="534" t="n"/>
      <c r="C546" s="418" t="inlineStr">
        <is>
          <t>1-й этаж</t>
        </is>
      </c>
      <c r="D546" s="418" t="n"/>
      <c r="E546" s="420">
        <f>G452</f>
        <v/>
      </c>
      <c r="F546" s="420">
        <f>I452</f>
        <v/>
      </c>
      <c r="G546" s="231" t="n"/>
      <c r="H546" s="534" t="n"/>
      <c r="I546" s="184" t="n"/>
      <c r="J546" s="146" t="n"/>
      <c r="K546" s="365">
        <f>K452</f>
        <v/>
      </c>
      <c r="L546" s="180">
        <f>P452</f>
        <v/>
      </c>
      <c r="M546" s="180" t="n"/>
    </row>
    <row customHeight="1" hidden="1" ht="15" outlineLevel="1" r="547">
      <c r="A547" s="189" t="n">
        <v>3</v>
      </c>
      <c r="B547" s="534" t="n"/>
      <c r="C547" s="418" t="inlineStr">
        <is>
          <t>2-й этаж</t>
        </is>
      </c>
      <c r="D547" s="418" t="n"/>
      <c r="E547" s="420">
        <f>G453</f>
        <v/>
      </c>
      <c r="F547" s="420">
        <f>I453</f>
        <v/>
      </c>
      <c r="G547" s="231" t="n"/>
      <c r="H547" s="534" t="n"/>
      <c r="I547" s="184" t="n"/>
      <c r="J547" s="146" t="n"/>
      <c r="K547" s="365">
        <f>K453</f>
        <v/>
      </c>
      <c r="L547" s="180">
        <f>P453</f>
        <v/>
      </c>
      <c r="M547" s="180" t="n"/>
    </row>
    <row customHeight="1" hidden="1" ht="15" outlineLevel="1" r="548">
      <c r="A548" s="189" t="n">
        <v>4</v>
      </c>
      <c r="B548" s="534" t="n"/>
      <c r="C548" s="418" t="inlineStr">
        <is>
          <t>3-й этаж</t>
        </is>
      </c>
      <c r="D548" s="418" t="n"/>
      <c r="E548" s="420">
        <f>G454</f>
        <v/>
      </c>
      <c r="F548" s="420">
        <f>I454</f>
        <v/>
      </c>
      <c r="G548" s="231" t="n"/>
      <c r="H548" s="534" t="n"/>
      <c r="I548" s="184" t="n"/>
      <c r="J548" s="146" t="n"/>
      <c r="K548" s="365">
        <f>K454</f>
        <v/>
      </c>
      <c r="L548" s="180">
        <f>P454</f>
        <v/>
      </c>
      <c r="M548" s="180" t="n"/>
    </row>
    <row hidden="1" outlineLevel="1" r="549">
      <c r="E549" s="507" t="n"/>
    </row>
    <row customHeight="1" hidden="1" ht="15" outlineLevel="1" r="550">
      <c r="A550" s="255" t="n"/>
      <c r="B550" s="218" t="inlineStr">
        <is>
          <t>Всего по корпусу А</t>
        </is>
      </c>
      <c r="C550" s="167" t="n"/>
      <c r="D550" s="167" t="n"/>
      <c r="E550" s="420">
        <f>SUM(E520:E523)</f>
        <v/>
      </c>
      <c r="F550" s="420">
        <f>SUM(F520:F523)</f>
        <v/>
      </c>
      <c r="G550" s="231" t="n"/>
      <c r="H550" s="534" t="n"/>
      <c r="I550" s="255" t="n"/>
      <c r="J550" s="255" t="n"/>
      <c r="K550" s="178" t="n"/>
      <c r="L550" s="180">
        <f>O167</f>
        <v/>
      </c>
      <c r="M550" s="180" t="n"/>
    </row>
    <row customHeight="1" hidden="1" ht="15" outlineLevel="1" r="551">
      <c r="A551" s="255" t="n"/>
      <c r="B551" s="218" t="inlineStr">
        <is>
          <t>Всего по корпусу Б</t>
        </is>
      </c>
      <c r="C551" s="167" t="n"/>
      <c r="D551" s="167" t="n"/>
      <c r="E551" s="420">
        <f>SUM(E525:E534)</f>
        <v/>
      </c>
      <c r="F551" s="420">
        <f>SUM(F525:F534)</f>
        <v/>
      </c>
      <c r="G551" s="231" t="n"/>
      <c r="H551" s="534" t="n"/>
      <c r="I551" s="255" t="n"/>
      <c r="J551" s="255" t="n"/>
      <c r="K551" s="178" t="n"/>
      <c r="L551" s="180">
        <f>O499</f>
        <v/>
      </c>
      <c r="M551" s="180" t="n"/>
    </row>
    <row customHeight="1" hidden="1" ht="15" outlineLevel="1" r="552">
      <c r="A552" s="255" t="n"/>
      <c r="B552" s="218" t="inlineStr">
        <is>
          <t xml:space="preserve">Всего по корпусу 4 </t>
        </is>
      </c>
      <c r="C552" s="167" t="n"/>
      <c r="D552" s="167" t="n"/>
      <c r="E552" s="420">
        <f>SUM(E536:E540)</f>
        <v/>
      </c>
      <c r="F552" s="420">
        <f>SUM(F536:F540)</f>
        <v/>
      </c>
      <c r="G552" s="231" t="n"/>
      <c r="H552" s="534" t="n"/>
      <c r="I552" s="255" t="n"/>
      <c r="J552" s="255" t="n"/>
      <c r="K552" s="178" t="n"/>
      <c r="L552" s="180">
        <f>L536+L537+L538+L539+L540</f>
        <v/>
      </c>
      <c r="M552" s="180" t="n"/>
    </row>
    <row customHeight="1" hidden="1" ht="15" outlineLevel="1" r="553">
      <c r="A553" s="255" t="n"/>
      <c r="B553" s="218" t="inlineStr">
        <is>
          <t>Всего по переходу</t>
        </is>
      </c>
      <c r="C553" s="167" t="n"/>
      <c r="D553" s="167" t="n"/>
      <c r="E553" s="420">
        <f>SUM(E546:E548)</f>
        <v/>
      </c>
      <c r="F553" s="420">
        <f>SUM(F546:F548)</f>
        <v/>
      </c>
      <c r="G553" s="231" t="n"/>
      <c r="H553" s="534" t="n"/>
      <c r="I553" s="255" t="n"/>
      <c r="J553" s="255" t="n"/>
      <c r="K553" s="178" t="n"/>
      <c r="L553" s="180">
        <f>L546+L547+L548</f>
        <v/>
      </c>
      <c r="M553" s="180" t="n"/>
    </row>
    <row customHeight="1" hidden="1" ht="15" outlineLevel="1" r="554">
      <c r="A554" s="255" t="n"/>
      <c r="B554" s="218" t="inlineStr">
        <is>
          <t>Пост охраны (задний двор)</t>
        </is>
      </c>
      <c r="C554" s="167" t="n"/>
      <c r="D554" s="167" t="n"/>
      <c r="E554" s="420">
        <f>E558</f>
        <v/>
      </c>
      <c r="F554" s="420">
        <f>E554</f>
        <v/>
      </c>
      <c r="G554" s="231" t="n"/>
      <c r="H554" s="534" t="n"/>
      <c r="I554" s="255" t="n"/>
      <c r="J554" s="255" t="n"/>
      <c r="K554" s="178" t="n"/>
      <c r="L554" s="180">
        <f>-E554</f>
        <v/>
      </c>
      <c r="M554" s="180" t="n"/>
    </row>
    <row customHeight="1" hidden="1" ht="15" outlineLevel="1" r="555">
      <c r="A555" s="255" t="n"/>
      <c r="B555" s="218" t="n"/>
      <c r="C555" s="167" t="n"/>
      <c r="D555" s="167" t="n"/>
      <c r="E555" s="420" t="n"/>
      <c r="F555" s="420" t="n"/>
      <c r="G555" s="231" t="n"/>
      <c r="H555" s="534" t="n"/>
      <c r="I555" s="255" t="n"/>
      <c r="J555" s="255" t="n"/>
      <c r="K555" s="178" t="n"/>
      <c r="L555" s="180" t="n"/>
      <c r="M555" s="180" t="n"/>
    </row>
    <row customHeight="1" hidden="1" ht="15" outlineLevel="1" r="556">
      <c r="A556" s="255" t="n"/>
      <c r="B556" s="218" t="inlineStr">
        <is>
          <t>Автоторино</t>
        </is>
      </c>
      <c r="C556" s="167" t="n"/>
      <c r="D556" s="167" t="n"/>
      <c r="E556" s="420">
        <f>J47</f>
        <v/>
      </c>
      <c r="F556" s="420">
        <f>E556</f>
        <v/>
      </c>
      <c r="G556" s="231" t="n"/>
      <c r="H556" s="534" t="n"/>
      <c r="I556" s="255" t="n"/>
      <c r="J556" s="255" t="n"/>
      <c r="K556" s="178" t="n"/>
      <c r="L556" s="180">
        <f>P51</f>
        <v/>
      </c>
      <c r="M556" s="180" t="n"/>
    </row>
    <row customHeight="1" hidden="1" ht="15" outlineLevel="1" r="557">
      <c r="A557" s="255" t="n"/>
      <c r="B557" s="218" t="inlineStr">
        <is>
          <t>Стройка</t>
        </is>
      </c>
      <c r="C557" s="167" t="n"/>
      <c r="D557" s="167" t="n"/>
      <c r="E557" s="420" t="n"/>
      <c r="F557" s="420" t="n"/>
      <c r="G557" s="231" t="n"/>
      <c r="H557" s="534" t="n"/>
      <c r="I557" s="255" t="n"/>
      <c r="J557" s="255" t="n"/>
      <c r="K557" s="178" t="n"/>
      <c r="L557" s="180" t="n"/>
      <c r="M557" s="180" t="n"/>
    </row>
    <row customHeight="1" hidden="1" ht="15" outlineLevel="1" r="558">
      <c r="A558" s="255" t="n"/>
      <c r="B558" s="218" t="inlineStr">
        <is>
          <t>Пост охраны (задний двор)</t>
        </is>
      </c>
      <c r="C558" s="167" t="n"/>
      <c r="D558" s="167" t="n"/>
      <c r="E558" s="420">
        <f>-L558</f>
        <v/>
      </c>
      <c r="F558" s="420" t="n"/>
      <c r="G558" s="231" t="n"/>
      <c r="H558" s="534" t="n"/>
      <c r="I558" s="255" t="n"/>
      <c r="J558" s="255" t="n"/>
      <c r="K558" s="178" t="n"/>
      <c r="L558" s="180">
        <f>-I28</f>
        <v/>
      </c>
      <c r="M558" s="180" t="n"/>
    </row>
    <row customHeight="1" hidden="1" ht="15" outlineLevel="1" r="559">
      <c r="A559" s="255" t="n"/>
      <c r="B559" s="218" t="inlineStr">
        <is>
          <t>Лифты,освещение,теплопункт.</t>
        </is>
      </c>
      <c r="C559" s="167" t="n"/>
      <c r="D559" s="167" t="n"/>
      <c r="E559" s="420">
        <f>I494</f>
        <v/>
      </c>
      <c r="F559" s="420" t="n"/>
      <c r="G559" s="231" t="n"/>
      <c r="H559" s="534" t="n"/>
      <c r="I559" s="255" t="n"/>
      <c r="J559" s="255" t="n"/>
      <c r="K559" s="178" t="n"/>
      <c r="L559" s="180">
        <f>-E559</f>
        <v/>
      </c>
      <c r="M559" s="180" t="n"/>
    </row>
    <row customHeight="1" hidden="1" ht="15" outlineLevel="1" r="560">
      <c r="A560" s="255" t="n"/>
      <c r="B560" s="218" t="inlineStr">
        <is>
          <t>Котельная</t>
        </is>
      </c>
      <c r="C560" s="167" t="n"/>
      <c r="D560" s="167" t="n"/>
      <c r="E560" s="420">
        <f>I493</f>
        <v/>
      </c>
      <c r="F560" s="420" t="n"/>
      <c r="G560" s="231" t="n"/>
      <c r="H560" s="534" t="n"/>
      <c r="I560" s="255" t="n"/>
      <c r="J560" s="255" t="n"/>
      <c r="K560" s="178" t="n"/>
      <c r="L560" s="180">
        <f>-E560</f>
        <v/>
      </c>
      <c r="M560" s="180" t="n"/>
    </row>
    <row customHeight="1" hidden="1" ht="15" outlineLevel="1" r="561">
      <c r="A561" s="255" t="n"/>
      <c r="B561" s="218" t="inlineStr">
        <is>
          <t>Потери и реактив</t>
        </is>
      </c>
      <c r="C561" s="167" t="n"/>
      <c r="D561" s="167" t="n"/>
      <c r="E561" s="420">
        <f>Y26</f>
        <v/>
      </c>
      <c r="F561" s="420" t="n"/>
      <c r="G561" s="231" t="n"/>
      <c r="H561" s="534" t="n"/>
      <c r="I561" s="255" t="n"/>
      <c r="J561" s="255" t="n"/>
      <c r="K561" s="178" t="n"/>
      <c r="L561" s="180">
        <f>-E561</f>
        <v/>
      </c>
      <c r="M561" s="180" t="n"/>
    </row>
    <row customHeight="1" hidden="1" ht="15" outlineLevel="1" r="562">
      <c r="A562" s="255" t="n"/>
      <c r="B562" s="421" t="n"/>
      <c r="C562" s="167" t="n"/>
      <c r="D562" s="167" t="n"/>
      <c r="E562" s="420" t="n"/>
      <c r="F562" s="420" t="n"/>
      <c r="G562" s="231" t="n"/>
      <c r="H562" s="534" t="n"/>
      <c r="I562" s="255" t="n"/>
      <c r="J562" s="255" t="n"/>
      <c r="K562" s="178" t="n"/>
      <c r="L562" s="180" t="n"/>
      <c r="M562" s="180" t="n"/>
    </row>
    <row hidden="1" outlineLevel="1" r="563">
      <c r="C563" s="507" t="inlineStr">
        <is>
          <t>итого:</t>
        </is>
      </c>
      <c r="E563" s="422">
        <f>T24+E579</f>
        <v/>
      </c>
      <c r="F563" s="507" t="n"/>
    </row>
    <row hidden="1" outlineLevel="1" r="564">
      <c r="C564" s="507" t="inlineStr">
        <is>
          <t>Показания арендаторов</t>
        </is>
      </c>
      <c r="E564" s="422">
        <f>I468</f>
        <v/>
      </c>
      <c r="F564" s="507" t="n"/>
      <c r="P564" s="478" t="n"/>
      <c r="Q564" s="478" t="n"/>
      <c r="R564" s="478" t="n"/>
      <c r="S564" s="478" t="n"/>
    </row>
    <row hidden="1" outlineLevel="1" r="565">
      <c r="C565" s="507" t="inlineStr">
        <is>
          <t>Разница</t>
        </is>
      </c>
      <c r="E565" s="422">
        <f>E563-E564-E561</f>
        <v/>
      </c>
      <c r="L565" s="507" t="n"/>
      <c r="M565" s="507" t="n"/>
      <c r="P565" s="478" t="n"/>
      <c r="Q565" s="478" t="n"/>
      <c r="R565" s="478" t="n"/>
      <c r="S565" s="478" t="n"/>
    </row>
    <row hidden="1" outlineLevel="1" r="566">
      <c r="C566" s="507" t="inlineStr">
        <is>
          <t>Перекрываем</t>
        </is>
      </c>
      <c r="E566" s="422">
        <f>N468</f>
        <v/>
      </c>
      <c r="P566" s="478" t="n"/>
      <c r="Q566" s="478" t="n"/>
      <c r="R566" s="478" t="n"/>
      <c r="S566" s="478" t="n"/>
    </row>
    <row customHeight="1" hidden="1" ht="22.7" outlineLevel="1" r="567">
      <c r="C567" s="507" t="inlineStr">
        <is>
          <t>Не хватает</t>
        </is>
      </c>
      <c r="E567" s="422">
        <f>E563-E566</f>
        <v/>
      </c>
      <c r="P567" s="478" t="n"/>
      <c r="Q567" s="478" t="n"/>
      <c r="R567" s="478" t="n"/>
      <c r="S567" s="478" t="n"/>
    </row>
    <row customHeight="1" hidden="1" ht="18.75" outlineLevel="1" r="568">
      <c r="C568" s="507" t="inlineStr">
        <is>
          <t xml:space="preserve">Требуемый процент </t>
        </is>
      </c>
      <c r="E568" s="423" t="n"/>
      <c r="P568" s="478" t="n"/>
      <c r="Q568" s="478" t="n"/>
      <c r="R568" s="478" t="n"/>
      <c r="S568" s="478" t="n"/>
    </row>
    <row hidden="1" outlineLevel="1" r="569">
      <c r="E569" s="507" t="n"/>
      <c r="P569" s="478" t="n"/>
      <c r="Q569" s="478" t="n"/>
      <c r="R569" s="478" t="n"/>
      <c r="S569" s="478" t="n"/>
    </row>
    <row customHeight="1" hidden="1" ht="15.75" outlineLevel="1" r="570">
      <c r="C570" s="424" t="inlineStr">
        <is>
          <t>Наши расходы:</t>
        </is>
      </c>
      <c r="E570" s="507" t="n"/>
      <c r="P570" s="478" t="n"/>
      <c r="Q570" s="478" t="n"/>
      <c r="R570" s="478" t="n"/>
      <c r="S570" s="478" t="n"/>
    </row>
    <row hidden="1" outlineLevel="1" r="571">
      <c r="C571" s="218" t="inlineStr">
        <is>
          <t xml:space="preserve">Пост охраны (задний двор) </t>
        </is>
      </c>
      <c r="E571" s="425">
        <f>I28</f>
        <v/>
      </c>
      <c r="P571" s="478" t="n"/>
      <c r="Q571" s="478" t="n"/>
      <c r="R571" s="478" t="n"/>
      <c r="S571" s="478" t="n"/>
    </row>
    <row hidden="1" outlineLevel="1" r="572">
      <c r="C572" s="507" t="inlineStr">
        <is>
          <t xml:space="preserve">Котельная </t>
        </is>
      </c>
      <c r="E572" s="425">
        <f>J463</f>
        <v/>
      </c>
      <c r="P572" s="478" t="n"/>
      <c r="Q572" s="426" t="inlineStr">
        <is>
          <t>G МПСС</t>
        </is>
      </c>
      <c r="R572" s="426" t="n"/>
      <c r="S572" s="426" t="inlineStr">
        <is>
          <t>М МПСС</t>
        </is>
      </c>
    </row>
    <row hidden="1" outlineLevel="1" r="573">
      <c r="C573" s="507" t="inlineStr">
        <is>
          <t>теплоузел (бойлерная)</t>
        </is>
      </c>
      <c r="E573" s="425">
        <f>J466</f>
        <v/>
      </c>
      <c r="P573" s="478" t="n"/>
      <c r="Q573" s="426">
        <f>G62+G185+G407+G408+G422+G434+G445+G442</f>
        <v/>
      </c>
      <c r="R573" s="426" t="n"/>
      <c r="S573" s="426">
        <f>M62+M185+M407+M408+M418+M431+M441+M442</f>
        <v/>
      </c>
    </row>
    <row hidden="1" outlineLevel="1" r="574">
      <c r="C574" s="507" t="inlineStr">
        <is>
          <t>элеваторная</t>
        </is>
      </c>
      <c r="E574" s="425">
        <f>P102</f>
        <v/>
      </c>
      <c r="P574" s="478" t="n"/>
      <c r="Q574" s="478" t="n"/>
      <c r="R574" s="478" t="n"/>
      <c r="S574" s="478" t="n"/>
    </row>
    <row hidden="1" outlineLevel="1" r="575">
      <c r="C575" s="507" t="inlineStr">
        <is>
          <t>лифты</t>
        </is>
      </c>
      <c r="E575" s="425">
        <f>J464+J465</f>
        <v/>
      </c>
      <c r="P575" s="478" t="n"/>
      <c r="Q575" s="478" t="n"/>
      <c r="R575" s="478" t="n"/>
      <c r="S575" s="478" t="n"/>
    </row>
    <row hidden="1" outlineLevel="1" r="576">
      <c r="C576" s="507" t="inlineStr">
        <is>
          <t>освещение коридоров и двора</t>
        </is>
      </c>
      <c r="E576" s="425">
        <f>J69+J103+J150+J190+J229+J251+J273+J302+J326+J353+J394+J412+J457</f>
        <v/>
      </c>
      <c r="P576" s="478" t="n"/>
      <c r="Q576" s="478" t="n"/>
      <c r="R576" s="478" t="n"/>
      <c r="S576" s="478" t="n"/>
    </row>
    <row hidden="1" outlineLevel="1" r="577">
      <c r="C577" s="507" t="inlineStr">
        <is>
          <t>администрация и пост охраны вестибюль</t>
        </is>
      </c>
      <c r="E577" s="425">
        <f>G402+J412</f>
        <v/>
      </c>
      <c r="P577" s="478" t="n"/>
      <c r="Q577" s="478" t="n"/>
      <c r="R577" s="478" t="n"/>
      <c r="S577" s="478" t="n"/>
    </row>
    <row hidden="1" outlineLevel="1" r="578">
      <c r="C578" s="507" t="inlineStr">
        <is>
          <t>охрана въезд</t>
        </is>
      </c>
      <c r="E578" s="425">
        <f>J70</f>
        <v/>
      </c>
      <c r="P578" s="478" t="n"/>
      <c r="Q578" s="478" t="n"/>
      <c r="R578" s="478" t="n"/>
      <c r="S578" s="478" t="n"/>
    </row>
    <row hidden="1" outlineLevel="1" r="579">
      <c r="C579" s="427" t="inlineStr">
        <is>
          <t>Генератор</t>
        </is>
      </c>
      <c r="E579" s="425">
        <f>(U41*U45)/C2</f>
        <v/>
      </c>
      <c r="P579" s="478" t="n"/>
      <c r="Q579" s="478" t="n"/>
      <c r="R579" s="478" t="n"/>
      <c r="S579" s="478" t="n"/>
    </row>
    <row hidden="1" outlineLevel="1" r="580">
      <c r="C580" s="218" t="inlineStr">
        <is>
          <t>Потери и реактив</t>
        </is>
      </c>
      <c r="D580" s="439" t="n"/>
      <c r="E580" s="429">
        <f>T24-I24</f>
        <v/>
      </c>
      <c r="G580" t="inlineStr">
        <is>
          <t xml:space="preserve">Стоимость парковки </t>
        </is>
      </c>
      <c r="J580" s="430" t="inlineStr">
        <is>
          <t>Общий доход, кВт</t>
        </is>
      </c>
      <c r="K580" s="430" t="n"/>
    </row>
    <row customHeight="1" hidden="1" ht="15.75" outlineLevel="1" r="581">
      <c r="B581" s="427" t="n"/>
      <c r="C581" s="427" t="inlineStr">
        <is>
          <t xml:space="preserve">итого </t>
        </is>
      </c>
      <c r="E581" s="431">
        <f>SUM(E571:E580)</f>
        <v/>
      </c>
      <c r="G581" t="inlineStr">
        <is>
          <t xml:space="preserve">для МПСС, кВт.ч из расчета </t>
        </is>
      </c>
      <c r="J581" s="430" t="n"/>
      <c r="K581" s="430" t="n"/>
    </row>
    <row hidden="1" outlineLevel="1" r="582">
      <c r="E582" s="507" t="n"/>
      <c r="G582" s="432" t="n">
        <v>2400</v>
      </c>
      <c r="H582" s="507" t="inlineStr">
        <is>
          <t>грн</t>
        </is>
      </c>
      <c r="J582" s="433" t="n"/>
      <c r="K582" s="430" t="n"/>
    </row>
    <row customHeight="1" hidden="1" ht="17.25" outlineLevel="1" r="583">
      <c r="C583" s="507" t="inlineStr">
        <is>
          <t>Не хватает перевыставить</t>
        </is>
      </c>
      <c r="D583" s="434" t="n"/>
      <c r="E583" s="435">
        <f>E567</f>
        <v/>
      </c>
      <c r="G583" s="436">
        <f>G582/C2</f>
        <v/>
      </c>
      <c r="J583" s="437">
        <f>-E583-G583</f>
        <v/>
      </c>
      <c r="K583" s="430" t="n"/>
    </row>
    <row hidden="1" outlineLevel="1" r="584">
      <c r="E584" s="507" t="n"/>
    </row>
    <row customHeight="1" hidden="1" ht="20.25" outlineLevel="1" r="585">
      <c r="E585" s="507" t="n"/>
    </row>
    <row hidden="1" outlineLevel="1" r="586">
      <c r="E586" s="507" t="n"/>
    </row>
    <row hidden="1" outlineLevel="1" r="587">
      <c r="E587" s="507" t="n"/>
    </row>
    <row hidden="1" outlineLevel="1" r="588">
      <c r="E588" s="507" t="n"/>
    </row>
    <row hidden="1" outlineLevel="1" r="589">
      <c r="E589" s="507" t="n"/>
    </row>
    <row hidden="1" outlineLevel="1" r="590">
      <c r="C590" s="438" t="inlineStr">
        <is>
          <t>изменение коэффициентов</t>
        </is>
      </c>
      <c r="E590" s="507" t="n"/>
    </row>
    <row customHeight="1" hidden="1" ht="12.75" outlineLevel="1" r="591">
      <c r="C591" s="439" t="n"/>
      <c r="E591" s="444" t="n">
        <v>2018</v>
      </c>
      <c r="F591" s="507" t="n">
        <v>2018</v>
      </c>
      <c r="G591" s="447" t="n">
        <v>2019</v>
      </c>
      <c r="H591" s="444" t="n">
        <v>2019</v>
      </c>
      <c r="I591" s="443" t="n">
        <v>2020</v>
      </c>
      <c r="J591" s="444" t="n">
        <v>2020</v>
      </c>
      <c r="K591" s="447" t="n">
        <v>2020</v>
      </c>
      <c r="L591" s="447" t="n">
        <v>2020</v>
      </c>
      <c r="M591" s="447" t="n"/>
      <c r="N591" s="447" t="n"/>
      <c r="O591" s="445" t="n"/>
      <c r="P591" s="447" t="n"/>
      <c r="Q591" s="447" t="n"/>
      <c r="R591" s="447" t="n"/>
      <c r="S591" s="444" t="n"/>
    </row>
    <row hidden="1" outlineLevel="1" r="592">
      <c r="D592" s="446" t="n"/>
      <c r="E592" s="447" t="inlineStr">
        <is>
          <t>январь</t>
        </is>
      </c>
      <c r="F592" s="446" t="inlineStr">
        <is>
          <t>декабрь</t>
        </is>
      </c>
      <c r="G592" s="448" t="inlineStr">
        <is>
          <t>январь</t>
        </is>
      </c>
      <c r="H592" s="446" t="inlineStr">
        <is>
          <t>декабрь</t>
        </is>
      </c>
      <c r="I592" s="446" t="inlineStr">
        <is>
          <t>январь</t>
        </is>
      </c>
      <c r="J592" s="446" t="inlineStr">
        <is>
          <t>февраль</t>
        </is>
      </c>
      <c r="K592" s="446" t="inlineStr">
        <is>
          <t>март</t>
        </is>
      </c>
      <c r="L592" s="446" t="inlineStr">
        <is>
          <t>апрель</t>
        </is>
      </c>
      <c r="M592" s="446" t="n"/>
      <c r="N592" s="446" t="n"/>
      <c r="O592" s="445" t="n"/>
      <c r="P592" s="446" t="n"/>
      <c r="Q592" s="446" t="n"/>
      <c r="R592" s="446" t="n"/>
      <c r="S592" s="446" t="n"/>
    </row>
    <row hidden="1" outlineLevel="1" r="593">
      <c r="C593" s="439" t="inlineStr">
        <is>
          <t>корпус А</t>
        </is>
      </c>
      <c r="J593" s="444" t="n"/>
      <c r="K593" s="444" t="n"/>
    </row>
    <row hidden="1" outlineLevel="1" r="594">
      <c r="C594" s="507" t="inlineStr">
        <is>
          <t>подвал</t>
        </is>
      </c>
      <c r="E594" t="n">
        <v>0.38</v>
      </c>
      <c r="F594" s="13" t="n">
        <v>0.35</v>
      </c>
      <c r="G594" t="n">
        <v>0.42</v>
      </c>
      <c r="H594" s="444" t="n">
        <v>0.35</v>
      </c>
      <c r="I594" s="444" t="n">
        <v>0.35</v>
      </c>
      <c r="J594" s="444" t="n">
        <v>0.35</v>
      </c>
      <c r="K594" s="444" t="n">
        <v>0.35</v>
      </c>
      <c r="L594" s="444" t="n">
        <v>0.32</v>
      </c>
      <c r="O594" s="444" t="n"/>
      <c r="P594" s="444" t="n"/>
      <c r="Q594" s="444" t="n"/>
      <c r="R594" s="444" t="n"/>
      <c r="S594" s="444" t="n"/>
    </row>
    <row hidden="1" outlineLevel="1" r="595">
      <c r="C595" s="507" t="inlineStr">
        <is>
          <t>1 этаж</t>
        </is>
      </c>
      <c r="E595" t="n">
        <v>0.38</v>
      </c>
      <c r="F595" s="13" t="n">
        <v>0.35</v>
      </c>
      <c r="G595" t="n">
        <v>0.42</v>
      </c>
      <c r="H595" s="444" t="n">
        <v>0.35</v>
      </c>
      <c r="I595" s="444" t="n">
        <v>0.35</v>
      </c>
      <c r="J595" s="444" t="n">
        <v>0.35</v>
      </c>
      <c r="K595" s="444" t="n">
        <v>0.35</v>
      </c>
      <c r="L595" s="444" t="n">
        <v>0.32</v>
      </c>
      <c r="O595" s="444" t="n"/>
      <c r="P595" s="444" t="n"/>
      <c r="Q595" s="444" t="n"/>
      <c r="R595" s="444" t="n"/>
      <c r="S595" s="444" t="n"/>
    </row>
    <row customHeight="1" hidden="1" ht="13.5" outlineLevel="1" r="596">
      <c r="C596" s="507" t="inlineStr">
        <is>
          <t>2 этаж</t>
        </is>
      </c>
      <c r="E596" t="n">
        <v>0.38</v>
      </c>
      <c r="F596" s="13" t="n">
        <v>0.35</v>
      </c>
      <c r="G596" t="n">
        <v>0.42</v>
      </c>
      <c r="H596" s="444" t="n">
        <v>0.35</v>
      </c>
      <c r="I596" s="444" t="n">
        <v>0.35</v>
      </c>
      <c r="J596" s="444" t="n">
        <v>0.35</v>
      </c>
      <c r="K596" s="444" t="n">
        <v>0.35</v>
      </c>
      <c r="L596" s="444" t="n">
        <v>0.32</v>
      </c>
      <c r="O596" s="444" t="n"/>
      <c r="P596" s="444" t="n"/>
      <c r="Q596" s="444" t="n"/>
      <c r="R596" s="444" t="n"/>
      <c r="S596" s="444" t="n"/>
    </row>
    <row hidden="1" outlineLevel="1" r="597">
      <c r="I597" s="444" t="n"/>
      <c r="J597" s="444" t="n"/>
      <c r="K597" s="444" t="n"/>
      <c r="L597" s="444" t="n"/>
      <c r="P597" s="444" t="n"/>
      <c r="Q597" s="444" t="n"/>
      <c r="R597" s="444" t="n"/>
      <c r="S597" s="444" t="n"/>
    </row>
    <row hidden="1" outlineLevel="1" r="598">
      <c r="C598" s="439" t="inlineStr">
        <is>
          <t>корпус Б</t>
        </is>
      </c>
      <c r="I598" s="444" t="n"/>
      <c r="J598" s="444" t="n"/>
      <c r="K598" s="444" t="n"/>
      <c r="L598" s="444" t="n"/>
      <c r="P598" s="444" t="n"/>
      <c r="Q598" s="444" t="n"/>
      <c r="R598" s="444" t="n"/>
      <c r="S598" s="444" t="n"/>
    </row>
    <row hidden="1" outlineLevel="1" r="599">
      <c r="C599" s="507" t="inlineStr">
        <is>
          <t>подвал</t>
        </is>
      </c>
      <c r="E599" t="n">
        <v>0.38</v>
      </c>
      <c r="F599" s="13" t="n">
        <v>0.35</v>
      </c>
      <c r="G599" t="n">
        <v>0.42</v>
      </c>
      <c r="H599" s="444" t="n">
        <v>0.35</v>
      </c>
      <c r="I599" s="444" t="n">
        <v>0.35</v>
      </c>
      <c r="J599" s="444" t="n">
        <v>0.35</v>
      </c>
      <c r="K599" s="444" t="n">
        <v>0.35</v>
      </c>
      <c r="L599" s="444" t="n">
        <v>0.32</v>
      </c>
      <c r="O599" s="444" t="n"/>
      <c r="P599" s="444" t="n"/>
      <c r="Q599" s="444" t="n"/>
      <c r="R599" s="444" t="n"/>
      <c r="S599" s="444" t="n"/>
    </row>
    <row hidden="1" outlineLevel="1" r="600">
      <c r="C600" s="507" t="inlineStr">
        <is>
          <t>1 этаж</t>
        </is>
      </c>
      <c r="E600" t="n">
        <v>0.38</v>
      </c>
      <c r="F600" s="13" t="n">
        <v>0.35</v>
      </c>
      <c r="G600" t="n">
        <v>0.42</v>
      </c>
      <c r="H600" s="444" t="n">
        <v>0.35</v>
      </c>
      <c r="I600" s="444" t="n">
        <v>0.35</v>
      </c>
      <c r="J600" s="444" t="n">
        <v>0.35</v>
      </c>
      <c r="K600" s="444" t="n">
        <v>0.35</v>
      </c>
      <c r="L600" s="444" t="n">
        <v>0.32</v>
      </c>
      <c r="O600" s="444" t="n"/>
      <c r="P600" s="444" t="n"/>
      <c r="Q600" s="444" t="n"/>
      <c r="R600" s="444" t="n"/>
      <c r="S600" s="444" t="n"/>
    </row>
    <row hidden="1" outlineLevel="1" r="601">
      <c r="C601" s="507" t="inlineStr">
        <is>
          <t>2 этаж</t>
        </is>
      </c>
      <c r="E601" t="n">
        <v>0.38</v>
      </c>
      <c r="F601" s="13" t="n">
        <v>0.35</v>
      </c>
      <c r="G601" t="n">
        <v>0.42</v>
      </c>
      <c r="H601" s="444" t="n">
        <v>0.35</v>
      </c>
      <c r="I601" s="444" t="n">
        <v>0.35</v>
      </c>
      <c r="J601" s="444" t="n">
        <v>0.35</v>
      </c>
      <c r="K601" s="444" t="n">
        <v>0.35</v>
      </c>
      <c r="L601" s="444" t="n">
        <v>0.32</v>
      </c>
      <c r="O601" s="444" t="n"/>
      <c r="P601" s="444" t="n"/>
      <c r="Q601" s="444" t="n"/>
      <c r="R601" s="444" t="n"/>
      <c r="S601" s="444" t="n"/>
    </row>
    <row hidden="1" outlineLevel="1" r="602">
      <c r="C602" s="507" t="inlineStr">
        <is>
          <t>3 этаж</t>
        </is>
      </c>
      <c r="E602" t="n">
        <v>0.38</v>
      </c>
      <c r="F602" s="13" t="n">
        <v>0.35</v>
      </c>
      <c r="G602" t="n">
        <v>0.42</v>
      </c>
      <c r="H602" s="444" t="n">
        <v>0.35</v>
      </c>
      <c r="I602" s="444" t="n">
        <v>0.35</v>
      </c>
      <c r="J602" s="444" t="n">
        <v>0.35</v>
      </c>
      <c r="K602" s="444" t="n">
        <v>0.35</v>
      </c>
      <c r="L602" s="444" t="n">
        <v>0.32</v>
      </c>
      <c r="O602" s="444" t="n"/>
      <c r="P602" s="444" t="n"/>
      <c r="Q602" s="444" t="n"/>
      <c r="R602" s="444" t="n"/>
      <c r="S602" s="444" t="n"/>
    </row>
    <row hidden="1" outlineLevel="1" r="603">
      <c r="C603" s="507" t="inlineStr">
        <is>
          <t>4 этаж</t>
        </is>
      </c>
      <c r="E603" t="n">
        <v>0.38</v>
      </c>
      <c r="F603" s="13" t="n">
        <v>0.35</v>
      </c>
      <c r="G603" t="n">
        <v>0.42</v>
      </c>
      <c r="H603" s="444" t="n">
        <v>0.35</v>
      </c>
      <c r="I603" s="444" t="n">
        <v>0.35</v>
      </c>
      <c r="J603" s="444" t="n">
        <v>0.35</v>
      </c>
      <c r="K603" s="444" t="n">
        <v>0.35</v>
      </c>
      <c r="L603" s="444" t="n">
        <v>0.32</v>
      </c>
      <c r="O603" s="444" t="n"/>
      <c r="P603" s="444" t="n"/>
      <c r="Q603" s="444" t="n"/>
      <c r="R603" s="444" t="n"/>
      <c r="S603" s="444" t="n"/>
    </row>
    <row hidden="1" outlineLevel="1" r="604">
      <c r="C604" s="507" t="inlineStr">
        <is>
          <t>5 этаж</t>
        </is>
      </c>
      <c r="E604" t="n">
        <v>0.38</v>
      </c>
      <c r="F604" s="13" t="n">
        <v>0.35</v>
      </c>
      <c r="G604" t="n">
        <v>0.42</v>
      </c>
      <c r="H604" s="444" t="n">
        <v>0.35</v>
      </c>
      <c r="I604" s="444" t="n">
        <v>0.35</v>
      </c>
      <c r="J604" s="444" t="n">
        <v>0.35</v>
      </c>
      <c r="K604" s="444" t="n">
        <v>0.35</v>
      </c>
      <c r="L604" s="444" t="n">
        <v>0.32</v>
      </c>
      <c r="O604" s="444" t="n"/>
      <c r="P604" s="444" t="n"/>
      <c r="Q604" s="444" t="n"/>
      <c r="R604" s="444" t="n"/>
      <c r="S604" s="444" t="n"/>
    </row>
    <row hidden="1" outlineLevel="1" r="605">
      <c r="C605" s="507" t="inlineStr">
        <is>
          <t>6 этаж</t>
        </is>
      </c>
      <c r="E605" t="n">
        <v>0.38</v>
      </c>
      <c r="F605" s="13" t="n">
        <v>0.35</v>
      </c>
      <c r="G605" t="n">
        <v>0.42</v>
      </c>
      <c r="H605" s="444" t="n">
        <v>0.35</v>
      </c>
      <c r="I605" s="444" t="n">
        <v>0.35</v>
      </c>
      <c r="J605" s="444" t="n">
        <v>0.35</v>
      </c>
      <c r="K605" s="444" t="n">
        <v>0.35</v>
      </c>
      <c r="L605" s="444" t="n">
        <v>0.32</v>
      </c>
      <c r="O605" s="444" t="n"/>
      <c r="P605" s="444" t="n"/>
      <c r="Q605" s="444" t="n"/>
      <c r="R605" s="444" t="n"/>
      <c r="S605" s="444" t="n"/>
    </row>
    <row hidden="1" outlineLevel="1" r="606">
      <c r="C606" s="507" t="inlineStr">
        <is>
          <t>7 этаж</t>
        </is>
      </c>
      <c r="E606" t="n">
        <v>0.38</v>
      </c>
      <c r="F606" s="13" t="n">
        <v>0.35</v>
      </c>
      <c r="G606" t="n">
        <v>0.42</v>
      </c>
      <c r="H606" s="444" t="n">
        <v>0.35</v>
      </c>
      <c r="I606" s="444" t="n">
        <v>0.35</v>
      </c>
      <c r="J606" s="444" t="n">
        <v>0.35</v>
      </c>
      <c r="K606" s="444" t="n">
        <v>0.35</v>
      </c>
      <c r="L606" s="444" t="n">
        <v>0.32</v>
      </c>
      <c r="O606" s="444" t="n"/>
      <c r="P606" s="444" t="n"/>
      <c r="Q606" s="444" t="n"/>
      <c r="R606" s="444" t="n"/>
      <c r="S606" s="444" t="n"/>
    </row>
    <row hidden="1" outlineLevel="1" r="607">
      <c r="C607" s="507" t="inlineStr">
        <is>
          <t>8 этаж</t>
        </is>
      </c>
      <c r="E607" t="n">
        <v>0.38</v>
      </c>
      <c r="F607" s="13" t="n">
        <v>0.35</v>
      </c>
      <c r="G607" t="n">
        <v>0.42</v>
      </c>
      <c r="H607" s="444" t="n">
        <v>0.35</v>
      </c>
      <c r="I607" s="444" t="n">
        <v>0.35</v>
      </c>
      <c r="J607" s="444" t="n">
        <v>0.35</v>
      </c>
      <c r="K607" s="444" t="n">
        <v>0.35</v>
      </c>
      <c r="L607" s="444" t="n">
        <v>0.32</v>
      </c>
      <c r="O607" s="444" t="n"/>
      <c r="P607" s="444" t="n"/>
      <c r="Q607" s="444" t="n"/>
      <c r="R607" s="444" t="n"/>
      <c r="S607" s="444" t="n"/>
    </row>
    <row customHeight="1" hidden="1" ht="12" outlineLevel="1" r="608">
      <c r="C608" s="507" t="inlineStr">
        <is>
          <t>9 этаж</t>
        </is>
      </c>
      <c r="E608" t="n">
        <v>0.38</v>
      </c>
      <c r="F608" s="13" t="n">
        <v>0.35</v>
      </c>
      <c r="G608" t="n">
        <v>0.42</v>
      </c>
      <c r="H608" s="444" t="n">
        <v>0.35</v>
      </c>
      <c r="I608" s="444" t="n">
        <v>0.35</v>
      </c>
      <c r="J608" s="444" t="n">
        <v>0.35</v>
      </c>
      <c r="K608" s="444" t="n">
        <v>0.35</v>
      </c>
      <c r="L608" s="444" t="n">
        <v>0.32</v>
      </c>
      <c r="O608" s="444" t="n"/>
      <c r="P608" s="444" t="n"/>
      <c r="Q608" s="444" t="n"/>
      <c r="R608" s="444" t="n"/>
      <c r="S608" s="444" t="n"/>
    </row>
    <row hidden="1" outlineLevel="1" r="609">
      <c r="I609" s="444" t="n"/>
      <c r="J609" s="444" t="n"/>
      <c r="K609" s="444" t="n"/>
      <c r="L609" s="444" t="n"/>
      <c r="Q609" s="444" t="n"/>
      <c r="R609" s="444" t="n"/>
      <c r="S609" s="444" t="n"/>
    </row>
    <row hidden="1" outlineLevel="1" r="610">
      <c r="C610" s="439" t="inlineStr">
        <is>
          <t>переход (корпус3)</t>
        </is>
      </c>
      <c r="I610" s="444" t="n"/>
      <c r="J610" s="444" t="n"/>
      <c r="K610" s="444" t="n"/>
      <c r="L610" s="444" t="n"/>
      <c r="Q610" s="444" t="n"/>
      <c r="R610" s="444" t="n"/>
      <c r="S610" s="444" t="n"/>
    </row>
    <row hidden="1" outlineLevel="1" r="611">
      <c r="C611" s="507" t="inlineStr">
        <is>
          <t>1 этаж</t>
        </is>
      </c>
      <c r="E611" t="n">
        <v>0.38</v>
      </c>
      <c r="F611" s="13" t="n">
        <v>0.35</v>
      </c>
      <c r="G611" t="n">
        <v>0.42</v>
      </c>
      <c r="H611" s="444" t="n">
        <v>0.35</v>
      </c>
      <c r="I611" s="444" t="n">
        <v>0.35</v>
      </c>
      <c r="J611" s="444" t="n">
        <v>0.35</v>
      </c>
      <c r="K611" s="444" t="n">
        <v>0.35</v>
      </c>
      <c r="L611" s="444" t="n">
        <v>0.32</v>
      </c>
      <c r="O611" s="444" t="n"/>
      <c r="P611" s="444" t="n"/>
      <c r="Q611" s="444" t="n"/>
      <c r="R611" s="444" t="n"/>
      <c r="S611" s="449" t="n"/>
    </row>
    <row hidden="1" outlineLevel="1" r="612">
      <c r="C612" s="507" t="inlineStr">
        <is>
          <t>2 этаж</t>
        </is>
      </c>
      <c r="E612" t="n">
        <v>0.38</v>
      </c>
      <c r="F612" s="13" t="n">
        <v>0.35</v>
      </c>
      <c r="G612" t="n">
        <v>0.42</v>
      </c>
      <c r="H612" s="444" t="n">
        <v>0.35</v>
      </c>
      <c r="I612" s="444" t="n">
        <v>0.35</v>
      </c>
      <c r="J612" s="444" t="n">
        <v>0.35</v>
      </c>
      <c r="K612" s="444" t="n">
        <v>0.35</v>
      </c>
      <c r="L612" s="444" t="n">
        <v>0.32</v>
      </c>
      <c r="O612" s="444" t="n"/>
      <c r="P612" s="444" t="n"/>
      <c r="Q612" s="444" t="n"/>
      <c r="R612" s="444" t="n"/>
      <c r="S612" s="449" t="n"/>
    </row>
    <row customHeight="1" hidden="1" ht="17.25" outlineLevel="1" r="613">
      <c r="C613" s="507" t="inlineStr">
        <is>
          <t>3 этаж</t>
        </is>
      </c>
      <c r="E613" t="n">
        <v>0.38</v>
      </c>
      <c r="F613" s="13" t="n">
        <v>0.35</v>
      </c>
      <c r="G613" t="n">
        <v>0.42</v>
      </c>
      <c r="H613" s="444" t="n">
        <v>0.35</v>
      </c>
      <c r="I613" s="444" t="n">
        <v>0.35</v>
      </c>
      <c r="J613" s="444" t="n">
        <v>0.35</v>
      </c>
      <c r="K613" s="444" t="n">
        <v>0.35</v>
      </c>
      <c r="L613" s="444" t="n">
        <v>0.32</v>
      </c>
      <c r="O613" s="444" t="n"/>
      <c r="P613" s="444" t="n"/>
      <c r="Q613" s="444" t="n"/>
      <c r="R613" s="444" t="n"/>
      <c r="S613" s="449" t="n"/>
    </row>
    <row hidden="1" outlineLevel="1" r="614">
      <c r="I614" s="444" t="n"/>
      <c r="J614" s="444" t="n"/>
      <c r="K614" s="444" t="n"/>
      <c r="L614" s="444" t="n"/>
      <c r="O614" s="444" t="n"/>
      <c r="P614" s="444" t="n"/>
      <c r="Q614" s="444" t="n"/>
      <c r="R614" s="444" t="n"/>
      <c r="S614" s="444" t="n"/>
    </row>
    <row hidden="1" outlineLevel="1" r="615">
      <c r="C615" s="439" t="inlineStr">
        <is>
          <t>стилобат (корпус 4)</t>
        </is>
      </c>
      <c r="I615" s="444" t="n"/>
      <c r="J615" s="444" t="n"/>
      <c r="K615" s="444" t="n"/>
      <c r="L615" s="444" t="n"/>
      <c r="O615" s="444" t="n"/>
      <c r="P615" s="444" t="n"/>
      <c r="Q615" s="444" t="n"/>
      <c r="R615" s="444" t="n"/>
      <c r="S615" s="444" t="n"/>
    </row>
    <row hidden="1" outlineLevel="1" r="616">
      <c r="C616" s="507" t="inlineStr">
        <is>
          <t>подвал</t>
        </is>
      </c>
      <c r="E616" t="n">
        <v>0.38</v>
      </c>
      <c r="F616" s="13" t="n">
        <v>0.35</v>
      </c>
      <c r="G616" t="n">
        <v>0.42</v>
      </c>
      <c r="H616" s="444" t="n">
        <v>0.35</v>
      </c>
      <c r="I616" s="444" t="n">
        <v>0.35</v>
      </c>
      <c r="J616" s="444" t="n">
        <v>0.35</v>
      </c>
      <c r="K616" s="444" t="n">
        <v>0.35</v>
      </c>
      <c r="L616" s="444" t="n">
        <v>0.32</v>
      </c>
      <c r="O616" s="444" t="n"/>
      <c r="P616" s="444" t="n"/>
      <c r="Q616" s="444" t="n"/>
      <c r="R616" s="444" t="n"/>
      <c r="S616" s="444" t="n"/>
    </row>
    <row hidden="1" outlineLevel="1" r="617">
      <c r="C617" s="507" t="inlineStr">
        <is>
          <t>1 этаж</t>
        </is>
      </c>
      <c r="E617" t="n">
        <v>0.38</v>
      </c>
      <c r="F617" s="13" t="n">
        <v>0.35</v>
      </c>
      <c r="G617" t="n">
        <v>0.42</v>
      </c>
      <c r="H617" s="444" t="n">
        <v>0.35</v>
      </c>
      <c r="I617" s="444" t="n">
        <v>0.35</v>
      </c>
      <c r="J617" s="444" t="n">
        <v>0.35</v>
      </c>
      <c r="K617" s="444" t="n">
        <v>0.35</v>
      </c>
      <c r="L617" s="444" t="n">
        <v>0.32</v>
      </c>
      <c r="O617" s="444" t="n"/>
      <c r="P617" s="444" t="n"/>
      <c r="Q617" s="444" t="n"/>
      <c r="R617" s="444" t="n"/>
      <c r="S617" s="444" t="n"/>
    </row>
    <row customHeight="1" hidden="1" ht="17.25" outlineLevel="1" r="618">
      <c r="C618" s="507" t="inlineStr">
        <is>
          <t>2 - 4 этаж (МПСС)</t>
        </is>
      </c>
      <c r="E618" t="n">
        <v>0.41</v>
      </c>
      <c r="F618" s="13" t="n">
        <v>0.33</v>
      </c>
      <c r="G618" t="n">
        <v>0.34</v>
      </c>
      <c r="H618" s="444" t="n">
        <v>0.389</v>
      </c>
      <c r="I618" s="444" t="n">
        <v>0.363</v>
      </c>
      <c r="J618" s="444" t="n">
        <v>0.343</v>
      </c>
      <c r="K618" s="444" t="n">
        <v>0.355</v>
      </c>
      <c r="L618" s="503" t="n">
        <v>0.272</v>
      </c>
      <c r="O618" s="444" t="n"/>
      <c r="P618" s="444" t="n"/>
      <c r="Q618" s="444" t="n"/>
      <c r="R618" s="444" t="n"/>
      <c r="S618" s="444" t="n"/>
    </row>
    <row hidden="1" outlineLevel="1" r="619">
      <c r="I619" s="444" t="n"/>
      <c r="J619" s="444" t="n"/>
      <c r="K619" s="444" t="n"/>
      <c r="L619" s="444" t="n"/>
      <c r="O619" s="444" t="n"/>
      <c r="P619" s="444" t="n"/>
      <c r="Q619" s="444" t="n"/>
      <c r="R619" s="444" t="n"/>
      <c r="S619" s="444" t="n"/>
    </row>
    <row hidden="1" outlineLevel="1" r="620">
      <c r="C620" s="439" t="inlineStr">
        <is>
          <t>корпус 5 (здание Автоторино)</t>
        </is>
      </c>
      <c r="I620" s="444" t="n"/>
      <c r="J620" s="444" t="n"/>
      <c r="K620" s="444" t="n"/>
      <c r="L620" s="444" t="n"/>
      <c r="O620" s="444" t="n"/>
      <c r="P620" s="444" t="n"/>
      <c r="Q620" s="444" t="n"/>
      <c r="R620" s="444" t="n"/>
      <c r="S620" s="444" t="n"/>
    </row>
    <row hidden="1" outlineLevel="1" r="621">
      <c r="C621" s="507" t="inlineStr">
        <is>
          <t>1-2 этаж</t>
        </is>
      </c>
      <c r="E621" t="n">
        <v>0.38</v>
      </c>
      <c r="F621" s="13" t="n">
        <v>0.35</v>
      </c>
      <c r="G621" t="n">
        <v>0.42</v>
      </c>
      <c r="H621" s="444" t="n">
        <v>0.35</v>
      </c>
      <c r="I621" s="444" t="n">
        <v>0.35</v>
      </c>
      <c r="J621" s="444" t="n">
        <v>0.35</v>
      </c>
      <c r="K621" s="444" t="n">
        <v>0.35</v>
      </c>
      <c r="L621" s="444" t="n">
        <v>0.32</v>
      </c>
      <c r="O621" s="444" t="n"/>
      <c r="P621" s="444" t="n"/>
      <c r="Q621" s="444" t="n"/>
      <c r="R621" s="444" t="n"/>
      <c r="S621" s="444" t="n"/>
    </row>
    <row hidden="1" outlineLevel="1" r="622">
      <c r="Q622" s="444" t="n"/>
      <c r="R622" s="444" t="n"/>
      <c r="S622" s="444" t="n"/>
    </row>
    <row hidden="1" outlineLevel="1" r="623">
      <c r="Q623" s="507" t="n"/>
      <c r="R623" s="507" t="n"/>
      <c r="S623" s="507" t="n"/>
    </row>
    <row r="624">
      <c r="Q624" s="507" t="n"/>
      <c r="R624" s="507" t="n"/>
      <c r="S624" s="507" t="n"/>
    </row>
    <row r="625">
      <c r="Q625" s="507" t="n"/>
      <c r="R625" s="507" t="n"/>
      <c r="S625" s="507" t="n"/>
    </row>
  </sheetData>
  <mergeCells count="43">
    <mergeCell ref="G513:G517"/>
    <mergeCell ref="H513:H517"/>
    <mergeCell ref="I513:I517"/>
    <mergeCell ref="K513:K517"/>
    <mergeCell ref="L513:L517"/>
    <mergeCell ref="A513:A517"/>
    <mergeCell ref="B513:B517"/>
    <mergeCell ref="C513:C517"/>
    <mergeCell ref="E513:E517"/>
    <mergeCell ref="F513:F517"/>
    <mergeCell ref="G36:G40"/>
    <mergeCell ref="H36:H40"/>
    <mergeCell ref="I36:I40"/>
    <mergeCell ref="N3:N7"/>
    <mergeCell ref="P3:Q5"/>
    <mergeCell ref="M36:M40"/>
    <mergeCell ref="N36:N40"/>
    <mergeCell ref="O36:O40"/>
    <mergeCell ref="K36:K40"/>
    <mergeCell ref="L36:L40"/>
    <mergeCell ref="J36:J40"/>
    <mergeCell ref="A36:A40"/>
    <mergeCell ref="B36:B40"/>
    <mergeCell ref="C36:C40"/>
    <mergeCell ref="E36:E40"/>
    <mergeCell ref="F36:F40"/>
    <mergeCell ref="D36:D40"/>
    <mergeCell ref="A1:V1"/>
    <mergeCell ref="A3:A7"/>
    <mergeCell ref="B3:B7"/>
    <mergeCell ref="C3:C7"/>
    <mergeCell ref="E3:E7"/>
    <mergeCell ref="F3:F7"/>
    <mergeCell ref="G3:G7"/>
    <mergeCell ref="H3:H7"/>
    <mergeCell ref="I3:I7"/>
    <mergeCell ref="K3:K7"/>
    <mergeCell ref="V3:V7"/>
    <mergeCell ref="P6:Q6"/>
    <mergeCell ref="R3:R7"/>
    <mergeCell ref="S3:S7"/>
    <mergeCell ref="T3:T7"/>
    <mergeCell ref="U3:U7"/>
  </mergeCells>
  <conditionalFormatting sqref="E591:E621 G622:G65534 I9:I12 I19:I22 I44:I46 I52:J58 I76:J94 I97:J98 I110:J110 I156:M156 I173:J187 I196:J198 I202:J206 I215:J224 I235:J240 I244:J248 I257:J269 I279:J294 I308:J323 I332:J350 I362:M362 I372:J373 I382:J391 I400:I409 I417:M417 I419:I420 I430:I432 I440:I443 I453:J454 I462:J462 I474:K474 I526:I529 I537:I543 I546:I548 J44:J47 J68:J69 J99:J101 J103 J249 J324 J361:J362 J400:J410 J420:J421 J430 J440 J463:J466 K19:K22 K98:M98 K148:M148 K155:M157 K187:M187 K206:M206 K248:M248 K270:M270 K297:M297 K350:M350 K409:M409 K420:M420 K470:K474 K502:M511 K591:N591 L14:M22 L53:M53 L76:M76 L110:M110 L171:M172 L278:M278 L390:L391 L430:M430 L440:M440 L462:M465 L470:M473 L545:M545 M391 N358 N370 P591:R591 R9 G1:G74 G76:G108 G110:G169 G171:G193 G195:G212 G214:G232 G234:G254 G256:G276 G278:G305 G307:G329 G331:G356 G358:G368 G370:G379 G381:G397 G399:G415 G417:G428 G430:G438 G440:G449 G451:G591">
    <cfRule dxfId="0" operator="lessThan" priority="1" stopIfTrue="1" type="cellIs">
      <formula>0</formula>
    </cfRule>
  </conditionalFormatting>
  <pageMargins bottom="0.7875" footer="0.7875" header="0.7875" left="0.1965277777777778" right="0" top="0.7875"/>
  <pageSetup horizontalDpi="300" orientation="landscape" paperSize="9" scale="70" useFirstPageNumber="1" verticalDpi="300"/>
  <headerFooter alignWithMargins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74"/>
  <sheetViews>
    <sheetView workbookViewId="0">
      <selection activeCell="Q9" sqref="Q9"/>
    </sheetView>
  </sheetViews>
  <sheetFormatPr baseColWidth="8" defaultColWidth="11.42578125" defaultRowHeight="12.75"/>
  <cols>
    <col customWidth="1" max="1" min="1" style="507" width="11.42578125"/>
    <col customWidth="1" max="2" min="2" style="507" width="9.7109375"/>
    <col customWidth="1" max="3" min="3" style="507" width="27.140625"/>
    <col customWidth="1" max="4" min="4" style="507" width="10.5703125"/>
    <col customWidth="1" max="6" min="5" style="507" width="8.85546875"/>
    <col customWidth="1" max="7" min="7" style="507" width="9.28515625"/>
    <col customWidth="1" max="16384" min="8" style="507" width="11.42578125"/>
  </cols>
  <sheetData>
    <row r="1">
      <c r="A1" s="439" t="inlineStr">
        <is>
          <t xml:space="preserve">Ведомость затрат на оплату реактивной энергии и потерь в электросетях «Инжпроэкт» и «РАМАН» </t>
        </is>
      </c>
    </row>
    <row r="2">
      <c r="A2" s="528" t="n"/>
    </row>
    <row r="3">
      <c r="A3" s="452" t="n"/>
      <c r="B3" s="452" t="inlineStr">
        <is>
          <t>Тариф =</t>
        </is>
      </c>
      <c r="C3" s="451">
        <f>S!C2</f>
        <v/>
      </c>
      <c r="D3" s="452" t="inlineStr">
        <is>
          <t>Грн.</t>
        </is>
      </c>
      <c r="E3" s="452" t="inlineStr">
        <is>
          <t>Потери:</t>
        </is>
      </c>
      <c r="F3" s="452" t="inlineStr">
        <is>
          <t>Активная</t>
        </is>
      </c>
      <c r="G3" s="452" t="n"/>
      <c r="H3" s="507">
        <f>I11/H11</f>
        <v/>
      </c>
      <c r="I3" s="452" t="n"/>
      <c r="J3" s="507">
        <f>I12/H12</f>
        <v/>
      </c>
      <c r="K3" s="452" t="n"/>
      <c r="L3" s="452" t="n"/>
      <c r="M3" s="13">
        <f>Q16</f>
        <v/>
      </c>
    </row>
    <row customHeight="1" ht="12.75" r="4">
      <c r="A4" s="529" t="inlineStr">
        <is>
          <t>№ п/п</t>
        </is>
      </c>
      <c r="B4" s="533" t="inlineStr">
        <is>
          <t>№ комнаты</t>
        </is>
      </c>
      <c r="C4" s="531" t="inlineStr">
        <is>
          <t>Точка учета</t>
        </is>
      </c>
      <c r="D4" s="533" t="inlineStr">
        <is>
          <t>Настоящие показания, кВт*час.</t>
        </is>
      </c>
      <c r="E4" s="533" t="inlineStr">
        <is>
          <t>Предыдущие показания, кВт*час.</t>
        </is>
      </c>
      <c r="F4" s="533" t="inlineStr">
        <is>
          <t>Разность, кВт*час</t>
        </is>
      </c>
      <c r="G4" s="533" t="inlineStr">
        <is>
          <t>Коэфициент трансформации</t>
        </is>
      </c>
      <c r="H4" s="533" t="inlineStr">
        <is>
          <t>ВСЕГО,  кВт*час</t>
        </is>
      </c>
      <c r="I4" s="533" t="inlineStr">
        <is>
          <t>Потери,   кВт*час</t>
        </is>
      </c>
      <c r="J4" s="533" t="inlineStr">
        <is>
          <t>Всего с потерями РЭС</t>
        </is>
      </c>
      <c r="K4" s="529" t="inlineStr">
        <is>
          <t>Сумма потерь и реактива,в кВт,кВАр*час</t>
        </is>
      </c>
      <c r="L4" s="529" t="inlineStr">
        <is>
          <t>Оплата за потери и реактив, Грн.</t>
        </is>
      </c>
      <c r="M4" s="535" t="inlineStr">
        <is>
          <t>Потери,%</t>
        </is>
      </c>
    </row>
    <row r="5">
      <c r="A5" s="547" t="n"/>
      <c r="B5" s="547" t="n"/>
      <c r="C5" s="547" t="n"/>
      <c r="D5" s="547" t="n"/>
      <c r="E5" s="547" t="n"/>
      <c r="F5" s="547" t="n"/>
      <c r="G5" s="547" t="n"/>
      <c r="H5" s="547" t="n"/>
      <c r="I5" s="547" t="n"/>
      <c r="J5" s="547" t="n"/>
      <c r="K5" s="547" t="n"/>
      <c r="L5" s="547" t="n"/>
      <c r="M5" s="547" t="n"/>
    </row>
    <row r="6">
      <c r="A6" s="547" t="n"/>
      <c r="B6" s="547" t="n"/>
      <c r="C6" s="547" t="n"/>
      <c r="D6" s="547" t="n"/>
      <c r="E6" s="547" t="n"/>
      <c r="F6" s="547" t="n"/>
      <c r="G6" s="547" t="n"/>
      <c r="H6" s="547" t="n"/>
      <c r="I6" s="547" t="n"/>
      <c r="J6" s="547" t="n"/>
      <c r="K6" s="547" t="n"/>
      <c r="L6" s="547" t="n"/>
      <c r="M6" s="547" t="n"/>
    </row>
    <row r="7">
      <c r="A7" s="547" t="n"/>
      <c r="B7" s="547" t="n"/>
      <c r="C7" s="547" t="n"/>
      <c r="D7" s="547" t="n"/>
      <c r="E7" s="547" t="n"/>
      <c r="F7" s="547" t="n"/>
      <c r="G7" s="547" t="n"/>
      <c r="H7" s="547" t="n"/>
      <c r="I7" s="547" t="n"/>
      <c r="J7" s="547" t="n"/>
      <c r="K7" s="547" t="n"/>
      <c r="L7" s="547" t="n"/>
      <c r="M7" s="547" t="n"/>
    </row>
    <row r="8">
      <c r="A8" s="553" t="n"/>
      <c r="B8" s="553" t="n"/>
      <c r="C8" s="553" t="n"/>
      <c r="D8" s="553" t="n"/>
      <c r="E8" s="553" t="n"/>
      <c r="F8" s="553" t="n"/>
      <c r="G8" s="553" t="n"/>
      <c r="H8" s="553" t="n"/>
      <c r="I8" s="553" t="n"/>
      <c r="J8" s="553" t="n"/>
      <c r="K8" s="553" t="n"/>
      <c r="L8" s="553" t="n"/>
      <c r="M8" s="553" t="n"/>
      <c r="O8" s="507" t="inlineStr">
        <is>
          <t>Стоимость реактива</t>
        </is>
      </c>
      <c r="Q8" s="452">
        <f>S!G2</f>
        <v/>
      </c>
      <c r="R8" s="507">
        <f>Q8-N37</f>
        <v/>
      </c>
      <c r="S8" s="454">
        <f>R8/1.4305</f>
        <v/>
      </c>
    </row>
    <row r="9">
      <c r="A9" s="534" t="n">
        <v>1</v>
      </c>
      <c r="B9" s="534" t="n">
        <v>2</v>
      </c>
      <c r="C9" s="534" t="n">
        <v>3</v>
      </c>
      <c r="D9" s="534" t="n">
        <v>4</v>
      </c>
      <c r="E9" s="534" t="n">
        <v>5</v>
      </c>
      <c r="F9" s="534" t="n">
        <v>6</v>
      </c>
      <c r="G9" s="534" t="n">
        <v>7</v>
      </c>
      <c r="H9" s="42" t="n">
        <v>8</v>
      </c>
      <c r="I9" s="42" t="n">
        <v>9</v>
      </c>
      <c r="J9" s="534" t="n">
        <v>10</v>
      </c>
      <c r="K9" s="534" t="n">
        <v>11</v>
      </c>
      <c r="L9" s="534" t="n">
        <v>12</v>
      </c>
      <c r="M9" s="93" t="n"/>
      <c r="O9" s="507" t="inlineStr">
        <is>
          <t>Всего реактива</t>
        </is>
      </c>
      <c r="Q9" s="425">
        <f>S!E2</f>
        <v/>
      </c>
      <c r="S9" s="454" t="n">
        <v>33477</v>
      </c>
    </row>
    <row r="10">
      <c r="A10" s="534" t="n"/>
      <c r="B10" s="534" t="n"/>
      <c r="C10" s="455" t="inlineStr">
        <is>
          <t>Активная энергия</t>
        </is>
      </c>
      <c r="D10" s="534" t="n"/>
      <c r="E10" s="534" t="n"/>
      <c r="F10" s="534" t="n"/>
      <c r="G10" s="534" t="n"/>
      <c r="H10" s="42" t="n"/>
      <c r="I10" s="42" t="n"/>
      <c r="J10" s="534" t="n"/>
      <c r="K10" s="534" t="n"/>
      <c r="L10" s="534" t="n"/>
      <c r="M10" s="93" t="n"/>
      <c r="O10" s="507" t="inlineStr">
        <is>
          <t>Переводной коэффициент</t>
        </is>
      </c>
      <c r="Q10" s="456">
        <f>Q8/Q9</f>
        <v/>
      </c>
      <c r="S10" s="454" t="n">
        <v>29519</v>
      </c>
    </row>
    <row r="11">
      <c r="A11" s="189" t="n">
        <v>1</v>
      </c>
      <c r="B11" s="418" t="inlineStr">
        <is>
          <t>1А</t>
        </is>
      </c>
      <c r="C11" s="46" t="inlineStr">
        <is>
          <t>ТМСИ (ВВОД 1)</t>
        </is>
      </c>
      <c r="D11" s="457">
        <f>S!E9</f>
        <v/>
      </c>
      <c r="E11" s="457">
        <f>S!F9</f>
        <v/>
      </c>
      <c r="F11" s="457">
        <f>D11-E11</f>
        <v/>
      </c>
      <c r="G11" s="49" t="n">
        <v>200</v>
      </c>
      <c r="H11" s="184">
        <f>F11*G11</f>
        <v/>
      </c>
      <c r="I11" s="53">
        <f>S!K9</f>
        <v/>
      </c>
      <c r="J11" s="55">
        <f>H11+I11</f>
        <v/>
      </c>
      <c r="K11" s="184" t="n"/>
      <c r="L11" s="237">
        <f>I11*C3</f>
        <v/>
      </c>
      <c r="M11" s="458">
        <f>I11/H11*100</f>
        <v/>
      </c>
      <c r="O11" s="507" t="inlineStr">
        <is>
          <t>Коэффициэнт актив-реактив</t>
        </is>
      </c>
      <c r="Q11" s="456">
        <f>J17/J13</f>
        <v/>
      </c>
      <c r="S11" s="507">
        <f>SUM(S8:S10)</f>
        <v/>
      </c>
    </row>
    <row r="12">
      <c r="A12" s="189" t="n">
        <v>2</v>
      </c>
      <c r="B12" s="418" t="inlineStr">
        <is>
          <t>2А</t>
        </is>
      </c>
      <c r="C12" s="58" t="inlineStr">
        <is>
          <t>ТМСИ (ВВОД 2)</t>
        </is>
      </c>
      <c r="D12" s="457">
        <f>S!E10</f>
        <v/>
      </c>
      <c r="E12" s="457">
        <f>S!F10</f>
        <v/>
      </c>
      <c r="F12" s="457">
        <f>D12-E12</f>
        <v/>
      </c>
      <c r="G12" s="49" t="n">
        <v>200</v>
      </c>
      <c r="H12" s="184">
        <f>F12*G12</f>
        <v/>
      </c>
      <c r="I12" s="60">
        <f>S!K10</f>
        <v/>
      </c>
      <c r="J12" s="55">
        <f>H12+I12</f>
        <v/>
      </c>
      <c r="K12" s="255">
        <f>I11+I12</f>
        <v/>
      </c>
      <c r="L12" s="237">
        <f>I12*C3</f>
        <v/>
      </c>
      <c r="M12" s="458">
        <f>I12/H12*100</f>
        <v/>
      </c>
    </row>
    <row r="13">
      <c r="A13" s="189" t="n"/>
      <c r="B13" s="418" t="n"/>
      <c r="C13" s="58" t="inlineStr">
        <is>
          <t>Всего кВт*час</t>
        </is>
      </c>
      <c r="D13" s="133" t="n"/>
      <c r="E13" s="133" t="n"/>
      <c r="F13" s="457" t="n"/>
      <c r="G13" s="49" t="n"/>
      <c r="H13" s="123">
        <f>H11+H12</f>
        <v/>
      </c>
      <c r="I13" s="60" t="n"/>
      <c r="J13" s="55">
        <f>J11+J12</f>
        <v/>
      </c>
      <c r="K13" s="255" t="n"/>
      <c r="L13" s="237">
        <f>L11+L12</f>
        <v/>
      </c>
      <c r="M13" s="458">
        <f>K12/H13*100</f>
        <v/>
      </c>
    </row>
    <row r="14">
      <c r="A14" s="189" t="n"/>
      <c r="B14" s="418" t="n"/>
      <c r="C14" s="459" t="inlineStr">
        <is>
          <t>Реактивная энергия</t>
        </is>
      </c>
      <c r="D14" s="133" t="n"/>
      <c r="E14" s="133" t="n"/>
      <c r="F14" s="457" t="n"/>
      <c r="G14" s="49" t="n"/>
      <c r="H14" s="184" t="n"/>
      <c r="I14" s="60" t="n"/>
      <c r="J14" s="55" t="n"/>
      <c r="K14" s="255" t="n"/>
      <c r="L14" s="255" t="n"/>
      <c r="M14" s="123" t="n"/>
      <c r="P14" s="478" t="n"/>
      <c r="Q14" s="478" t="n"/>
      <c r="R14" s="478" t="n"/>
    </row>
    <row r="15">
      <c r="A15" s="189" t="n">
        <v>3</v>
      </c>
      <c r="B15" s="418" t="inlineStr">
        <is>
          <t>1Р</t>
        </is>
      </c>
      <c r="C15" s="119" t="inlineStr">
        <is>
          <t>ТМСИ (ВВОД 1)</t>
        </is>
      </c>
      <c r="D15" s="457">
        <f>S!E11</f>
        <v/>
      </c>
      <c r="E15" s="457">
        <f>S!F11</f>
        <v/>
      </c>
      <c r="F15" s="457">
        <f>D15-E15</f>
        <v/>
      </c>
      <c r="G15" s="49" t="n">
        <v>200</v>
      </c>
      <c r="H15" s="184">
        <f>F15*G15</f>
        <v/>
      </c>
      <c r="I15" s="60">
        <f>S!K11</f>
        <v/>
      </c>
      <c r="J15" s="55">
        <f>H15+I15</f>
        <v/>
      </c>
      <c r="K15" s="255" t="n"/>
      <c r="L15" s="460">
        <f>I15*Q10</f>
        <v/>
      </c>
      <c r="M15" s="461">
        <f>I15/H15*100</f>
        <v/>
      </c>
      <c r="P15" s="478" t="n"/>
      <c r="Q15" s="478" t="n"/>
      <c r="R15" s="478" t="n"/>
    </row>
    <row r="16">
      <c r="A16" s="189" t="n">
        <v>4</v>
      </c>
      <c r="B16" s="418" t="inlineStr">
        <is>
          <t>2Р</t>
        </is>
      </c>
      <c r="C16" s="119" t="inlineStr">
        <is>
          <t>ТМСИ (ВВОД 2)</t>
        </is>
      </c>
      <c r="D16" s="457">
        <f>S!E12</f>
        <v/>
      </c>
      <c r="E16" s="457">
        <f>S!F12</f>
        <v/>
      </c>
      <c r="F16" s="457">
        <f>D16-E16</f>
        <v/>
      </c>
      <c r="G16" s="49" t="n">
        <v>200</v>
      </c>
      <c r="H16" s="184">
        <f>F16*G16</f>
        <v/>
      </c>
      <c r="I16" s="255">
        <f>S!K12</f>
        <v/>
      </c>
      <c r="J16" s="55">
        <f>H16+I16</f>
        <v/>
      </c>
      <c r="K16" s="255">
        <f>I15+I16</f>
        <v/>
      </c>
      <c r="L16" s="460">
        <f>I16*Q10</f>
        <v/>
      </c>
      <c r="M16" s="461">
        <f>I16/H16*100</f>
        <v/>
      </c>
      <c r="P16" s="478" t="n"/>
      <c r="Q16" s="478" t="n"/>
      <c r="R16" s="478" t="n"/>
    </row>
    <row r="17">
      <c r="A17" s="189" t="n"/>
      <c r="B17" s="534" t="n"/>
      <c r="C17" s="68" t="inlineStr">
        <is>
          <t xml:space="preserve"> </t>
        </is>
      </c>
      <c r="D17" s="69" t="n"/>
      <c r="E17" s="69" t="n"/>
      <c r="F17" s="457" t="n"/>
      <c r="G17" s="93" t="n"/>
      <c r="H17" s="70">
        <f>H15+H16</f>
        <v/>
      </c>
      <c r="I17" s="73">
        <f>I15+I16</f>
        <v/>
      </c>
      <c r="J17" s="462">
        <f>J15+J16</f>
        <v/>
      </c>
      <c r="K17" s="255" t="n"/>
      <c r="L17" s="237">
        <f>L15+L16</f>
        <v/>
      </c>
      <c r="M17" s="123" t="n"/>
      <c r="P17" s="478" t="n"/>
      <c r="Q17" s="478" t="n"/>
      <c r="R17" s="478" t="n"/>
    </row>
    <row r="18">
      <c r="A18" s="189" t="n"/>
      <c r="B18" s="534" t="n"/>
      <c r="C18" s="455" t="inlineStr">
        <is>
          <t>Активная энергия</t>
        </is>
      </c>
      <c r="D18" s="69" t="n"/>
      <c r="E18" s="69" t="n"/>
      <c r="F18" s="457" t="n"/>
      <c r="G18" s="93" t="n"/>
      <c r="H18" s="71" t="n"/>
      <c r="I18" s="73" t="n"/>
      <c r="J18" s="75" t="n"/>
      <c r="K18" s="255" t="n"/>
      <c r="L18" s="255" t="n"/>
      <c r="M18" s="123" t="n"/>
      <c r="P18" s="478" t="n"/>
      <c r="Q18" s="478" t="n"/>
      <c r="R18" s="478" t="n"/>
    </row>
    <row r="19">
      <c r="A19" s="189" t="n"/>
      <c r="B19" s="418" t="inlineStr">
        <is>
          <t>1А</t>
        </is>
      </c>
      <c r="C19" s="463" t="inlineStr">
        <is>
          <t>Инжпроект</t>
        </is>
      </c>
      <c r="D19" s="464">
        <f>S!E14</f>
        <v/>
      </c>
      <c r="E19" s="464">
        <f>S!F14</f>
        <v/>
      </c>
      <c r="F19" s="457">
        <f>D19-E19</f>
        <v/>
      </c>
      <c r="G19" s="93" t="n">
        <v>40</v>
      </c>
      <c r="H19" s="80">
        <f>F19*G19</f>
        <v/>
      </c>
      <c r="I19" s="184">
        <f>S!K14</f>
        <v/>
      </c>
      <c r="J19" s="55">
        <f>H19+I19</f>
        <v/>
      </c>
      <c r="K19" s="255" t="n"/>
      <c r="L19" s="253" t="n"/>
      <c r="M19" s="123" t="n"/>
      <c r="P19" s="478" t="n"/>
      <c r="Q19" s="478" t="n"/>
      <c r="R19" s="478" t="n"/>
    </row>
    <row r="20">
      <c r="A20" s="189" t="n"/>
      <c r="B20" s="418" t="inlineStr">
        <is>
          <t>2А</t>
        </is>
      </c>
      <c r="C20" s="465" t="inlineStr">
        <is>
          <t>Инжпроект</t>
        </is>
      </c>
      <c r="D20" s="464">
        <f>S!E15</f>
        <v/>
      </c>
      <c r="E20" s="464">
        <f>S!F15</f>
        <v/>
      </c>
      <c r="F20" s="457">
        <f>D20-E20</f>
        <v/>
      </c>
      <c r="G20" s="93" t="n">
        <v>40</v>
      </c>
      <c r="H20" s="80">
        <f>F20*G20</f>
        <v/>
      </c>
      <c r="I20" s="184">
        <f>S!K15</f>
        <v/>
      </c>
      <c r="J20" s="55">
        <f>H20+I20</f>
        <v/>
      </c>
      <c r="K20" s="255" t="n"/>
      <c r="L20" s="253" t="n"/>
      <c r="M20" s="123" t="n"/>
      <c r="P20" s="478" t="n"/>
      <c r="Q20" s="478" t="n"/>
      <c r="R20" s="478" t="n"/>
    </row>
    <row r="21">
      <c r="A21" s="189" t="n">
        <v>6</v>
      </c>
      <c r="B21" s="418" t="inlineStr">
        <is>
          <t>1А</t>
        </is>
      </c>
      <c r="C21" s="466" t="inlineStr">
        <is>
          <t>БИЗНЕС-БИРЖА установ. счетчик</t>
        </is>
      </c>
      <c r="D21" s="464">
        <f>S!E16</f>
        <v/>
      </c>
      <c r="E21" s="467">
        <f>S!F16</f>
        <v/>
      </c>
      <c r="F21" s="457">
        <f>D21-E21</f>
        <v/>
      </c>
      <c r="G21" s="93" t="n">
        <v>1</v>
      </c>
      <c r="H21" s="80">
        <f>F21*G21</f>
        <v/>
      </c>
      <c r="I21" s="184">
        <f>S!K16</f>
        <v/>
      </c>
      <c r="J21" s="55">
        <f>H21+I21</f>
        <v/>
      </c>
      <c r="K21" s="255" t="n"/>
      <c r="L21" s="253" t="n"/>
      <c r="M21" s="123" t="n"/>
    </row>
    <row r="22">
      <c r="A22" s="189" t="n">
        <v>7</v>
      </c>
      <c r="B22" s="419" t="inlineStr">
        <is>
          <t>1А</t>
        </is>
      </c>
      <c r="C22" s="466" t="inlineStr">
        <is>
          <t>РАМАН</t>
        </is>
      </c>
      <c r="D22" s="464">
        <f>S!E17</f>
        <v/>
      </c>
      <c r="E22" s="464">
        <f>S!F17</f>
        <v/>
      </c>
      <c r="F22" s="468">
        <f>D22-E22</f>
        <v/>
      </c>
      <c r="G22" s="93" t="n">
        <v>40</v>
      </c>
      <c r="H22" s="80">
        <f>F22*G22</f>
        <v/>
      </c>
      <c r="I22" s="184">
        <f>S!K17</f>
        <v/>
      </c>
      <c r="J22" s="55">
        <f>H22+I22</f>
        <v/>
      </c>
      <c r="K22" s="255" t="n"/>
      <c r="L22" s="253" t="n"/>
      <c r="M22" s="123" t="n"/>
      <c r="O22" s="422" t="n"/>
      <c r="P22" s="422" t="n"/>
    </row>
    <row r="23">
      <c r="A23" s="534" t="n"/>
      <c r="B23" s="418" t="inlineStr">
        <is>
          <t>2А</t>
        </is>
      </c>
      <c r="C23" s="466" t="inlineStr">
        <is>
          <t>РАМАН</t>
        </is>
      </c>
      <c r="D23" s="464">
        <f>S!E18</f>
        <v/>
      </c>
      <c r="E23" s="464">
        <f>S!F18</f>
        <v/>
      </c>
      <c r="F23" s="457">
        <f>D23-E23</f>
        <v/>
      </c>
      <c r="G23" s="93" t="n">
        <v>40</v>
      </c>
      <c r="H23" s="80">
        <f>F23*G23</f>
        <v/>
      </c>
      <c r="I23" s="184">
        <f>S!K18</f>
        <v/>
      </c>
      <c r="J23" s="55">
        <f>H23+I23</f>
        <v/>
      </c>
      <c r="K23" s="255">
        <f>I19+I20+I21+I22+I23</f>
        <v/>
      </c>
      <c r="L23" s="237" t="n"/>
      <c r="M23" s="123" t="n"/>
      <c r="O23" s="422" t="n"/>
      <c r="P23" s="422" t="n"/>
    </row>
    <row r="24">
      <c r="A24" s="534" t="n"/>
      <c r="B24" s="418" t="n"/>
      <c r="C24" s="466" t="inlineStr">
        <is>
          <t>Всего по с/п  Инжпроект</t>
        </is>
      </c>
      <c r="D24" s="133" t="n"/>
      <c r="E24" s="133" t="n"/>
      <c r="F24" s="457" t="n"/>
      <c r="G24" s="93" t="n"/>
      <c r="H24" s="80" t="n"/>
      <c r="I24" s="184" t="n"/>
      <c r="J24" s="469">
        <f>I19+I20</f>
        <v/>
      </c>
      <c r="K24" s="119" t="n"/>
      <c r="L24" s="470" t="n"/>
      <c r="M24" s="123" t="n"/>
      <c r="P24" s="422" t="n"/>
    </row>
    <row r="25">
      <c r="A25" s="534" t="n"/>
      <c r="B25" s="418" t="n"/>
      <c r="C25" s="466" t="inlineStr">
        <is>
          <t>Всего по с/п РАМАН</t>
        </is>
      </c>
      <c r="D25" s="133" t="n"/>
      <c r="E25" s="133" t="n"/>
      <c r="F25" s="457" t="n"/>
      <c r="G25" s="93" t="n"/>
      <c r="H25" s="80" t="n"/>
      <c r="I25" s="184" t="n"/>
      <c r="J25" s="469">
        <f>I22+I23</f>
        <v/>
      </c>
      <c r="K25" s="119" t="n"/>
      <c r="L25" s="470" t="n"/>
      <c r="M25" s="123" t="n"/>
    </row>
    <row r="26">
      <c r="A26" s="534" t="n"/>
      <c r="B26" s="418" t="n"/>
      <c r="C26" s="466" t="inlineStr">
        <is>
          <t>Всего по с/п Бизнес-биржа</t>
        </is>
      </c>
      <c r="D26" s="133" t="n"/>
      <c r="E26" s="133" t="n"/>
      <c r="F26" s="457" t="n"/>
      <c r="G26" s="93" t="n"/>
      <c r="H26" s="80" t="n"/>
      <c r="I26" s="184" t="n"/>
      <c r="J26" s="469">
        <f>I21</f>
        <v/>
      </c>
      <c r="K26" s="119" t="n"/>
      <c r="L26" s="470" t="n"/>
      <c r="M26" s="123" t="n"/>
    </row>
    <row r="27">
      <c r="A27" s="534" t="n"/>
      <c r="B27" s="418" t="n"/>
      <c r="C27" s="466" t="inlineStr">
        <is>
          <t>Всего по ТМСИ без с/п</t>
        </is>
      </c>
      <c r="D27" s="133" t="n"/>
      <c r="E27" s="133" t="n"/>
      <c r="F27" s="457" t="n"/>
      <c r="G27" s="93" t="n"/>
      <c r="H27" s="80" t="n"/>
      <c r="I27" s="184" t="n"/>
      <c r="J27" s="469">
        <f>J13-J19-J20-J21-J22-J23</f>
        <v/>
      </c>
      <c r="K27" s="119" t="n"/>
      <c r="L27" s="253">
        <f>J27*C3</f>
        <v/>
      </c>
      <c r="M27" s="123" t="n"/>
    </row>
    <row r="28">
      <c r="A28" s="534" t="n"/>
      <c r="B28" s="418" t="n"/>
      <c r="C28" s="471" t="inlineStr">
        <is>
          <t>Реактивная энергия</t>
        </is>
      </c>
      <c r="D28" s="133" t="n"/>
      <c r="E28" s="133" t="n"/>
      <c r="F28" s="457" t="n"/>
      <c r="G28" s="93" t="n"/>
      <c r="H28" s="80" t="n"/>
      <c r="I28" s="184" t="n"/>
      <c r="J28" s="55" t="n"/>
      <c r="K28" s="255" t="n"/>
      <c r="L28" s="255" t="n"/>
      <c r="M28" s="123" t="n"/>
    </row>
    <row r="29">
      <c r="A29" s="534" t="n"/>
      <c r="B29" s="418" t="inlineStr">
        <is>
          <t>1Р</t>
        </is>
      </c>
      <c r="C29" s="466" t="inlineStr">
        <is>
          <t>Инжпроект</t>
        </is>
      </c>
      <c r="D29" s="464">
        <f>S!E19</f>
        <v/>
      </c>
      <c r="E29" s="464">
        <f>S!F19</f>
        <v/>
      </c>
      <c r="F29" s="457">
        <f>D29-E29</f>
        <v/>
      </c>
      <c r="G29" s="93" t="n">
        <v>40</v>
      </c>
      <c r="H29" s="80">
        <f>F29*G29</f>
        <v/>
      </c>
      <c r="I29" s="184">
        <f>H29*(M15/100)</f>
        <v/>
      </c>
      <c r="J29" s="55">
        <f>H29+I29</f>
        <v/>
      </c>
      <c r="K29" s="255" t="n"/>
      <c r="L29" s="255" t="n"/>
      <c r="M29" s="123" t="n"/>
    </row>
    <row r="30">
      <c r="A30" s="534" t="n"/>
      <c r="B30" s="418" t="inlineStr">
        <is>
          <t>2Р</t>
        </is>
      </c>
      <c r="C30" s="466" t="inlineStr">
        <is>
          <t>Инжпроект</t>
        </is>
      </c>
      <c r="D30" s="464">
        <f>S!E20</f>
        <v/>
      </c>
      <c r="E30" s="464">
        <f>S!F20</f>
        <v/>
      </c>
      <c r="F30" s="457">
        <f>D30-E30</f>
        <v/>
      </c>
      <c r="G30" s="93" t="n">
        <v>40</v>
      </c>
      <c r="H30" s="80">
        <f>F30*G30</f>
        <v/>
      </c>
      <c r="I30" s="184">
        <f>H30*(M16/100)</f>
        <v/>
      </c>
      <c r="J30" s="55">
        <f>H30+I30</f>
        <v/>
      </c>
      <c r="K30" s="255" t="n"/>
      <c r="L30" s="255" t="n"/>
      <c r="M30" s="123" t="n"/>
    </row>
    <row r="31">
      <c r="A31" s="534" t="n"/>
      <c r="B31" s="418" t="inlineStr">
        <is>
          <t>1Р</t>
        </is>
      </c>
      <c r="C31" s="466" t="inlineStr">
        <is>
          <t>РАМАН</t>
        </is>
      </c>
      <c r="D31" s="464">
        <f>S!E21</f>
        <v/>
      </c>
      <c r="E31" s="464">
        <f>S!F21</f>
        <v/>
      </c>
      <c r="F31" s="457">
        <f>D31-E31</f>
        <v/>
      </c>
      <c r="G31" s="93" t="n">
        <v>40</v>
      </c>
      <c r="H31" s="80">
        <f>F31*G31</f>
        <v/>
      </c>
      <c r="I31" s="184">
        <f>H31*(M15/100)</f>
        <v/>
      </c>
      <c r="J31" s="55">
        <f>H31+I31</f>
        <v/>
      </c>
      <c r="K31" s="255" t="n"/>
      <c r="L31" s="255" t="n"/>
      <c r="M31" s="123" t="n"/>
    </row>
    <row r="32">
      <c r="A32" s="534" t="n"/>
      <c r="B32" s="418" t="inlineStr">
        <is>
          <t>2Р</t>
        </is>
      </c>
      <c r="C32" s="466" t="inlineStr">
        <is>
          <t>РАМАН</t>
        </is>
      </c>
      <c r="D32" s="464">
        <f>S!E22</f>
        <v/>
      </c>
      <c r="E32" s="464">
        <f>S!F22</f>
        <v/>
      </c>
      <c r="F32" s="457">
        <f>D32-E32</f>
        <v/>
      </c>
      <c r="G32" s="93" t="n">
        <v>40</v>
      </c>
      <c r="H32" s="80">
        <f>F32*G32</f>
        <v/>
      </c>
      <c r="I32" s="184">
        <f>H32*(M16/100)</f>
        <v/>
      </c>
      <c r="J32" s="55">
        <f>H32+I32</f>
        <v/>
      </c>
      <c r="K32" s="255" t="n"/>
      <c r="L32" s="255" t="n"/>
      <c r="M32" s="123" t="n"/>
    </row>
    <row r="33">
      <c r="A33" s="534" t="n"/>
      <c r="B33" s="418" t="inlineStr">
        <is>
          <t>1Р</t>
        </is>
      </c>
      <c r="C33" s="466" t="inlineStr">
        <is>
          <t>БИЗНЕС-БИРЖА</t>
        </is>
      </c>
      <c r="D33" s="133" t="n"/>
      <c r="E33" s="133" t="n"/>
      <c r="F33" s="457">
        <f>D33-E33</f>
        <v/>
      </c>
      <c r="G33" s="93" t="n">
        <v>1</v>
      </c>
      <c r="H33" s="73">
        <f>(I21+H21)*Q11</f>
        <v/>
      </c>
      <c r="I33" s="184">
        <f>H33*(M16/100)</f>
        <v/>
      </c>
      <c r="J33" s="55">
        <f>H33+I33</f>
        <v/>
      </c>
      <c r="K33" s="255" t="n"/>
      <c r="L33" s="255" t="n"/>
      <c r="M33" s="123" t="n"/>
    </row>
    <row r="34">
      <c r="A34" s="106" t="n"/>
      <c r="B34" s="107" t="n"/>
      <c r="C34" s="108" t="n"/>
      <c r="D34" s="109" t="n"/>
      <c r="E34" s="109" t="n"/>
      <c r="F34" s="472" t="n"/>
      <c r="G34" s="111" t="n"/>
      <c r="H34" s="112" t="n"/>
      <c r="I34" s="114" t="n"/>
      <c r="J34" s="112" t="n"/>
      <c r="K34" s="116" t="n"/>
      <c r="L34" s="116" t="n"/>
      <c r="M34" s="117" t="n"/>
    </row>
    <row r="35">
      <c r="A35" s="534" t="n"/>
      <c r="B35" s="418" t="n"/>
      <c r="C35" s="119" t="inlineStr">
        <is>
          <t>Всего по Инжпроекту реактив</t>
        </is>
      </c>
      <c r="D35" s="120" t="n"/>
      <c r="E35" s="120" t="n"/>
      <c r="F35" s="473" t="n"/>
      <c r="G35" s="122" t="n"/>
      <c r="H35" s="123" t="n"/>
      <c r="I35" s="73" t="n"/>
      <c r="J35" s="474">
        <f>J29+J30</f>
        <v/>
      </c>
      <c r="K35" s="255" t="n"/>
      <c r="L35" s="253">
        <f>J35*Q10</f>
        <v/>
      </c>
      <c r="M35" s="475" t="n"/>
      <c r="N35" s="478" t="n"/>
      <c r="O35" s="478" t="n"/>
      <c r="P35" s="478" t="n"/>
      <c r="Q35" s="478" t="n"/>
      <c r="R35" s="478" t="n"/>
      <c r="S35" s="478" t="n"/>
    </row>
    <row r="36">
      <c r="A36" s="534" t="n"/>
      <c r="B36" s="418" t="n"/>
      <c r="C36" s="119" t="inlineStr">
        <is>
          <t>Всего по РАМАНу реактив</t>
        </is>
      </c>
      <c r="D36" s="126" t="n"/>
      <c r="E36" s="126" t="n"/>
      <c r="F36" s="473" t="n"/>
      <c r="G36" s="93" t="n"/>
      <c r="H36" s="452" t="n"/>
      <c r="I36" s="73" t="n"/>
      <c r="J36" s="476">
        <f>J31+J32</f>
        <v/>
      </c>
      <c r="K36" s="255" t="n"/>
      <c r="L36" s="253">
        <f>J36*Q10</f>
        <v/>
      </c>
      <c r="M36" s="475" t="n"/>
      <c r="N36" s="478" t="n"/>
      <c r="O36" s="478" t="n"/>
      <c r="P36" s="478" t="n"/>
      <c r="Q36" s="478" t="n"/>
      <c r="R36" s="478" t="n"/>
      <c r="S36" s="478" t="n"/>
    </row>
    <row r="37">
      <c r="A37" s="534" t="n"/>
      <c r="B37" s="418" t="n"/>
      <c r="C37" s="127" t="inlineStr">
        <is>
          <t>Всего по Бизнес-бирже реактив</t>
        </is>
      </c>
      <c r="D37" s="128" t="n"/>
      <c r="E37" s="128" t="n"/>
      <c r="F37" s="473" t="n"/>
      <c r="G37" s="129" t="n"/>
      <c r="H37" s="130" t="n"/>
      <c r="I37" s="73" t="n"/>
      <c r="J37" s="474">
        <f>J33</f>
        <v/>
      </c>
      <c r="K37" s="255" t="n"/>
      <c r="L37" s="253">
        <f>J37*Q10</f>
        <v/>
      </c>
      <c r="M37" s="477" t="n"/>
      <c r="N37" s="478">
        <f>SUM(L35:L37)</f>
        <v/>
      </c>
      <c r="O37" s="478" t="n"/>
      <c r="P37" s="478" t="n"/>
      <c r="Q37" s="478" t="n"/>
      <c r="R37" s="478" t="n"/>
      <c r="S37" s="478" t="n"/>
    </row>
    <row r="38">
      <c r="A38" s="534" t="n"/>
      <c r="B38" s="418" t="n"/>
      <c r="C38" s="127" t="inlineStr">
        <is>
          <t>Всего по ТМСИ реактив</t>
        </is>
      </c>
      <c r="D38" s="128" t="n"/>
      <c r="E38" s="128" t="n"/>
      <c r="F38" s="473" t="n"/>
      <c r="G38" s="129" t="n"/>
      <c r="H38" s="130" t="n"/>
      <c r="I38" s="73" t="n"/>
      <c r="J38" s="474" t="n">
        <v>644.1440183328898</v>
      </c>
      <c r="K38" s="255" t="n"/>
      <c r="L38" s="253">
        <f>J38*Q10</f>
        <v/>
      </c>
      <c r="M38" s="477" t="n"/>
      <c r="N38" s="479">
        <f>SUM(L24:L26)</f>
        <v/>
      </c>
      <c r="O38" s="478" t="n"/>
      <c r="P38" s="478" t="n"/>
      <c r="Q38" s="478" t="n"/>
      <c r="R38" s="478" t="n"/>
      <c r="S38" s="478" t="n"/>
    </row>
    <row r="39">
      <c r="A39" s="534" t="n"/>
      <c r="B39" s="418" t="n"/>
      <c r="C39" s="119" t="n"/>
      <c r="D39" s="133" t="n"/>
      <c r="E39" s="133" t="n"/>
      <c r="F39" s="480" t="n"/>
      <c r="G39" s="93" t="n"/>
      <c r="H39" s="138" t="n"/>
      <c r="I39" s="73" t="n"/>
      <c r="J39" s="474">
        <f>J35+J36+J37+J38</f>
        <v/>
      </c>
      <c r="K39" s="255" t="n"/>
      <c r="L39" s="255" t="n"/>
      <c r="M39" s="475" t="n"/>
      <c r="N39" s="478">
        <f>SUM(N37:N38)</f>
        <v/>
      </c>
      <c r="O39" s="478" t="n"/>
      <c r="P39" s="478" t="n"/>
      <c r="Q39" s="478" t="n"/>
      <c r="R39" s="478" t="n"/>
      <c r="S39" s="478" t="n"/>
    </row>
    <row r="40">
      <c r="A40" s="534" t="n"/>
      <c r="B40" s="418" t="n"/>
      <c r="C40" s="119" t="n"/>
      <c r="D40" s="69" t="n"/>
      <c r="E40" s="69" t="n"/>
      <c r="F40" s="69" t="n"/>
      <c r="G40" s="93" t="n"/>
      <c r="H40" s="138" t="n"/>
      <c r="I40" s="73" t="n"/>
      <c r="J40" s="55" t="n"/>
      <c r="K40" s="255" t="n"/>
      <c r="L40" s="255" t="n"/>
      <c r="M40" s="481" t="n"/>
      <c r="N40" s="478" t="n"/>
      <c r="O40" s="478" t="n"/>
      <c r="P40" s="478" t="n"/>
      <c r="Q40" s="478" t="n"/>
      <c r="R40" s="478" t="n"/>
      <c r="S40" s="478" t="n"/>
    </row>
    <row r="41">
      <c r="A41" s="534" t="n"/>
      <c r="B41" s="418" t="n"/>
      <c r="C41" s="119" t="n"/>
      <c r="D41" s="69" t="n"/>
      <c r="E41" s="69" t="n"/>
      <c r="F41" s="69" t="n"/>
      <c r="G41" s="93" t="n"/>
      <c r="H41" s="482" t="n"/>
      <c r="I41" s="73" t="n"/>
      <c r="J41" s="141" t="n"/>
      <c r="K41" s="255" t="n"/>
      <c r="L41" s="255" t="n"/>
      <c r="M41" s="481" t="n"/>
      <c r="N41" s="478" t="n"/>
      <c r="O41" s="478" t="n"/>
      <c r="P41" s="478" t="n"/>
      <c r="Q41" s="478" t="n"/>
      <c r="R41" s="478" t="n"/>
      <c r="S41" s="478" t="n"/>
    </row>
    <row r="42">
      <c r="A42" s="255" t="n"/>
      <c r="B42" s="255" t="n"/>
      <c r="C42" s="255" t="n"/>
      <c r="D42" s="454" t="n"/>
      <c r="E42" s="483" t="n"/>
      <c r="F42" s="144" t="n"/>
      <c r="G42" s="144" t="n"/>
      <c r="H42" s="144" t="n"/>
      <c r="I42" s="484" t="n"/>
      <c r="J42" s="200" t="n"/>
      <c r="K42" s="255" t="n"/>
      <c r="L42" s="255" t="n"/>
      <c r="M42" s="477" t="n"/>
      <c r="N42" s="478" t="n"/>
      <c r="O42" s="478" t="n"/>
      <c r="P42" s="478" t="n"/>
      <c r="Q42" s="478" t="n"/>
      <c r="R42" s="478" t="n"/>
      <c r="S42" s="478" t="n"/>
    </row>
    <row r="43">
      <c r="A43" s="255" t="n"/>
      <c r="B43" s="255" t="n"/>
      <c r="C43" s="255" t="n"/>
      <c r="D43" s="483" t="n"/>
      <c r="E43" s="144" t="n"/>
      <c r="F43" s="144" t="n"/>
      <c r="G43" s="144" t="n"/>
      <c r="H43" s="144" t="n"/>
      <c r="I43" s="484" t="n"/>
      <c r="J43" s="200" t="n"/>
      <c r="K43" s="258" t="n"/>
      <c r="L43" s="258" t="n"/>
      <c r="M43" s="485" t="n"/>
      <c r="N43" s="478" t="n"/>
      <c r="O43" s="478" t="n"/>
      <c r="P43" s="478" t="n"/>
      <c r="Q43" s="478" t="n"/>
      <c r="R43" s="478" t="n"/>
      <c r="S43" s="478" t="n"/>
    </row>
    <row r="44">
      <c r="A44" s="255" t="n"/>
      <c r="B44" s="255" t="n"/>
      <c r="C44" s="255" t="n"/>
      <c r="D44" s="152" t="n"/>
      <c r="E44" s="152" t="n"/>
      <c r="F44" s="200" t="n"/>
      <c r="G44" s="200" t="n"/>
      <c r="H44" s="152" t="n"/>
      <c r="I44" s="484" t="n"/>
      <c r="J44" s="486" t="n"/>
      <c r="K44" s="258" t="n"/>
      <c r="L44" s="258" t="n"/>
      <c r="M44" s="485" t="n"/>
      <c r="N44" s="478" t="n"/>
      <c r="O44" s="478" t="n"/>
      <c r="P44" s="478" t="n"/>
      <c r="Q44" s="478" t="n"/>
      <c r="R44" s="478" t="n"/>
      <c r="S44" s="478" t="n"/>
    </row>
    <row r="45">
      <c r="C45" s="487" t="n"/>
      <c r="D45" s="422" t="n"/>
      <c r="E45" s="422" t="n"/>
      <c r="M45" s="478" t="n"/>
      <c r="N45" s="478" t="n"/>
      <c r="O45" s="478" t="n"/>
      <c r="P45" s="478" t="n"/>
      <c r="Q45" s="478" t="n"/>
      <c r="R45" s="478" t="n"/>
      <c r="S45" s="478" t="n"/>
    </row>
    <row r="46">
      <c r="C46" s="487" t="n"/>
      <c r="D46" s="425" t="n"/>
      <c r="E46" s="507" t="n"/>
      <c r="M46" s="478" t="n"/>
      <c r="N46" s="478" t="n"/>
      <c r="O46" s="478" t="n"/>
      <c r="P46" s="478" t="n"/>
      <c r="Q46" s="478" t="n"/>
      <c r="R46" s="478" t="n"/>
      <c r="S46" s="478" t="n"/>
    </row>
    <row r="47">
      <c r="C47" s="487" t="n"/>
      <c r="E47" s="425" t="n"/>
      <c r="M47" s="478" t="n"/>
      <c r="N47" s="478" t="n"/>
      <c r="O47" s="478" t="n"/>
      <c r="P47" s="478" t="n"/>
      <c r="Q47" s="478" t="n"/>
      <c r="R47" s="478" t="n"/>
      <c r="S47" s="478" t="n"/>
    </row>
    <row r="48">
      <c r="C48" s="487" t="n"/>
      <c r="E48" s="425" t="n"/>
      <c r="M48" s="478" t="n"/>
      <c r="N48" s="478" t="n"/>
      <c r="O48" s="478" t="n"/>
      <c r="P48" s="478" t="n"/>
      <c r="Q48" s="478" t="n"/>
      <c r="R48" s="478" t="n"/>
      <c r="S48" s="478" t="n"/>
    </row>
    <row r="49">
      <c r="H49" s="478" t="n"/>
      <c r="I49" s="478" t="n"/>
      <c r="J49" s="478" t="n"/>
      <c r="K49" s="478" t="n"/>
      <c r="L49" s="478" t="n"/>
      <c r="M49" s="478" t="n"/>
      <c r="N49" s="478" t="n"/>
      <c r="O49" s="478" t="n"/>
      <c r="P49" s="478" t="n"/>
      <c r="Q49" s="478" t="n"/>
      <c r="R49" s="478" t="n"/>
      <c r="S49" s="478" t="n"/>
    </row>
    <row r="50">
      <c r="H50" s="478" t="n"/>
      <c r="I50" s="478" t="n"/>
      <c r="J50" s="478" t="n"/>
      <c r="K50" s="478" t="n"/>
      <c r="L50" s="478" t="n"/>
      <c r="M50" s="478" t="n"/>
      <c r="N50" s="478" t="n"/>
      <c r="O50" s="478" t="n"/>
      <c r="P50" s="478" t="n"/>
      <c r="Q50" s="478" t="n"/>
      <c r="R50" s="478" t="n"/>
      <c r="S50" s="478" t="n"/>
    </row>
    <row r="51">
      <c r="H51" s="478" t="n"/>
      <c r="I51" s="478" t="n"/>
      <c r="J51" s="478" t="n"/>
      <c r="K51" s="478" t="n"/>
      <c r="L51" s="478" t="n"/>
      <c r="M51" s="478" t="n"/>
      <c r="N51" s="478" t="n"/>
      <c r="O51" s="478" t="n"/>
      <c r="P51" s="478" t="n"/>
      <c r="Q51" s="478" t="n"/>
      <c r="R51" s="478" t="n"/>
      <c r="S51" s="478" t="n"/>
    </row>
    <row r="52">
      <c r="H52" s="478" t="n"/>
      <c r="I52" s="478" t="n"/>
      <c r="J52" s="478" t="n"/>
      <c r="K52" s="478" t="n"/>
      <c r="L52" s="478" t="n"/>
      <c r="M52" s="478" t="n"/>
      <c r="N52" s="478" t="n"/>
      <c r="O52" s="478" t="n"/>
      <c r="P52" s="478" t="n"/>
      <c r="Q52" s="478" t="n"/>
      <c r="R52" s="478" t="n"/>
      <c r="S52" s="478" t="n"/>
    </row>
    <row r="53">
      <c r="H53" s="478" t="n"/>
      <c r="I53" s="478" t="n"/>
      <c r="J53" s="478" t="n"/>
      <c r="K53" s="478" t="n"/>
      <c r="L53" s="478" t="n"/>
      <c r="M53" s="478" t="n"/>
      <c r="N53" s="478" t="n"/>
      <c r="O53" s="478" t="n"/>
      <c r="P53" s="478" t="n"/>
      <c r="Q53" s="478" t="n"/>
      <c r="R53" s="478" t="n"/>
      <c r="S53" s="478" t="n"/>
    </row>
    <row r="54">
      <c r="H54" s="478" t="n"/>
      <c r="I54" s="478" t="n"/>
      <c r="J54" s="478" t="n"/>
      <c r="K54" s="478" t="n"/>
      <c r="L54" s="478" t="n"/>
      <c r="M54" s="478" t="n"/>
      <c r="N54" s="478" t="n"/>
      <c r="O54" s="478" t="n"/>
      <c r="P54" s="478" t="n"/>
      <c r="Q54" s="478" t="n"/>
      <c r="R54" s="478" t="n"/>
      <c r="S54" s="478" t="n"/>
    </row>
    <row r="55">
      <c r="H55" s="478" t="n"/>
      <c r="I55" s="478" t="n"/>
      <c r="J55" s="478" t="n"/>
      <c r="K55" s="478" t="n"/>
      <c r="L55" s="478" t="n"/>
      <c r="M55" s="478" t="n"/>
      <c r="N55" s="478" t="n"/>
      <c r="O55" s="478" t="n"/>
      <c r="P55" s="478" t="n"/>
      <c r="Q55" s="478" t="n"/>
      <c r="R55" s="478" t="n"/>
      <c r="S55" s="478" t="n"/>
    </row>
    <row r="56">
      <c r="H56" s="478" t="n"/>
      <c r="I56" s="478" t="n"/>
      <c r="J56" s="478" t="n"/>
      <c r="K56" s="478" t="n"/>
      <c r="L56" s="478" t="n"/>
      <c r="M56" s="478" t="n"/>
      <c r="N56" s="478" t="n"/>
      <c r="O56" s="478" t="n"/>
      <c r="P56" s="478" t="n"/>
      <c r="Q56" s="478" t="n"/>
      <c r="R56" s="478" t="n"/>
      <c r="S56" s="478" t="n"/>
    </row>
    <row r="57">
      <c r="H57" s="478" t="n"/>
      <c r="I57" s="478" t="n"/>
      <c r="J57" s="478" t="n"/>
      <c r="K57" s="478" t="n"/>
      <c r="L57" s="478" t="n"/>
      <c r="M57" s="478" t="n"/>
      <c r="N57" s="478" t="n"/>
      <c r="O57" s="478" t="n"/>
      <c r="P57" s="478" t="n"/>
      <c r="Q57" s="478" t="n"/>
      <c r="R57" s="478" t="n"/>
      <c r="S57" s="478" t="n"/>
    </row>
    <row r="58">
      <c r="H58" s="478" t="n"/>
      <c r="I58" s="478" t="n"/>
      <c r="J58" s="478" t="n"/>
      <c r="K58" s="478" t="n"/>
      <c r="L58" s="478" t="n"/>
      <c r="M58" s="478" t="n"/>
      <c r="N58" s="478" t="n"/>
      <c r="O58" s="478" t="n"/>
      <c r="P58" s="478" t="n"/>
      <c r="Q58" s="478" t="n"/>
      <c r="R58" s="478" t="n"/>
      <c r="S58" s="478" t="n"/>
    </row>
    <row r="59">
      <c r="H59" s="478" t="n"/>
      <c r="I59" s="478" t="n"/>
      <c r="J59" s="478" t="n"/>
      <c r="K59" s="478" t="n"/>
      <c r="L59" s="478" t="n"/>
      <c r="M59" s="478" t="n"/>
      <c r="N59" s="478" t="n"/>
      <c r="O59" s="478" t="n"/>
      <c r="P59" s="478" t="n"/>
      <c r="Q59" s="478" t="n"/>
      <c r="R59" s="478" t="n"/>
      <c r="S59" s="478" t="n"/>
    </row>
    <row r="60">
      <c r="H60" s="478" t="n"/>
      <c r="I60" s="478" t="n"/>
      <c r="J60" s="478" t="n"/>
      <c r="K60" s="478" t="n"/>
      <c r="L60" s="478" t="n"/>
      <c r="M60" s="478" t="n"/>
      <c r="N60" s="478" t="n"/>
      <c r="O60" s="478" t="n"/>
      <c r="P60" s="478" t="n"/>
      <c r="Q60" s="478" t="n"/>
      <c r="R60" s="478" t="n"/>
      <c r="S60" s="478" t="n"/>
    </row>
    <row r="61">
      <c r="H61" s="478" t="n"/>
      <c r="I61" s="478" t="n"/>
      <c r="J61" s="478" t="n"/>
      <c r="K61" s="478" t="n"/>
      <c r="L61" s="478" t="n"/>
      <c r="M61" s="478" t="n"/>
      <c r="N61" s="478" t="n"/>
      <c r="O61" s="478" t="n"/>
      <c r="P61" s="478" t="n"/>
      <c r="Q61" s="478" t="n"/>
      <c r="R61" s="478" t="n"/>
    </row>
    <row r="62">
      <c r="H62" s="478" t="n"/>
      <c r="I62" s="478" t="n"/>
      <c r="J62" s="478" t="n"/>
      <c r="K62" s="478" t="n"/>
      <c r="L62" s="478" t="n"/>
      <c r="M62" s="478" t="n"/>
      <c r="N62" s="478" t="n"/>
      <c r="O62" s="478" t="n"/>
      <c r="P62" s="478" t="n"/>
      <c r="Q62" s="478" t="n"/>
      <c r="R62" s="478" t="n"/>
    </row>
    <row r="63">
      <c r="H63" s="478" t="n"/>
      <c r="I63" s="478" t="n"/>
      <c r="J63" s="478" t="n"/>
      <c r="K63" s="478" t="n"/>
      <c r="L63" s="478" t="n"/>
      <c r="M63" s="478" t="n"/>
      <c r="N63" s="478" t="n"/>
      <c r="O63" s="478" t="n"/>
      <c r="P63" s="478" t="n"/>
      <c r="Q63" s="478" t="n"/>
      <c r="R63" s="478" t="n"/>
    </row>
    <row r="64">
      <c r="H64" s="478" t="n"/>
      <c r="I64" s="478" t="n"/>
      <c r="J64" s="478" t="n"/>
      <c r="K64" s="478" t="n"/>
      <c r="L64" s="478" t="n"/>
      <c r="M64" s="478" t="n"/>
      <c r="N64" s="478" t="n"/>
      <c r="O64" s="478" t="n"/>
      <c r="P64" s="478" t="n"/>
      <c r="Q64" s="478" t="n"/>
      <c r="R64" s="478" t="n"/>
    </row>
    <row r="65">
      <c r="H65" s="478" t="n"/>
      <c r="I65" s="478" t="n"/>
      <c r="J65" s="478" t="n"/>
      <c r="K65" s="478" t="n"/>
      <c r="L65" s="478" t="n"/>
      <c r="M65" s="478" t="n"/>
      <c r="N65" s="478" t="n"/>
      <c r="O65" s="478" t="n"/>
      <c r="P65" s="478" t="n"/>
      <c r="Q65" s="478" t="n"/>
      <c r="R65" s="478" t="n"/>
    </row>
    <row r="66">
      <c r="H66" s="478" t="n"/>
      <c r="I66" s="478" t="n"/>
      <c r="J66" s="478" t="n"/>
      <c r="K66" s="478" t="n"/>
      <c r="L66" s="478" t="n"/>
      <c r="M66" s="478" t="n"/>
      <c r="N66" s="478" t="n"/>
      <c r="O66" s="478" t="n"/>
      <c r="P66" s="478" t="n"/>
      <c r="Q66" s="478" t="n"/>
      <c r="R66" s="478" t="n"/>
    </row>
    <row r="67">
      <c r="H67" s="478" t="n"/>
      <c r="I67" s="478" t="n"/>
      <c r="J67" s="478" t="n"/>
      <c r="K67" s="478" t="n"/>
      <c r="L67" s="478" t="n"/>
      <c r="M67" s="478" t="n"/>
      <c r="N67" s="478" t="n"/>
      <c r="O67" s="478" t="n"/>
      <c r="P67" s="478" t="n"/>
      <c r="Q67" s="478" t="n"/>
      <c r="R67" s="478" t="n"/>
    </row>
    <row r="68">
      <c r="H68" s="478" t="n"/>
      <c r="I68" s="478" t="n"/>
      <c r="J68" s="478" t="n"/>
      <c r="K68" s="478" t="n"/>
      <c r="L68" s="478" t="n"/>
      <c r="M68" s="478" t="n"/>
      <c r="N68" s="478" t="n"/>
      <c r="O68" s="478" t="n"/>
      <c r="P68" s="478" t="n"/>
      <c r="Q68" s="478" t="n"/>
      <c r="R68" s="478" t="n"/>
    </row>
    <row r="69">
      <c r="H69" s="478" t="n"/>
      <c r="I69" s="478" t="n"/>
      <c r="J69" s="478" t="n"/>
      <c r="K69" s="478" t="n"/>
      <c r="L69" s="478" t="n"/>
      <c r="M69" s="478" t="n"/>
      <c r="N69" s="478" t="n"/>
      <c r="O69" s="478" t="n"/>
      <c r="P69" s="478" t="n"/>
      <c r="Q69" s="478" t="n"/>
      <c r="R69" s="478" t="n"/>
    </row>
    <row r="70">
      <c r="H70" s="478" t="n"/>
      <c r="I70" s="478" t="n"/>
      <c r="J70" s="478" t="n"/>
      <c r="K70" s="478" t="n"/>
      <c r="L70" s="478" t="n"/>
      <c r="M70" s="478" t="n"/>
      <c r="N70" s="478" t="n"/>
      <c r="O70" s="478" t="n"/>
      <c r="P70" s="478" t="n"/>
      <c r="Q70" s="478" t="n"/>
      <c r="R70" s="478" t="n"/>
    </row>
    <row r="71">
      <c r="H71" s="478" t="n"/>
      <c r="I71" s="478" t="n"/>
      <c r="J71" s="478" t="n"/>
      <c r="K71" s="478" t="n"/>
      <c r="L71" s="478" t="n"/>
      <c r="M71" s="478" t="n"/>
      <c r="N71" s="478" t="n"/>
      <c r="O71" s="478" t="n"/>
      <c r="P71" s="478" t="n"/>
      <c r="Q71" s="478" t="n"/>
      <c r="R71" s="478" t="n"/>
    </row>
    <row r="72">
      <c r="H72" s="478" t="n"/>
      <c r="I72" s="478" t="n"/>
      <c r="J72" s="478" t="n"/>
      <c r="K72" s="478" t="n"/>
      <c r="L72" s="478" t="n"/>
      <c r="M72" s="478" t="n"/>
      <c r="N72" s="478" t="n"/>
      <c r="O72" s="478" t="n"/>
      <c r="P72" s="478" t="n"/>
      <c r="Q72" s="478" t="n"/>
      <c r="R72" s="478" t="n"/>
    </row>
    <row r="73">
      <c r="H73" s="478" t="n"/>
      <c r="I73" s="478" t="n"/>
      <c r="J73" s="478" t="n"/>
      <c r="K73" s="478" t="n"/>
      <c r="L73" s="478" t="n"/>
      <c r="M73" s="478" t="n"/>
      <c r="N73" s="478" t="n"/>
      <c r="O73" s="478" t="n"/>
      <c r="P73" s="478" t="n"/>
      <c r="Q73" s="478" t="n"/>
      <c r="R73" s="478" t="n"/>
    </row>
    <row r="74">
      <c r="H74" s="478" t="n"/>
      <c r="I74" s="478" t="n"/>
      <c r="J74" s="478" t="n"/>
      <c r="K74" s="478" t="n"/>
      <c r="L74" s="478" t="n"/>
      <c r="M74" s="478" t="n"/>
      <c r="N74" s="478" t="n"/>
      <c r="O74" s="478" t="n"/>
      <c r="P74" s="478" t="n"/>
      <c r="Q74" s="478" t="n"/>
      <c r="R74" s="478" t="n"/>
    </row>
  </sheetData>
  <mergeCells count="14">
    <mergeCell ref="L4:L8"/>
    <mergeCell ref="M4:M8"/>
    <mergeCell ref="A2:M2"/>
    <mergeCell ref="A4:A8"/>
    <mergeCell ref="B4:B8"/>
    <mergeCell ref="C4:C8"/>
    <mergeCell ref="D4:D8"/>
    <mergeCell ref="E4:E8"/>
    <mergeCell ref="F4:F8"/>
    <mergeCell ref="G4:G8"/>
    <mergeCell ref="H4:H8"/>
    <mergeCell ref="I4:I8"/>
    <mergeCell ref="J4:J8"/>
    <mergeCell ref="K4:K8"/>
  </mergeCells>
  <conditionalFormatting sqref="F34:F39 H11:H12 H14:H16 I19:I33 K11 L19:L22 L27 L35:L38">
    <cfRule dxfId="0" operator="lessThan" priority="1" stopIfTrue="1" type="cellIs">
      <formula>0</formula>
    </cfRule>
  </conditionalFormatting>
  <pageMargins bottom="1.025" footer="0.7875" header="0.7875" left="0.7875" right="0.7875" top="1.025"/>
  <pageSetup firstPageNumber="0" horizontalDpi="300" orientation="landscape" paperSize="9" verticalDpi="300"/>
  <headerFooter alignWithMargins="0">
    <oddHeader>&amp;C&amp;A</oddHeader>
    <oddFooter>&amp;CPage &amp;P</oddFooter>
    <evenHeader/>
    <evenFooter/>
    <firstHeader/>
    <firstFooter/>
  </headerFooter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K52"/>
  <sheetViews>
    <sheetView workbookViewId="0">
      <selection activeCell="F9" sqref="F9"/>
    </sheetView>
  </sheetViews>
  <sheetFormatPr baseColWidth="8" defaultColWidth="11.42578125" defaultRowHeight="12.75"/>
  <cols>
    <col customWidth="1" max="1" min="1" style="507" width="32.5703125"/>
    <col customWidth="1" max="2" min="2" style="507" width="31.7109375"/>
    <col customWidth="1" max="3" min="3" style="507" width="25.140625"/>
    <col customWidth="1" max="4" min="4" style="507" width="27.5703125"/>
    <col customWidth="1" max="16384" min="5" style="507" width="11.42578125"/>
  </cols>
  <sheetData>
    <row r="4">
      <c r="B4" s="478" t="n"/>
      <c r="C4" s="478" t="n"/>
      <c r="D4" s="478" t="n"/>
      <c r="E4" s="478" t="n"/>
      <c r="F4" s="478" t="n"/>
      <c r="G4" s="478" t="n"/>
      <c r="H4" s="478" t="n"/>
      <c r="I4" s="478" t="n"/>
    </row>
    <row customHeight="1" ht="38.1" r="5">
      <c r="A5" s="488" t="inlineStr">
        <is>
          <t>Стаття витрат електроенергії</t>
        </is>
      </c>
      <c r="B5" s="489" t="inlineStr">
        <is>
          <t>Витрати МПРС,кВт</t>
        </is>
      </c>
      <c r="C5" s="489" t="inlineStr">
        <is>
          <t>Частка витрат МПРС</t>
        </is>
      </c>
      <c r="D5" s="490" t="inlineStr">
        <is>
          <t>Всього загальні витрати бізнес-центру,кВт</t>
        </is>
      </c>
      <c r="E5" s="478" t="n"/>
      <c r="F5" s="478" t="n"/>
      <c r="G5" s="478" t="n"/>
      <c r="H5" s="478" t="n"/>
      <c r="I5" s="478" t="n"/>
    </row>
    <row r="6">
      <c r="A6" s="491" t="inlineStr">
        <is>
          <t>Електроенергія по лічильниках</t>
        </is>
      </c>
      <c r="B6" s="492">
        <f>S!G62+S!G185+S!G235+S!G236+S!G407+S!G408+S!G418+S!G431+S!G441+S!G442</f>
        <v/>
      </c>
      <c r="C6" s="493" t="n"/>
      <c r="D6" s="493" t="n"/>
      <c r="E6" s="478" t="n"/>
      <c r="F6" s="478" t="n"/>
      <c r="G6" s="478" t="n"/>
      <c r="H6" s="478" t="n"/>
      <c r="I6" s="478" t="n"/>
    </row>
    <row r="7">
      <c r="A7" s="507" t="inlineStr">
        <is>
          <t>Електроенергія по генератору</t>
        </is>
      </c>
      <c r="B7" s="422">
        <f>S!M62+S!M185+S!M235+S!M236+S!M407+S!M408+S!M418+S!M431+S!M441+S!M442</f>
        <v/>
      </c>
      <c r="C7" s="493" t="n"/>
      <c r="D7" s="493" t="n"/>
      <c r="E7" s="478" t="n"/>
      <c r="F7" s="494">
        <f>S!N62+S!N185+S!N236+S!N408+S!N407+S!N418+S!N431+S!N441+S!N442</f>
        <v/>
      </c>
      <c r="G7" s="478" t="n"/>
      <c r="H7" s="478" t="n"/>
      <c r="I7" s="478" t="n"/>
    </row>
    <row r="8">
      <c r="A8" s="491" t="inlineStr">
        <is>
          <t>Зовнішне освітлення</t>
        </is>
      </c>
      <c r="B8" s="495">
        <f>D8*C8</f>
        <v/>
      </c>
      <c r="C8" s="496" t="n">
        <v>0.178309</v>
      </c>
      <c r="D8" s="495">
        <f>S!E576*0.15</f>
        <v/>
      </c>
      <c r="E8" s="478" t="n"/>
      <c r="F8" s="478" t="n">
        <v>0.272006</v>
      </c>
      <c r="G8" s="478" t="n"/>
      <c r="H8" s="478" t="n"/>
      <c r="I8" s="478" t="n"/>
    </row>
    <row r="9">
      <c r="A9" s="491" t="inlineStr">
        <is>
          <t>Висвітлення сход і поверхів</t>
        </is>
      </c>
      <c r="B9" s="495">
        <f>D9*C9</f>
        <v/>
      </c>
      <c r="C9" s="496" t="n">
        <v>0.178309</v>
      </c>
      <c r="D9" s="495">
        <f>F13/C9</f>
        <v/>
      </c>
      <c r="E9" s="478" t="n"/>
      <c r="F9" s="478">
        <f>F8</f>
        <v/>
      </c>
      <c r="G9" s="478" t="n"/>
      <c r="H9" s="478" t="n"/>
      <c r="I9" s="478" t="n"/>
    </row>
    <row r="10">
      <c r="A10" s="491" t="inlineStr">
        <is>
          <t>Охорона (в'їздна група)</t>
        </is>
      </c>
      <c r="B10" s="495">
        <f>D10*C10</f>
        <v/>
      </c>
      <c r="C10" s="496" t="n">
        <v>0.178309</v>
      </c>
      <c r="D10" s="493">
        <f>S!J70</f>
        <v/>
      </c>
      <c r="E10" s="478" t="n"/>
      <c r="F10" s="478" t="n"/>
      <c r="G10" s="478" t="n"/>
      <c r="H10" s="478" t="n"/>
      <c r="I10" s="478" t="n"/>
      <c r="J10" s="478" t="n"/>
      <c r="K10" s="478" t="n"/>
    </row>
    <row r="11">
      <c r="A11" s="491" t="inlineStr">
        <is>
          <t>Охорона (задній двір)</t>
        </is>
      </c>
      <c r="B11" s="495">
        <f>D11*C11</f>
        <v/>
      </c>
      <c r="C11" s="496" t="n">
        <v>0.178309</v>
      </c>
      <c r="D11" s="497">
        <f>S!I28</f>
        <v/>
      </c>
      <c r="E11" s="478" t="n"/>
      <c r="F11" s="498" t="inlineStr">
        <is>
          <t>Парковка</t>
        </is>
      </c>
      <c r="G11" s="499" t="n"/>
      <c r="H11" s="478" t="n"/>
      <c r="I11" s="478" t="n"/>
      <c r="J11" s="478" t="n"/>
      <c r="K11" s="478" t="n"/>
    </row>
    <row r="12">
      <c r="A12" s="491" t="inlineStr">
        <is>
          <t>Пункт охорони (рецепція)</t>
        </is>
      </c>
      <c r="B12" s="495">
        <f>D12*C12</f>
        <v/>
      </c>
      <c r="C12" s="496" t="n">
        <v>0.178309</v>
      </c>
      <c r="D12" s="493">
        <f>S!J412</f>
        <v/>
      </c>
      <c r="E12" s="478" t="n"/>
      <c r="F12" s="498" t="n">
        <v>2400</v>
      </c>
      <c r="G12" s="499" t="inlineStr">
        <is>
          <t>грн</t>
        </is>
      </c>
      <c r="H12" s="478" t="n"/>
      <c r="I12" s="478" t="n"/>
      <c r="J12" s="478" t="n"/>
      <c r="K12" s="478" t="n"/>
    </row>
    <row r="13">
      <c r="A13" s="491" t="inlineStr">
        <is>
          <t>Елеватор</t>
        </is>
      </c>
      <c r="B13" s="495">
        <f>D13*C13</f>
        <v/>
      </c>
      <c r="C13" s="496" t="n">
        <v>0.178309</v>
      </c>
      <c r="D13" s="493">
        <f>S!J102</f>
        <v/>
      </c>
      <c r="E13" s="478" t="n"/>
      <c r="F13" s="500">
        <f>(S!E576-D8)*C8+F12/2/S!C2</f>
        <v/>
      </c>
      <c r="G13" s="478" t="n"/>
      <c r="H13" s="478" t="n"/>
      <c r="I13" s="478" t="n"/>
      <c r="J13" s="478" t="n"/>
      <c r="K13" s="478" t="n"/>
    </row>
    <row r="14">
      <c r="A14" s="491" t="inlineStr">
        <is>
          <t>Котельня</t>
        </is>
      </c>
      <c r="B14" s="495">
        <f>D14*C14</f>
        <v/>
      </c>
      <c r="C14" s="496" t="n">
        <v>0.178309</v>
      </c>
      <c r="D14" s="497">
        <f>S!J463</f>
        <v/>
      </c>
      <c r="E14" s="478" t="n"/>
      <c r="F14" s="500">
        <f>S!J466*C16+F12/2/S!C2</f>
        <v/>
      </c>
      <c r="G14" s="478" t="n"/>
      <c r="H14" s="478" t="n"/>
      <c r="I14" s="478" t="n"/>
      <c r="J14" s="478" t="n"/>
      <c r="K14" s="478" t="n"/>
    </row>
    <row r="15">
      <c r="A15" s="491" t="inlineStr">
        <is>
          <t>Ліфти</t>
        </is>
      </c>
      <c r="B15" s="495">
        <f>D15*C15</f>
        <v/>
      </c>
      <c r="C15" s="496" t="n">
        <v>0.178309</v>
      </c>
      <c r="D15" s="493">
        <f>S!J464+S!J465</f>
        <v/>
      </c>
      <c r="E15" s="478" t="n"/>
      <c r="F15" s="478" t="n"/>
      <c r="G15" s="478" t="n"/>
      <c r="H15" s="478" t="n"/>
      <c r="I15" s="478" t="n"/>
      <c r="J15" s="478" t="n"/>
      <c r="K15" s="478" t="n"/>
    </row>
    <row r="16">
      <c r="A16" s="491" t="inlineStr">
        <is>
          <t>Бойлерна</t>
        </is>
      </c>
      <c r="B16" s="495">
        <f>D16*C16</f>
        <v/>
      </c>
      <c r="C16" s="496" t="n">
        <v>0.178309</v>
      </c>
      <c r="D16" s="495">
        <f>F14/C16</f>
        <v/>
      </c>
      <c r="E16" s="478" t="n"/>
      <c r="F16" s="478" t="n"/>
      <c r="G16" s="478" t="n"/>
      <c r="H16" s="478" t="n"/>
      <c r="I16" s="478" t="n"/>
      <c r="J16" s="478" t="n"/>
      <c r="K16" s="478" t="n"/>
    </row>
    <row r="17">
      <c r="A17" s="491" t="inlineStr">
        <is>
          <t>Втрати</t>
        </is>
      </c>
      <c r="B17" s="495">
        <f>D17*C17</f>
        <v/>
      </c>
      <c r="C17" s="496" t="n">
        <v>0.178309</v>
      </c>
      <c r="D17" s="493">
        <f>S!N24-S!I24</f>
        <v/>
      </c>
      <c r="E17" s="478" t="n"/>
      <c r="F17" s="478" t="n"/>
      <c r="G17" s="478" t="n"/>
      <c r="H17" s="478" t="n"/>
      <c r="I17" s="478" t="n"/>
      <c r="J17" s="478" t="n"/>
      <c r="K17" s="478" t="n"/>
    </row>
    <row r="18">
      <c r="A18" s="491" t="inlineStr">
        <is>
          <t>Реактив</t>
        </is>
      </c>
      <c r="B18" s="495">
        <f>D18*C18</f>
        <v/>
      </c>
      <c r="C18" s="496" t="n">
        <v>0.178309</v>
      </c>
      <c r="D18" s="495">
        <f>S!T24-S!N24</f>
        <v/>
      </c>
      <c r="E18" s="478" t="n"/>
      <c r="F18" s="478" t="n"/>
      <c r="G18" s="478" t="n"/>
      <c r="H18" s="478" t="n"/>
      <c r="I18" s="478" t="n"/>
      <c r="J18" s="478" t="n"/>
      <c r="K18" s="478" t="n"/>
    </row>
    <row customHeight="1" ht="24.6" r="19">
      <c r="A19" s="491" t="inlineStr">
        <is>
          <t>Всього</t>
        </is>
      </c>
      <c r="B19" s="495">
        <f>SUM(B6:B18)</f>
        <v/>
      </c>
      <c r="C19" s="493" t="n"/>
      <c r="D19" s="495">
        <f>SUM(D8:D18)</f>
        <v/>
      </c>
      <c r="E19" s="478" t="n"/>
      <c r="F19" s="478" t="n"/>
      <c r="G19" s="478" t="n"/>
      <c r="H19" s="478" t="n"/>
      <c r="I19" s="478" t="n"/>
      <c r="J19" s="478" t="n"/>
      <c r="K19" s="478" t="n"/>
    </row>
    <row customHeight="1" ht="23.85" r="20">
      <c r="A20" s="501" t="inlineStr">
        <is>
          <t>Всього,грн (без НДС)</t>
        </is>
      </c>
      <c r="B20" s="502">
        <f>B19*S!C2</f>
        <v/>
      </c>
      <c r="C20" s="478" t="n"/>
      <c r="D20" s="478" t="n"/>
      <c r="E20" s="478" t="n"/>
      <c r="F20" s="478" t="n"/>
      <c r="G20" s="478" t="n"/>
      <c r="H20" s="478" t="n"/>
      <c r="I20" s="478" t="n"/>
      <c r="J20" s="478" t="n"/>
      <c r="K20" s="478" t="n"/>
    </row>
    <row r="21">
      <c r="B21" s="478" t="n"/>
      <c r="C21" s="478">
        <f>B6*F8</f>
        <v/>
      </c>
      <c r="D21" s="478" t="n"/>
      <c r="E21" s="478" t="n"/>
      <c r="F21" s="478" t="n"/>
      <c r="G21" s="478" t="n"/>
      <c r="H21" s="478" t="n"/>
      <c r="I21" s="478" t="n"/>
      <c r="J21" s="478" t="n"/>
      <c r="K21" s="478" t="n"/>
    </row>
    <row r="22">
      <c r="B22" s="478" t="n"/>
      <c r="C22" s="478" t="n"/>
      <c r="D22" s="478" t="n"/>
      <c r="E22" s="478" t="n"/>
      <c r="F22" s="478" t="n"/>
      <c r="G22" s="478" t="n"/>
      <c r="H22" s="478" t="n"/>
      <c r="I22" s="478" t="n"/>
      <c r="J22" s="478" t="n"/>
      <c r="K22" s="478" t="n"/>
    </row>
    <row r="23">
      <c r="B23" s="478" t="n"/>
      <c r="C23" s="478" t="n"/>
      <c r="D23" s="478" t="n"/>
      <c r="E23" s="478" t="n"/>
      <c r="F23" s="478" t="n"/>
      <c r="G23" s="478" t="n"/>
      <c r="H23" s="478" t="n"/>
      <c r="I23" s="478" t="n"/>
      <c r="J23" s="478" t="n"/>
      <c r="K23" s="478" t="n"/>
    </row>
    <row r="24">
      <c r="B24" s="478" t="n"/>
      <c r="C24" s="478" t="n"/>
      <c r="D24" s="478" t="n"/>
      <c r="E24" s="478" t="n"/>
      <c r="F24" s="478" t="n"/>
      <c r="G24" s="478" t="n"/>
      <c r="H24" s="478" t="n"/>
      <c r="I24" s="478" t="n"/>
      <c r="J24" s="478" t="n"/>
      <c r="K24" s="478" t="n"/>
    </row>
    <row r="25">
      <c r="B25" s="478" t="n"/>
      <c r="C25" s="478" t="n"/>
      <c r="D25" s="478" t="n"/>
      <c r="E25" s="478" t="n"/>
      <c r="F25" s="478" t="n"/>
      <c r="G25" s="478" t="n"/>
      <c r="H25" s="478" t="n"/>
      <c r="I25" s="478" t="n"/>
      <c r="J25" s="478" t="n"/>
      <c r="K25" s="478" t="n"/>
    </row>
    <row r="26">
      <c r="B26" s="478" t="n"/>
      <c r="C26" s="478" t="n"/>
      <c r="D26" s="478" t="n"/>
      <c r="E26" s="478" t="n"/>
      <c r="F26" s="478" t="n"/>
      <c r="G26" s="478" t="n"/>
      <c r="H26" s="478" t="n"/>
      <c r="I26" s="478" t="n"/>
      <c r="J26" s="478" t="n"/>
      <c r="K26" s="478" t="n"/>
    </row>
    <row r="27">
      <c r="B27" s="478" t="n"/>
      <c r="C27" s="478" t="n"/>
      <c r="D27" s="478" t="n"/>
      <c r="E27" s="478" t="n"/>
      <c r="F27" s="478" t="n"/>
      <c r="G27" s="478" t="n"/>
      <c r="H27" s="478" t="n"/>
      <c r="I27" s="478" t="n"/>
      <c r="J27" s="478" t="n"/>
      <c r="K27" s="478" t="n"/>
    </row>
    <row r="28">
      <c r="B28" s="478" t="n"/>
      <c r="C28" s="478" t="n"/>
      <c r="D28" s="478" t="n"/>
      <c r="E28" s="478" t="n"/>
      <c r="F28" s="478" t="n"/>
      <c r="G28" s="478" t="n"/>
      <c r="H28" s="478" t="n"/>
      <c r="I28" s="478" t="n"/>
      <c r="J28" s="478" t="n"/>
      <c r="K28" s="478" t="n"/>
    </row>
    <row r="29">
      <c r="B29" s="478" t="n"/>
      <c r="C29" s="478" t="n"/>
      <c r="D29" s="478" t="n"/>
      <c r="E29" s="478" t="n"/>
      <c r="F29" s="478" t="n"/>
      <c r="G29" s="478" t="n"/>
      <c r="H29" s="478" t="n"/>
      <c r="I29" s="478" t="n"/>
      <c r="J29" s="478" t="n"/>
      <c r="K29" s="478" t="n"/>
    </row>
    <row r="30">
      <c r="B30" s="478" t="n"/>
      <c r="C30" s="478" t="n"/>
      <c r="D30" s="478" t="n"/>
      <c r="E30" s="478" t="n"/>
      <c r="F30" s="478" t="n"/>
      <c r="G30" s="478" t="n"/>
      <c r="H30" s="478" t="n"/>
      <c r="I30" s="478" t="n"/>
      <c r="J30" s="478" t="n"/>
      <c r="K30" s="478" t="n"/>
    </row>
    <row r="31">
      <c r="B31" s="478" t="n"/>
      <c r="C31" s="478" t="n"/>
      <c r="D31" s="478" t="n"/>
      <c r="E31" s="478" t="n"/>
      <c r="F31" s="478" t="n"/>
      <c r="G31" s="478" t="n"/>
      <c r="H31" s="478" t="n"/>
      <c r="I31" s="478" t="n"/>
      <c r="J31" s="478" t="n"/>
      <c r="K31" s="478" t="n"/>
    </row>
    <row r="32">
      <c r="B32" s="478" t="n"/>
      <c r="C32" s="478" t="n"/>
      <c r="D32" s="478" t="n"/>
      <c r="E32" s="478" t="n"/>
      <c r="F32" s="478" t="n"/>
      <c r="G32" s="478" t="n"/>
      <c r="H32" s="478" t="n"/>
      <c r="I32" s="478" t="n"/>
      <c r="J32" s="478" t="n"/>
      <c r="K32" s="478" t="n"/>
    </row>
    <row r="33">
      <c r="B33" s="478" t="n"/>
      <c r="C33" s="478" t="n"/>
      <c r="D33" s="478" t="n"/>
      <c r="E33" s="478" t="n"/>
      <c r="F33" s="478" t="n"/>
      <c r="G33" s="478" t="n"/>
      <c r="H33" s="478" t="n"/>
      <c r="I33" s="478" t="n"/>
      <c r="J33" s="478" t="n"/>
      <c r="K33" s="478" t="n"/>
    </row>
    <row r="34">
      <c r="B34" s="478" t="n"/>
      <c r="C34" s="478" t="n"/>
      <c r="D34" s="478" t="n"/>
      <c r="E34" s="478" t="n"/>
      <c r="F34" s="478" t="n"/>
      <c r="G34" s="478" t="n"/>
      <c r="H34" s="478" t="n"/>
      <c r="I34" s="478" t="n"/>
      <c r="J34" s="478" t="n"/>
      <c r="K34" s="478" t="n"/>
    </row>
    <row r="35">
      <c r="B35" s="478" t="n"/>
      <c r="C35" s="478" t="n"/>
      <c r="D35" s="478" t="n"/>
      <c r="E35" s="478" t="n"/>
      <c r="F35" s="478" t="n"/>
      <c r="G35" s="478" t="n"/>
      <c r="H35" s="478" t="n"/>
      <c r="I35" s="478" t="n"/>
      <c r="J35" s="478" t="n"/>
      <c r="K35" s="478" t="n"/>
    </row>
    <row r="36">
      <c r="B36" s="478" t="n"/>
      <c r="C36" s="478" t="n"/>
      <c r="D36" s="478" t="n"/>
      <c r="E36" s="478" t="n"/>
      <c r="F36" s="478" t="n"/>
      <c r="G36" s="478" t="n"/>
      <c r="H36" s="478" t="n"/>
      <c r="I36" s="478" t="n"/>
      <c r="J36" s="478" t="n"/>
      <c r="K36" s="478" t="n"/>
    </row>
    <row r="37">
      <c r="B37" s="478" t="n"/>
      <c r="C37" s="478" t="n"/>
      <c r="D37" s="478" t="n"/>
      <c r="E37" s="478" t="n"/>
      <c r="F37" s="478" t="n"/>
      <c r="G37" s="478" t="n"/>
      <c r="H37" s="478" t="n"/>
      <c r="I37" s="478" t="n"/>
      <c r="J37" s="478" t="n"/>
      <c r="K37" s="478" t="n"/>
    </row>
    <row r="38">
      <c r="B38" s="478" t="n"/>
      <c r="C38" s="478" t="n"/>
      <c r="D38" s="478" t="n"/>
      <c r="E38" s="478" t="n"/>
      <c r="F38" s="478" t="n"/>
      <c r="G38" s="478" t="n"/>
      <c r="H38" s="478" t="n"/>
      <c r="I38" s="478" t="n"/>
      <c r="J38" s="478" t="n"/>
      <c r="K38" s="478" t="n"/>
    </row>
    <row r="39">
      <c r="B39" s="478" t="n"/>
      <c r="C39" s="478" t="n"/>
      <c r="D39" s="478" t="n"/>
      <c r="E39" s="478" t="n"/>
      <c r="F39" s="478" t="n"/>
      <c r="G39" s="478" t="n"/>
      <c r="H39" s="478" t="n"/>
      <c r="I39" s="478" t="n"/>
      <c r="J39" s="478" t="n"/>
      <c r="K39" s="478" t="n"/>
    </row>
    <row r="40">
      <c r="D40" s="478" t="n"/>
      <c r="E40" s="478" t="n"/>
      <c r="F40" s="478" t="n"/>
      <c r="G40" s="478" t="n"/>
      <c r="H40" s="478" t="n"/>
      <c r="I40" s="478" t="n"/>
      <c r="J40" s="478" t="n"/>
      <c r="K40" s="478" t="n"/>
    </row>
    <row r="41">
      <c r="D41" s="478" t="n"/>
      <c r="E41" s="478" t="n"/>
      <c r="F41" s="478" t="n"/>
      <c r="G41" s="478" t="n"/>
      <c r="H41" s="478" t="n"/>
      <c r="I41" s="478" t="n"/>
      <c r="J41" s="478" t="n"/>
      <c r="K41" s="478" t="n"/>
    </row>
    <row r="42">
      <c r="D42" s="478" t="n"/>
      <c r="E42" s="478" t="n"/>
      <c r="F42" s="478" t="n"/>
      <c r="G42" s="478" t="n"/>
      <c r="H42" s="478" t="n"/>
      <c r="I42" s="478" t="n"/>
      <c r="J42" s="478" t="n"/>
      <c r="K42" s="478" t="n"/>
    </row>
    <row r="43">
      <c r="D43" s="478" t="n"/>
      <c r="E43" s="478" t="n"/>
      <c r="F43" s="478" t="n"/>
      <c r="G43" s="478" t="n"/>
      <c r="H43" s="478" t="n"/>
      <c r="I43" s="478" t="n"/>
      <c r="J43" s="478" t="n"/>
      <c r="K43" s="478" t="n"/>
    </row>
    <row r="44">
      <c r="D44" s="478" t="n"/>
      <c r="E44" s="478" t="n"/>
      <c r="F44" s="478" t="n"/>
      <c r="G44" s="478" t="n"/>
      <c r="H44" s="478" t="n"/>
      <c r="I44" s="478" t="n"/>
      <c r="J44" s="478" t="n"/>
      <c r="K44" s="478" t="n"/>
    </row>
    <row r="45">
      <c r="D45" s="478" t="n"/>
      <c r="E45" s="478" t="n"/>
      <c r="F45" s="478" t="n"/>
      <c r="G45" s="478" t="n"/>
      <c r="H45" s="478" t="n"/>
      <c r="I45" s="478" t="n"/>
      <c r="J45" s="478" t="n"/>
      <c r="K45" s="478" t="n"/>
    </row>
    <row r="46">
      <c r="D46" s="478" t="n"/>
      <c r="E46" s="478" t="n"/>
      <c r="F46" s="478" t="n"/>
      <c r="G46" s="478" t="n"/>
      <c r="H46" s="478" t="n"/>
      <c r="I46" s="478" t="n"/>
      <c r="J46" s="478" t="n"/>
      <c r="K46" s="478" t="n"/>
    </row>
    <row r="47">
      <c r="D47" s="478" t="n"/>
      <c r="E47" s="478" t="n"/>
      <c r="F47" s="478" t="n"/>
      <c r="G47" s="478" t="n"/>
      <c r="H47" s="478" t="n"/>
      <c r="I47" s="478" t="n"/>
      <c r="J47" s="478" t="n"/>
      <c r="K47" s="478" t="n"/>
    </row>
    <row r="48">
      <c r="D48" s="478" t="n"/>
      <c r="E48" s="478" t="n"/>
      <c r="F48" s="478" t="n"/>
      <c r="G48" s="478" t="n"/>
      <c r="H48" s="478" t="n"/>
      <c r="I48" s="478" t="n"/>
      <c r="J48" s="478" t="n"/>
      <c r="K48" s="478" t="n"/>
    </row>
    <row r="49">
      <c r="D49" s="478" t="n"/>
      <c r="E49" s="478" t="n"/>
      <c r="F49" s="478" t="n"/>
      <c r="G49" s="478" t="n"/>
      <c r="H49" s="478" t="n"/>
      <c r="I49" s="478" t="n"/>
      <c r="J49" s="478" t="n"/>
      <c r="K49" s="478" t="n"/>
    </row>
    <row r="50">
      <c r="D50" s="478" t="n"/>
      <c r="E50" s="478" t="n"/>
      <c r="F50" s="478" t="n"/>
      <c r="G50" s="478" t="n"/>
      <c r="H50" s="478" t="n"/>
      <c r="I50" s="478" t="n"/>
      <c r="J50" s="478" t="n"/>
      <c r="K50" s="478" t="n"/>
    </row>
    <row r="51">
      <c r="D51" s="478" t="n"/>
      <c r="E51" s="478" t="n"/>
      <c r="F51" s="478" t="n"/>
      <c r="G51" s="478" t="n"/>
      <c r="H51" s="478" t="n"/>
      <c r="I51" s="478" t="n"/>
      <c r="J51" s="478" t="n"/>
      <c r="K51" s="478" t="n"/>
    </row>
    <row r="52">
      <c r="D52" s="478" t="n"/>
      <c r="E52" s="478" t="n"/>
      <c r="F52" s="478" t="n"/>
      <c r="G52" s="478" t="n"/>
      <c r="H52" s="478" t="n"/>
      <c r="I52" s="478" t="n"/>
      <c r="J52" s="478" t="n"/>
      <c r="K52" s="478" t="n"/>
    </row>
  </sheetData>
  <pageMargins bottom="1.025" footer="0.7875" header="0.7875" left="0.7875" right="0.7875" top="1.025"/>
  <pageSetup firstPageNumber="0" horizontalDpi="300" orientation="landscape" paperSize="9" verticalDpi="300"/>
  <headerFooter alignWithMargins="0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2020-03-31T11:38:05Z</dcterms:created>
  <dcterms:modified xsi:type="dcterms:W3CDTF">2020-05-26T12:11:42Z</dcterms:modified>
  <cp:lastModifiedBy>El</cp:lastModifiedBy>
</cp:coreProperties>
</file>