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BAC42C25-38FE-4178-981A-F14FBFECCE2D}" xr6:coauthVersionLast="47" xr6:coauthVersionMax="47" xr10:uidLastSave="{00000000-0000-0000-0000-000000000000}"/>
  <bookViews>
    <workbookView xWindow="3672" yWindow="1920" windowWidth="23040" windowHeight="12660" activeTab="5" xr2:uid="{3A402A96-1A84-4CF4-8F38-061AB6A5F0BB}"/>
  </bookViews>
  <sheets>
    <sheet name="ENUM" sheetId="1" r:id="rId1"/>
    <sheet name="DATE" sheetId="2" r:id="rId2"/>
    <sheet name="INSTRUMENT" sheetId="3" r:id="rId3"/>
    <sheet name="CURVE" sheetId="4" r:id="rId4"/>
    <sheet name="PWFLAT" sheetId="5" r:id="rId5"/>
    <sheet name="SECURITY" sheetId="6" r:id="rId6"/>
  </sheets>
  <definedNames>
    <definedName name="calendar" localSheetId="5">SECURITY!$C$9</definedName>
    <definedName name="cash">INSTRUMENT!$C$4:$E$4</definedName>
    <definedName name="coupon" localSheetId="5">SECURITY!$C$5</definedName>
    <definedName name="curve" localSheetId="4">PWFLAT!$C$2</definedName>
    <definedName name="curve">CURVE!$C$2</definedName>
    <definedName name="date">DATE!$C$2</definedName>
    <definedName name="dated" localSheetId="5">SECURITY!$C$3</definedName>
    <definedName name="day_count" localSheetId="5">SECURITY!$C$7</definedName>
    <definedName name="face" localSheetId="5">SECURITY!$C$10</definedName>
    <definedName name="frequency" localSheetId="5">SECURITY!$C$6</definedName>
    <definedName name="handle" localSheetId="5">SECURITY!$C$10</definedName>
    <definedName name="instrument" localSheetId="5">SECURITY!$F$3</definedName>
    <definedName name="instrument">INSTRUMENT!$C$2</definedName>
    <definedName name="maturity" localSheetId="5">SECURITY!$C$4</definedName>
    <definedName name="month">DATE!$C$8</definedName>
    <definedName name="oas">SECURITY!$K$8</definedName>
    <definedName name="price">SECURITY!$K$3</definedName>
    <definedName name="pvdate">SECURITY!$F$2</definedName>
    <definedName name="rate" localSheetId="3">CURVE!$C$3</definedName>
    <definedName name="rate" localSheetId="4">PWFLAT!$C$4:$E$4</definedName>
    <definedName name="roll" localSheetId="5">SECURITY!$C$8</definedName>
    <definedName name="security">SECURITY!$C$2</definedName>
    <definedName name="time" localSheetId="3">_xlfn.ANCHORARRAY(CURVE!$E$4)</definedName>
    <definedName name="time" localSheetId="4">PWFLAT!$C$3:$E$3</definedName>
    <definedName name="time">INSTRUMENT!$C$3:$E$3</definedName>
    <definedName name="year">DATE!$C$10</definedName>
    <definedName name="years">DATE!$C$3</definedName>
    <definedName name="yield">SECURITY!$K$2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F2" i="6" s="1"/>
  <c r="E4" i="5"/>
  <c r="E4" i="3"/>
  <c r="C3" i="4"/>
  <c r="C10" i="2"/>
  <c r="C8" i="2"/>
  <c r="C3" i="2"/>
  <c r="C2" i="2"/>
  <c r="B3" i="1" a="1"/>
  <c r="C4" i="1" a="1"/>
  <c r="D4" i="1" a="1"/>
  <c r="E4" i="1" a="1"/>
  <c r="A1" i="1" a="1"/>
  <c r="K2" i="6" a="1"/>
  <c r="G4" i="5" a="1"/>
  <c r="E4" i="4" a="1"/>
  <c r="C9" i="2" a="1"/>
  <c r="C2" i="4" a="1"/>
  <c r="C11" i="2" a="1"/>
  <c r="C2" i="6" a="1"/>
  <c r="C2" i="5" a="1"/>
  <c r="C2" i="3" a="1"/>
  <c r="C4" i="2" a="1"/>
  <c r="K2" i="6" l="1"/>
  <c r="C2" i="6"/>
  <c r="G4" i="5"/>
  <c r="C2" i="5"/>
  <c r="A1" i="1"/>
  <c r="E4" i="4"/>
  <c r="C2" i="4"/>
  <c r="C2" i="3"/>
  <c r="B3" i="1"/>
  <c r="C11" i="2"/>
  <c r="D10" i="2" s="1"/>
  <c r="C9" i="2"/>
  <c r="D8" i="2" s="1"/>
  <c r="C4" i="2"/>
  <c r="E4" i="1"/>
  <c r="D4" i="1"/>
  <c r="C4" i="1"/>
  <c r="B4" i="1" a="1"/>
  <c r="L2" i="6" a="1"/>
  <c r="J4" i="5" a="1"/>
  <c r="C5" i="3" a="1"/>
  <c r="G4" i="4" a="1"/>
  <c r="F3" i="6" a="1"/>
  <c r="D3" i="6" a="1"/>
  <c r="H4" i="5" a="1"/>
  <c r="H4" i="4" a="1"/>
  <c r="C7" i="2" a="1"/>
  <c r="I4" i="5" a="1"/>
  <c r="F4" i="4" a="1"/>
  <c r="C5" i="2" a="1"/>
  <c r="L6" i="6" a="1"/>
  <c r="L3" i="6" a="1"/>
  <c r="L3" i="6" l="1"/>
  <c r="L6" i="6"/>
  <c r="L2" i="6"/>
  <c r="F3" i="6"/>
  <c r="D3" i="6"/>
  <c r="J4" i="5"/>
  <c r="I4" i="5"/>
  <c r="H4" i="5"/>
  <c r="H4" i="4"/>
  <c r="G4" i="4"/>
  <c r="F4" i="4"/>
  <c r="C5" i="3"/>
  <c r="B4" i="1"/>
  <c r="C7" i="2"/>
  <c r="C5" i="2"/>
  <c r="D5" i="2" s="1"/>
  <c r="G3" i="6" a="1"/>
  <c r="K9" i="6" a="1"/>
  <c r="K7" i="6" a="1"/>
  <c r="K6" i="6" a="1"/>
  <c r="K5" i="6" a="1"/>
  <c r="K3" i="6" a="1"/>
  <c r="K9" i="6" l="1"/>
  <c r="K7" i="6"/>
  <c r="K6" i="6"/>
  <c r="K5" i="6"/>
  <c r="K3" i="6"/>
  <c r="H2" i="6"/>
  <c r="G3" i="6"/>
  <c r="K10" i="6" a="1"/>
  <c r="I3" i="6" a="1"/>
  <c r="K4" i="6" a="1"/>
  <c r="K10" i="6" l="1"/>
  <c r="K4" i="6"/>
  <c r="L4" i="6" s="1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<sst xmlns="http://schemas.openxmlformats.org/spreadsheetml/2006/main" count="55" uniqueCount="42">
  <si>
    <t>date</t>
  </si>
  <si>
    <t>years</t>
  </si>
  <si>
    <t>ADDYEARS</t>
  </si>
  <si>
    <t>DIFFYEARS</t>
  </si>
  <si>
    <t>day_count</t>
  </si>
  <si>
    <t>DAY_COUNT</t>
  </si>
  <si>
    <t>month</t>
  </si>
  <si>
    <t>year</t>
  </si>
  <si>
    <t>ADDMONTH</t>
  </si>
  <si>
    <t>ADDYEAR</t>
  </si>
  <si>
    <t>TMX_DAY_COUNT_30_360</t>
  </si>
  <si>
    <t>TMX_BUSINESS_DAY_NONE</t>
  </si>
  <si>
    <t>TMX_FREQUENCY_NONE</t>
  </si>
  <si>
    <t>TMX_HOLIDAY_CALENDAR_NONE</t>
  </si>
  <si>
    <t>\TMX.INSTRUMENT</t>
  </si>
  <si>
    <t>time</t>
  </si>
  <si>
    <t>cash</t>
  </si>
  <si>
    <t>\TMX.CURVE.CONSTANT</t>
  </si>
  <si>
    <t>rate</t>
  </si>
  <si>
    <t>forward</t>
  </si>
  <si>
    <t>spot</t>
  </si>
  <si>
    <t>discount</t>
  </si>
  <si>
    <t>TMX_BUSINESS_DAY_FOLLOWING</t>
  </si>
  <si>
    <t>\TMX.CURVE.PWFLAT</t>
  </si>
  <si>
    <t>\TMX.SECURITY.BOND</t>
  </si>
  <si>
    <t>dated</t>
  </si>
  <si>
    <t>maturity</t>
  </si>
  <si>
    <t>coupon</t>
  </si>
  <si>
    <t>frequency</t>
  </si>
  <si>
    <t>TMX_FREQUENCY_SEMIANNUALLY</t>
  </si>
  <si>
    <t>roll</t>
  </si>
  <si>
    <t>calendar</t>
  </si>
  <si>
    <t>face</t>
  </si>
  <si>
    <t>pvdate</t>
  </si>
  <si>
    <t>instrument</t>
  </si>
  <si>
    <t>yield</t>
  </si>
  <si>
    <t>price</t>
  </si>
  <si>
    <t>present</t>
  </si>
  <si>
    <t>duration</t>
  </si>
  <si>
    <t>convexity</t>
  </si>
  <si>
    <t>oas</t>
  </si>
  <si>
    <t>TMX_DAY_COUNT_ACTUAL_360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</si>
</sst>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0"/>
  </numFmts>
  <fonts count="6" x14ac:knownFonts="1">
    <font>
      <sz val="14"/>
      <color theme="1"/>
      <name val="Aptos Narrow"/>
      <family val="2"/>
    </font>
    <font>
      <b/>
      <sz val="14"/>
      <color theme="1"/>
      <name val="Aptos Narrow"/>
      <family val="2"/>
    </font>
    <font>
      <sz val="8"/>
      <color indexed="63"/>
      <name val="Aptos Narrow"/>
      <family val="2"/>
    </font>
    <font>
      <sz val="14"/>
      <color rgb="FF3F3F76"/>
      <name val="Aptos Narrow"/>
      <family val="2"/>
    </font>
    <font>
      <b/>
      <sz val="14"/>
      <color rgb="FF3F3F3F"/>
      <name val="Aptos Narrow"/>
      <family val="2"/>
    </font>
    <font>
      <i/>
      <sz val="14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164" fontId="2" fillId="0" borderId="0">
      <alignment horizontal="center" vertical="center"/>
    </xf>
    <xf numFmtId="0" fontId="3" fillId="2" borderId="2" applyNumberFormat="0" applyAlignment="0" applyProtection="0"/>
    <xf numFmtId="0" fontId="4" fillId="3" borderId="3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4" fontId="3" fillId="2" borderId="2" xfId="2" applyNumberFormat="1"/>
    <xf numFmtId="0" fontId="3" fillId="2" borderId="2" xfId="2"/>
    <xf numFmtId="14" fontId="4" fillId="3" borderId="3" xfId="3" applyNumberFormat="1"/>
    <xf numFmtId="0" fontId="3" fillId="2" borderId="2" xfId="2" applyAlignment="1">
      <alignment horizontal="right"/>
    </xf>
    <xf numFmtId="165" fontId="4" fillId="3" borderId="3" xfId="3" applyNumberForma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1">
      <alignment horizontal="center" vertical="center"/>
    </xf>
    <xf numFmtId="0" fontId="4" fillId="3" borderId="3" xfId="3"/>
    <xf numFmtId="14" fontId="0" fillId="0" borderId="0" xfId="0" applyNumberFormat="1"/>
    <xf numFmtId="9" fontId="3" fillId="2" borderId="2" xfId="2" applyNumberFormat="1"/>
  </cellXfs>
  <cellStyles count="4">
    <cellStyle name="Handle" xfId="1" xr:uid="{C1981898-4436-4603-B8E3-4A7A65278C84}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CURVE!$F$3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CURVE!$E$4:$E$14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CURVE!$F$4:$F$14</c:f>
              <c:numCache>
                <c:formatCode>General</c:formatCode>
                <c:ptCount val="11"/>
                <c:pt idx="0">
                  <c:v>0.12455791375328817</c:v>
                </c:pt>
                <c:pt idx="1">
                  <c:v>0.12455791375328817</c:v>
                </c:pt>
                <c:pt idx="2">
                  <c:v>0.12455791375328817</c:v>
                </c:pt>
                <c:pt idx="3">
                  <c:v>0.12455791375328817</c:v>
                </c:pt>
                <c:pt idx="4">
                  <c:v>0.12455791375328817</c:v>
                </c:pt>
                <c:pt idx="5">
                  <c:v>0.12455791375328817</c:v>
                </c:pt>
                <c:pt idx="6">
                  <c:v>0.12455791375328817</c:v>
                </c:pt>
                <c:pt idx="7">
                  <c:v>0.12455791375328817</c:v>
                </c:pt>
                <c:pt idx="8">
                  <c:v>0.12455791375328817</c:v>
                </c:pt>
                <c:pt idx="9">
                  <c:v>0.12455791375328817</c:v>
                </c:pt>
                <c:pt idx="10">
                  <c:v>0.12455791375328817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B6-494B-AE55-CD0CD6494A5B}"/>
            </c:ext>
          </c:extLst>
        </c:ser>
        <c:ser>
          <c:idx val="1"/>
          <c:order val="1"/>
          <c:tx>
            <c:strRef>
              <c:f>CURVE!$G$3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CURVE!$E$4:$E$14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CURVE!$G$4:$G$14</c:f>
              <c:numCache>
                <c:formatCode>General</c:formatCode>
                <c:ptCount val="11"/>
                <c:pt idx="0">
                  <c:v>0.12455791375328817</c:v>
                </c:pt>
                <c:pt idx="1">
                  <c:v>0.12455791375328817</c:v>
                </c:pt>
                <c:pt idx="2">
                  <c:v>0.12455791375328817</c:v>
                </c:pt>
                <c:pt idx="3">
                  <c:v>0.12455791375328817</c:v>
                </c:pt>
                <c:pt idx="4">
                  <c:v>0.12455791375328817</c:v>
                </c:pt>
                <c:pt idx="5">
                  <c:v>0.12455791375328817</c:v>
                </c:pt>
                <c:pt idx="6">
                  <c:v>0.12455791375328817</c:v>
                </c:pt>
                <c:pt idx="7">
                  <c:v>0.12455791375328819</c:v>
                </c:pt>
                <c:pt idx="8">
                  <c:v>0.12455791375328817</c:v>
                </c:pt>
                <c:pt idx="9">
                  <c:v>0.12455791375328817</c:v>
                </c:pt>
                <c:pt idx="10">
                  <c:v>0.12455791375328817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B6-494B-AE55-CD0CD6494A5B}"/>
            </c:ext>
          </c:extLst>
        </c:ser>
        <c:ser>
          <c:idx val="2"/>
          <c:order val="2"/>
          <c:tx>
            <c:strRef>
              <c:f>CURVE!$H$3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CURVE!$E$4:$E$14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CURVE!$H$4:$H$14</c:f>
              <c:numCache>
                <c:formatCode>General</c:formatCode>
                <c:ptCount val="11"/>
                <c:pt idx="0">
                  <c:v>1</c:v>
                </c:pt>
                <c:pt idx="1">
                  <c:v>0.98762146091527359</c:v>
                </c:pt>
                <c:pt idx="2">
                  <c:v>0.97539615006041913</c:v>
                </c:pt>
                <c:pt idx="3">
                  <c:v>0.96332217069380455</c:v>
                </c:pt>
                <c:pt idx="4">
                  <c:v>0.9513976495526878</c:v>
                </c:pt>
                <c:pt idx="5">
                  <c:v>0.93962073656258294</c:v>
                </c:pt>
                <c:pt idx="6">
                  <c:v>0.9279896045502235</c:v>
                </c:pt>
                <c:pt idx="7">
                  <c:v>0.91650244896007871</c:v>
                </c:pt>
                <c:pt idx="8">
                  <c:v>0.90515748757437886</c:v>
                </c:pt>
                <c:pt idx="9">
                  <c:v>0.89395296023660664</c:v>
                </c:pt>
                <c:pt idx="10">
                  <c:v>0.88288712857841078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B6-494B-AE55-CD0CD6494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119103"/>
        <c:axId val="1918117663"/>
      </c:scatterChart>
      <c:valAx>
        <c:axId val="191811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17663"/>
        <c:crosses val="autoZero"/>
        <c:crossBetween val="midCat"/>
      </c:valAx>
      <c:valAx>
        <c:axId val="19181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1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PWFLAT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PWFLAT!$H$3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PWFLAT!$G$4:$G$34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</c:numCache>
            </c:numRef>
          </c:xVal>
          <c:yVal>
            <c:numRef>
              <c:f>PWFLAT!$H$4:$H$34</c:f>
              <c:numCache>
                <c:formatCode>General</c:formatCode>
                <c:ptCount val="31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6.4847032858165052E-2</c:v>
                </c:pt>
                <c:pt idx="22">
                  <c:v>6.4847032858165052E-2</c:v>
                </c:pt>
                <c:pt idx="23">
                  <c:v>6.4847032858165052E-2</c:v>
                </c:pt>
                <c:pt idx="24">
                  <c:v>6.4847032858165052E-2</c:v>
                </c:pt>
                <c:pt idx="25">
                  <c:v>6.4847032858165052E-2</c:v>
                </c:pt>
                <c:pt idx="26">
                  <c:v>6.4847032858165052E-2</c:v>
                </c:pt>
                <c:pt idx="27">
                  <c:v>6.4847032858165052E-2</c:v>
                </c:pt>
                <c:pt idx="28">
                  <c:v>6.4847032858165052E-2</c:v>
                </c:pt>
                <c:pt idx="29">
                  <c:v>6.4847032858165052E-2</c:v>
                </c:pt>
                <c:pt idx="30">
                  <c:v>6.4847032858165052E-2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6-4983-A248-DF55780F64C0}"/>
            </c:ext>
          </c:extLst>
        </c:ser>
        <c:ser>
          <c:idx val="1"/>
          <c:order val="1"/>
          <c:tx>
            <c:strRef>
              <c:f>PWFLAT!$I$3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PWFLAT!$G$4:$G$34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</c:numCache>
            </c:numRef>
          </c:xVal>
          <c:yVal>
            <c:numRef>
              <c:f>PWFLAT!$I$4:$I$34</c:f>
              <c:numCache>
                <c:formatCode>General</c:formatCode>
                <c:ptCount val="31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2.9090909090909091E-2</c:v>
                </c:pt>
                <c:pt idx="12">
                  <c:v>2.8333333333333332E-2</c:v>
                </c:pt>
                <c:pt idx="13">
                  <c:v>2.769230769230769E-2</c:v>
                </c:pt>
                <c:pt idx="14">
                  <c:v>2.7142857142857146E-2</c:v>
                </c:pt>
                <c:pt idx="15">
                  <c:v>2.6666666666666668E-2</c:v>
                </c:pt>
                <c:pt idx="16">
                  <c:v>2.6249999999999999E-2</c:v>
                </c:pt>
                <c:pt idx="17">
                  <c:v>2.5882352941176471E-2</c:v>
                </c:pt>
                <c:pt idx="18">
                  <c:v>2.5555555555555554E-2</c:v>
                </c:pt>
                <c:pt idx="19">
                  <c:v>2.5263157894736842E-2</c:v>
                </c:pt>
                <c:pt idx="20">
                  <c:v>2.5000000000000001E-2</c:v>
                </c:pt>
                <c:pt idx="21">
                  <c:v>2.6897477755150719E-2</c:v>
                </c:pt>
                <c:pt idx="22">
                  <c:v>2.8622457532560465E-2</c:v>
                </c:pt>
                <c:pt idx="23">
                  <c:v>3.019743906845632E-2</c:v>
                </c:pt>
                <c:pt idx="24">
                  <c:v>3.1641172143027516E-2</c:v>
                </c:pt>
                <c:pt idx="25">
                  <c:v>3.2969406571633011E-2</c:v>
                </c:pt>
                <c:pt idx="26">
                  <c:v>3.4195469121115013E-2</c:v>
                </c:pt>
                <c:pt idx="27">
                  <c:v>3.5330712222487244E-2</c:v>
                </c:pt>
                <c:pt idx="28">
                  <c:v>3.6384866530904302E-2</c:v>
                </c:pt>
                <c:pt idx="29">
                  <c:v>3.7366320542189156E-2</c:v>
                </c:pt>
                <c:pt idx="30">
                  <c:v>3.8282344286055016E-2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6-4983-A248-DF55780F6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376160"/>
        <c:axId val="597377600"/>
      </c:scatterChart>
      <c:valAx>
        <c:axId val="59737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77600"/>
        <c:crosses val="autoZero"/>
        <c:crossBetween val="midCat"/>
      </c:valAx>
      <c:valAx>
        <c:axId val="59737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7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AD98C-92E1-20F0-B07D-16A68E0ED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163830</xdr:colOff>
      <xdr:row>1</xdr:row>
      <xdr:rowOff>83820</xdr:rowOff>
    </xdr:from>
    <xdr:to>
      <xdr:col>15</xdr:col>
      <xdr:colOff>773430</xdr:colOff>
      <xdr:row>13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EFABE1-8D9F-C63F-CD19-5A5F6AB3F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F7C1-DDD6-4FB2-B7CE-9039C58C1DFB}">
  <dimension ref="A1:G8"/>
  <sheetViews>
    <sheetView workbookViewId="0">
      <selection activeCell="D2" sqref="D2"/>
    </sheetView>
  </sheetViews>
  <sheetFormatPr defaultRowHeight="18" x14ac:dyDescent="0.35"/>
  <cols>
    <col min="1" max="1" width="3.58203125" customWidth="1"/>
    <col min="2" max="2" width="36.6640625" bestFit="1" customWidth="1"/>
    <col min="3" max="3" width="28.83203125" bestFit="1" customWidth="1"/>
    <col min="4" max="4" width="28.1640625" bestFit="1" customWidth="1"/>
    <col min="5" max="5" width="30.58203125" bestFit="1" customWidth="1"/>
    <col min="6" max="6" width="36.6640625" bestFit="1" customWidth="1"/>
    <col min="7" max="7" width="34.83203125" bestFit="1" customWidth="1"/>
  </cols>
  <sheetData>
    <row r="1" spans="1:7" x14ac:dyDescent="0.35">
      <c r="A1" cm="1">
        <f t="array" ref="A1">_xll.XLL.ALERT.LEVEL(7)</f>
        <v>7</v>
      </c>
    </row>
    <row r="2" spans="1:7" x14ac:dyDescent="0.35">
      <c r="B2" s="1" t="s">
        <v>22</v>
      </c>
      <c r="C2" s="1" t="s">
        <v>10</v>
      </c>
      <c r="D2" s="1" t="s">
        <v>12</v>
      </c>
      <c r="E2" s="1" t="s">
        <v>13</v>
      </c>
      <c r="F2" s="2"/>
      <c r="G2" s="2"/>
    </row>
    <row r="3" spans="1:7" x14ac:dyDescent="0.35">
      <c r="B3" s="3" t="str" cm="1">
        <f t="array" ref="B3:E3">_xll.TMX_ENUM()</f>
        <v>TMX_ENUM_BUSINESS_DAY</v>
      </c>
      <c r="C3" s="3" t="str">
        <v>TMX_ENUM_DAY_COUNT</v>
      </c>
      <c r="D3" s="3" t="str">
        <v>TMX_ENUM_FREQUENCY</v>
      </c>
      <c r="E3" s="3" t="str">
        <v>TMX_ENUM_HOLIDAY_CALENDAR</v>
      </c>
    </row>
    <row r="4" spans="1:7" x14ac:dyDescent="0.35">
      <c r="B4" s="2" t="str" cm="1">
        <f t="array" ref="B4:B8">TRANSPOSE(_xll.ENUM(B3))</f>
        <v>TMX_BUSINESS_DAY_NONE</v>
      </c>
      <c r="C4" s="2" t="str" cm="1">
        <f t="array" ref="C4:C8">TRANSPOSE(_xll.ENUM(C3))</f>
        <v>TMX_DAY_COUNT_30_360</v>
      </c>
      <c r="D4" s="2" t="str" cm="1">
        <f t="array" ref="D4:D8">TRANSPOSE(_xll.ENUM(D3))</f>
        <v>TMX_FREQUENCY_NONE</v>
      </c>
      <c r="E4" s="2" t="str" cm="1">
        <f t="array" ref="E4:E8">TRANSPOSE(_xll.ENUM(E3))</f>
        <v>TMX_HOLIDAY_CALENDAR_NONE</v>
      </c>
    </row>
    <row r="5" spans="1:7" x14ac:dyDescent="0.35">
      <c r="B5" s="2" t="str">
        <v>TMX_BUSINESS_DAY_FOLLOWING</v>
      </c>
      <c r="C5" s="2" t="str">
        <v>TMX_DAY_COUNT_30E_360</v>
      </c>
      <c r="D5" s="2" t="str">
        <v>TMX_FREQUENCY_ANNUALLY</v>
      </c>
      <c r="E5" s="2" t="str">
        <v>TMX_HOLIDAY_CALENDAR_WEEKEND</v>
      </c>
    </row>
    <row r="6" spans="1:7" x14ac:dyDescent="0.35">
      <c r="B6" s="2" t="str">
        <v>TMX_BUSINESS_DAY_PREVIOUS</v>
      </c>
      <c r="C6" s="2" t="str">
        <v>TMX_DAY_COUNT_ACTUAL_ACTUAL</v>
      </c>
      <c r="D6" s="2" t="str">
        <v>TMX_FREQUENCY_SEMIANNUALLY</v>
      </c>
      <c r="E6" s="2" t="str">
        <v>TMX_HOLIDAY_CALENDAR_SIFMA</v>
      </c>
    </row>
    <row r="7" spans="1:7" x14ac:dyDescent="0.35">
      <c r="B7" s="2" t="str">
        <v>TMX_BUSINESS_DAY_MODIFIED_FOLLOWING</v>
      </c>
      <c r="C7" s="2" t="str">
        <v>TMX_DAY_COUNT_ACTUAL_360</v>
      </c>
      <c r="D7" s="2" t="str">
        <v>TMX_FREQUENCY_QUARTERLY</v>
      </c>
      <c r="E7" s="2" t="str">
        <v>TMX_HOLIDAY_CALENDAR_NYSE</v>
      </c>
    </row>
    <row r="8" spans="1:7" x14ac:dyDescent="0.35">
      <c r="B8" s="2" t="str">
        <v>TMX_BUSINESS_DAY_MODIFIED_PREVIOUS</v>
      </c>
      <c r="C8" s="2" t="str">
        <v>TMX_DAY_COUNT_ACTUAL_365</v>
      </c>
      <c r="D8" s="2" t="str">
        <v>TMX_FREQUENCY_MONTHLY</v>
      </c>
      <c r="E8" s="2" t="str">
        <v>TMX_HOLIDAY_CALENDAR_FED</v>
      </c>
    </row>
  </sheetData>
  <dataValidations count="4">
    <dataValidation type="list" allowBlank="1" showInputMessage="1" showErrorMessage="1" sqref="B2" xr:uid="{9919387A-B896-40F5-A9BA-1BA7E795D856}">
      <formula1>_xlfn.ANCHORARRAY($B$4)</formula1>
    </dataValidation>
    <dataValidation type="list" allowBlank="1" showInputMessage="1" showErrorMessage="1" sqref="C2" xr:uid="{E30B13AE-F0EA-4AC2-A4FE-F9A59196223A}">
      <formula1>_xlfn.ANCHORARRAY($C$4)</formula1>
    </dataValidation>
    <dataValidation type="list" allowBlank="1" showInputMessage="1" showErrorMessage="1" sqref="D2" xr:uid="{3A6FDA62-33A2-4E6F-A84D-017FA894ADA2}">
      <formula1>_xlfn.ANCHORARRAY($D$4)</formula1>
    </dataValidation>
    <dataValidation type="list" allowBlank="1" showInputMessage="1" showErrorMessage="1" sqref="E2" xr:uid="{465BAEF1-DCD4-4B0E-845D-94833E126F01}">
      <formula1>_xlfn.ANCHORARRAY($E$4)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62F1-8F58-47A9-9A7A-CD6C7853C636}">
  <dimension ref="B2:D11"/>
  <sheetViews>
    <sheetView workbookViewId="0">
      <selection activeCell="C11" sqref="C11"/>
    </sheetView>
  </sheetViews>
  <sheetFormatPr defaultRowHeight="18" x14ac:dyDescent="0.35"/>
  <cols>
    <col min="1" max="1" width="3.6640625" customWidth="1"/>
    <col min="3" max="3" width="14.1640625" customWidth="1"/>
    <col min="4" max="4" width="11.4140625" bestFit="1" customWidth="1"/>
  </cols>
  <sheetData>
    <row r="2" spans="2:4" x14ac:dyDescent="0.35">
      <c r="B2" s="1" t="s">
        <v>0</v>
      </c>
      <c r="C2" s="4">
        <f ca="1">TODAY()</f>
        <v>45524</v>
      </c>
    </row>
    <row r="3" spans="2:4" x14ac:dyDescent="0.35">
      <c r="B3" s="1" t="s">
        <v>1</v>
      </c>
      <c r="C3" s="5">
        <f ca="1">10*RAND()</f>
        <v>9.6762549366774646</v>
      </c>
    </row>
    <row r="4" spans="2:4" x14ac:dyDescent="0.35">
      <c r="B4" t="s">
        <v>2</v>
      </c>
      <c r="C4" s="6" cm="1">
        <f t="array" aca="1" ref="C4" ca="1">_xll.TMX.DATE.ADDYEARS(date, years)</f>
        <v>49058.179543709419</v>
      </c>
    </row>
    <row r="5" spans="2:4" x14ac:dyDescent="0.35">
      <c r="B5" t="s">
        <v>3</v>
      </c>
      <c r="C5" s="8" cm="1">
        <f t="array" aca="1" ref="C5" ca="1">_xll.TMX.DATE.DIFFYEARS(C4,date)</f>
        <v>9.6762549366774646</v>
      </c>
      <c r="D5">
        <f ca="1">C5-years</f>
        <v>0</v>
      </c>
    </row>
    <row r="6" spans="2:4" x14ac:dyDescent="0.35">
      <c r="B6" t="s">
        <v>4</v>
      </c>
      <c r="C6" s="7" t="s">
        <v>10</v>
      </c>
    </row>
    <row r="7" spans="2:4" x14ac:dyDescent="0.35">
      <c r="B7" s="1" t="s">
        <v>5</v>
      </c>
      <c r="C7" s="8" cm="1">
        <f t="array" aca="1" ref="C7" ca="1">_xll.TMX.DATE.DAY_COUNT(date, C4, day_count)</f>
        <v>9.6777777777777771</v>
      </c>
    </row>
    <row r="8" spans="2:4" x14ac:dyDescent="0.35">
      <c r="B8" s="1" t="s">
        <v>6</v>
      </c>
      <c r="C8" s="5">
        <f ca="1">RANDBETWEEN(0,24)</f>
        <v>15</v>
      </c>
      <c r="D8">
        <f ca="1">12*(YEAR(C9)-YEAR(date))+MONTH(C9)-MONTH(date)-month</f>
        <v>0</v>
      </c>
    </row>
    <row r="9" spans="2:4" x14ac:dyDescent="0.35">
      <c r="B9" s="1" t="s">
        <v>8</v>
      </c>
      <c r="C9" s="6" cm="1">
        <f t="array" aca="1" ref="C9" ca="1">_xll.TMX.DATE.ADDMONTH(date, month)</f>
        <v>45981</v>
      </c>
    </row>
    <row r="10" spans="2:4" x14ac:dyDescent="0.35">
      <c r="B10" s="1" t="s">
        <v>7</v>
      </c>
      <c r="C10" s="5">
        <f ca="1">RANDBETWEEN(0,30)</f>
        <v>13</v>
      </c>
      <c r="D10">
        <f ca="1">YEAR(C11)-YEAR(date)-year</f>
        <v>0</v>
      </c>
    </row>
    <row r="11" spans="2:4" x14ac:dyDescent="0.35">
      <c r="B11" s="1" t="s">
        <v>9</v>
      </c>
      <c r="C11" s="6" cm="1">
        <f t="array" aca="1" ref="C11" ca="1">_xll.TMX.DATE.ADDYEAR(date, year)</f>
        <v>50272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1DBE0A-1513-454F-93BC-AB55D78FC1B2}">
          <x14:formula1>
            <xm:f>_xlfn.ANCHORARRAY(ENUM!$C$4)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034C-6C49-4FB0-9B98-23A7DA03C217}">
  <dimension ref="B2:E6"/>
  <sheetViews>
    <sheetView workbookViewId="0">
      <selection activeCell="C2" sqref="C2"/>
    </sheetView>
  </sheetViews>
  <sheetFormatPr defaultRowHeight="18" x14ac:dyDescent="0.35"/>
  <cols>
    <col min="1" max="1" width="3.6640625" customWidth="1"/>
    <col min="2" max="2" width="16.5" bestFit="1" customWidth="1"/>
    <col min="3" max="3" width="9.6640625" customWidth="1"/>
  </cols>
  <sheetData>
    <row r="2" spans="2:5" x14ac:dyDescent="0.35">
      <c r="B2" s="9" t="s">
        <v>14</v>
      </c>
      <c r="C2" s="11" cm="1">
        <f t="array" aca="1" ref="C2" ca="1">_xll.\TMX.INSTRUMENT(time, cash)</f>
        <v>2427502120704</v>
      </c>
    </row>
    <row r="3" spans="2:5" x14ac:dyDescent="0.35">
      <c r="B3" s="10" t="s">
        <v>15</v>
      </c>
      <c r="C3" s="5">
        <v>1</v>
      </c>
      <c r="D3" s="5">
        <v>2</v>
      </c>
      <c r="E3" s="5">
        <v>3</v>
      </c>
    </row>
    <row r="4" spans="2:5" x14ac:dyDescent="0.35">
      <c r="B4" s="10" t="s">
        <v>16</v>
      </c>
      <c r="C4" s="5">
        <v>0.1</v>
      </c>
      <c r="D4" s="5">
        <v>0.2</v>
      </c>
      <c r="E4" s="5">
        <f ca="1">RAND()</f>
        <v>0.59320479174400587</v>
      </c>
    </row>
    <row r="5" spans="2:5" x14ac:dyDescent="0.35">
      <c r="C5" s="12" cm="1">
        <f t="array" aca="1" ref="C5:E6" ca="1">_xll.TMX.INSTRUMENT(instrument)</f>
        <v>1</v>
      </c>
      <c r="D5" s="12">
        <f ca="1"/>
        <v>2</v>
      </c>
      <c r="E5" s="12">
        <f ca="1"/>
        <v>3</v>
      </c>
    </row>
    <row r="6" spans="2:5" x14ac:dyDescent="0.35">
      <c r="C6" s="12">
        <f ca="1"/>
        <v>0.1</v>
      </c>
      <c r="D6" s="12">
        <f ca="1"/>
        <v>0.2</v>
      </c>
      <c r="E6" s="12">
        <f ca="1"/>
        <v>0.59320479174400587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1136-3E84-4368-AF4B-1C1E45DB60C7}">
  <dimension ref="B2:H14"/>
  <sheetViews>
    <sheetView workbookViewId="0">
      <selection activeCell="C2" sqref="C2"/>
    </sheetView>
  </sheetViews>
  <sheetFormatPr defaultRowHeight="18" x14ac:dyDescent="0.35"/>
  <cols>
    <col min="1" max="1" width="3.6640625" customWidth="1"/>
    <col min="2" max="2" width="21.25" bestFit="1" customWidth="1"/>
    <col min="3" max="3" width="9.5" customWidth="1"/>
    <col min="4" max="4" width="3.6640625" customWidth="1"/>
    <col min="9" max="9" width="3.6640625" customWidth="1"/>
  </cols>
  <sheetData>
    <row r="2" spans="2:8" x14ac:dyDescent="0.35">
      <c r="B2" s="9" t="s">
        <v>17</v>
      </c>
      <c r="C2" s="11" cm="1">
        <f t="array" aca="1" ref="C2" ca="1">_xll.\TMX.CURVE.CONSTANT(rate)</f>
        <v>2427502121424</v>
      </c>
      <c r="E2" s="5">
        <v>1</v>
      </c>
      <c r="F2" s="5">
        <v>0.1</v>
      </c>
    </row>
    <row r="3" spans="2:8" x14ac:dyDescent="0.35">
      <c r="B3" s="10" t="s">
        <v>18</v>
      </c>
      <c r="C3" s="5">
        <f ca="1">RAND()</f>
        <v>0.12455791375328817</v>
      </c>
      <c r="E3" s="3" t="s">
        <v>15</v>
      </c>
      <c r="F3" s="3" t="s">
        <v>19</v>
      </c>
      <c r="G3" s="3" t="s">
        <v>20</v>
      </c>
      <c r="H3" s="3" t="s">
        <v>21</v>
      </c>
    </row>
    <row r="4" spans="2:8" x14ac:dyDescent="0.35">
      <c r="E4" cm="1">
        <f t="array" ref="E4:E14">TRANSPOSE(_xll.ARRAY.SEQUENCE(0,E2,F2))</f>
        <v>0</v>
      </c>
      <c r="F4" cm="1">
        <f t="array" aca="1" ref="F4:F14" ca="1">_xll.TMX.CURVE.FORWARD(curve, time)</f>
        <v>0.12455791375328817</v>
      </c>
      <c r="G4" cm="1">
        <f t="array" aca="1" ref="G4:G14" ca="1">_xll.TMX.CURVE.SPOT(curve, time)</f>
        <v>0.12455791375328817</v>
      </c>
      <c r="H4" cm="1">
        <f t="array" aca="1" ref="H4:H14" ca="1">_xll.TMX.CURVE.DISCOUNT(curve, time)</f>
        <v>1</v>
      </c>
    </row>
    <row r="5" spans="2:8" x14ac:dyDescent="0.35">
      <c r="E5">
        <v>0.1</v>
      </c>
      <c r="F5">
        <f ca="1"/>
        <v>0.12455791375328817</v>
      </c>
      <c r="G5">
        <f ca="1"/>
        <v>0.12455791375328817</v>
      </c>
      <c r="H5">
        <f ca="1"/>
        <v>0.98762146091527359</v>
      </c>
    </row>
    <row r="6" spans="2:8" x14ac:dyDescent="0.35">
      <c r="E6">
        <v>0.2</v>
      </c>
      <c r="F6">
        <f ca="1"/>
        <v>0.12455791375328817</v>
      </c>
      <c r="G6">
        <f ca="1"/>
        <v>0.12455791375328817</v>
      </c>
      <c r="H6">
        <f ca="1"/>
        <v>0.97539615006041913</v>
      </c>
    </row>
    <row r="7" spans="2:8" x14ac:dyDescent="0.35">
      <c r="E7">
        <v>0.30000000000000004</v>
      </c>
      <c r="F7">
        <f ca="1"/>
        <v>0.12455791375328817</v>
      </c>
      <c r="G7">
        <f ca="1"/>
        <v>0.12455791375328817</v>
      </c>
      <c r="H7">
        <f ca="1"/>
        <v>0.96332217069380455</v>
      </c>
    </row>
    <row r="8" spans="2:8" x14ac:dyDescent="0.35">
      <c r="E8">
        <v>0.4</v>
      </c>
      <c r="F8">
        <f ca="1"/>
        <v>0.12455791375328817</v>
      </c>
      <c r="G8">
        <f ca="1"/>
        <v>0.12455791375328817</v>
      </c>
      <c r="H8">
        <f ca="1"/>
        <v>0.9513976495526878</v>
      </c>
    </row>
    <row r="9" spans="2:8" x14ac:dyDescent="0.35">
      <c r="E9">
        <v>0.5</v>
      </c>
      <c r="F9">
        <f ca="1"/>
        <v>0.12455791375328817</v>
      </c>
      <c r="G9">
        <f ca="1"/>
        <v>0.12455791375328817</v>
      </c>
      <c r="H9">
        <f ca="1"/>
        <v>0.93962073656258294</v>
      </c>
    </row>
    <row r="10" spans="2:8" x14ac:dyDescent="0.35">
      <c r="E10">
        <v>0.60000000000000009</v>
      </c>
      <c r="F10">
        <f ca="1"/>
        <v>0.12455791375328817</v>
      </c>
      <c r="G10">
        <f ca="1"/>
        <v>0.12455791375328817</v>
      </c>
      <c r="H10">
        <f ca="1"/>
        <v>0.9279896045502235</v>
      </c>
    </row>
    <row r="11" spans="2:8" x14ac:dyDescent="0.35">
      <c r="E11">
        <v>0.70000000000000007</v>
      </c>
      <c r="F11">
        <f ca="1"/>
        <v>0.12455791375328817</v>
      </c>
      <c r="G11">
        <f ca="1"/>
        <v>0.12455791375328819</v>
      </c>
      <c r="H11">
        <f ca="1"/>
        <v>0.91650244896007871</v>
      </c>
    </row>
    <row r="12" spans="2:8" x14ac:dyDescent="0.35">
      <c r="E12">
        <v>0.8</v>
      </c>
      <c r="F12">
        <f ca="1"/>
        <v>0.12455791375328817</v>
      </c>
      <c r="G12">
        <f ca="1"/>
        <v>0.12455791375328817</v>
      </c>
      <c r="H12">
        <f ca="1"/>
        <v>0.90515748757437886</v>
      </c>
    </row>
    <row r="13" spans="2:8" x14ac:dyDescent="0.35">
      <c r="E13">
        <v>0.9</v>
      </c>
      <c r="F13">
        <f ca="1"/>
        <v>0.12455791375328817</v>
      </c>
      <c r="G13">
        <f ca="1"/>
        <v>0.12455791375328817</v>
      </c>
      <c r="H13">
        <f ca="1"/>
        <v>0.89395296023660664</v>
      </c>
    </row>
    <row r="14" spans="2:8" x14ac:dyDescent="0.35">
      <c r="E14">
        <v>1</v>
      </c>
      <c r="F14">
        <f ca="1"/>
        <v>0.12455791375328817</v>
      </c>
      <c r="G14">
        <f ca="1"/>
        <v>0.12455791375328817</v>
      </c>
      <c r="H14">
        <f ca="1"/>
        <v>0.88288712857841078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AF2A-8481-48D2-8042-47B201FEE71E}">
  <dimension ref="B2:J34"/>
  <sheetViews>
    <sheetView workbookViewId="0"/>
  </sheetViews>
  <sheetFormatPr defaultRowHeight="18" x14ac:dyDescent="0.35"/>
  <cols>
    <col min="1" max="1" width="3.58203125" customWidth="1"/>
    <col min="2" max="2" width="13.9140625" customWidth="1"/>
    <col min="3" max="3" width="9.1640625" bestFit="1" customWidth="1"/>
    <col min="6" max="6" width="3.58203125" customWidth="1"/>
  </cols>
  <sheetData>
    <row r="2" spans="2:10" x14ac:dyDescent="0.35">
      <c r="B2" s="9" t="s">
        <v>23</v>
      </c>
      <c r="C2" s="11" cm="1">
        <f t="array" aca="1" ref="C2" ca="1">_xll.\TMX.CURVE.PWFLAT(time, rate)</f>
        <v>2427503438672</v>
      </c>
      <c r="G2" s="5">
        <v>3</v>
      </c>
      <c r="H2" s="5">
        <v>0.1</v>
      </c>
    </row>
    <row r="3" spans="2:10" x14ac:dyDescent="0.35">
      <c r="B3" s="10" t="s">
        <v>15</v>
      </c>
      <c r="C3" s="5">
        <v>1</v>
      </c>
      <c r="D3" s="5">
        <v>2</v>
      </c>
      <c r="E3" s="5">
        <v>3</v>
      </c>
      <c r="G3" t="s">
        <v>15</v>
      </c>
      <c r="H3" t="s">
        <v>19</v>
      </c>
      <c r="I3" t="s">
        <v>20</v>
      </c>
      <c r="J3" t="s">
        <v>21</v>
      </c>
    </row>
    <row r="4" spans="2:10" x14ac:dyDescent="0.35">
      <c r="B4" s="10" t="s">
        <v>18</v>
      </c>
      <c r="C4" s="5">
        <v>0.03</v>
      </c>
      <c r="D4" s="5">
        <v>0.02</v>
      </c>
      <c r="E4" s="5">
        <f ca="1">0.1*RAND()</f>
        <v>6.4847032858165052E-2</v>
      </c>
      <c r="G4" cm="1">
        <f t="array" ref="G4:G34">TRANSPOSE(_xll.ARRAY.SEQUENCE(0,G2,H2))</f>
        <v>0</v>
      </c>
      <c r="H4" cm="1">
        <f t="array" aca="1" ref="H4:H34" ca="1">_xll.TMX.CURVE.FORWARD(curve,_xlfn.ANCHORARRAY( G4))</f>
        <v>0.03</v>
      </c>
      <c r="I4" cm="1">
        <f t="array" aca="1" ref="I4:I34" ca="1">_xll.TMX.CURVE.SPOT(curve,_xlfn.ANCHORARRAY( G4))</f>
        <v>0.03</v>
      </c>
      <c r="J4" cm="1">
        <f t="array" aca="1" ref="J4:J34" ca="1">_xll.TMX.CURVE.DISCOUNT(curve,_xlfn.ANCHORARRAY( G4))</f>
        <v>1</v>
      </c>
    </row>
    <row r="5" spans="2:10" x14ac:dyDescent="0.35">
      <c r="G5">
        <v>0.1</v>
      </c>
      <c r="H5">
        <f ca="1"/>
        <v>0.03</v>
      </c>
      <c r="I5">
        <f ca="1"/>
        <v>0.03</v>
      </c>
      <c r="J5">
        <f ca="1"/>
        <v>0.997004495503373</v>
      </c>
    </row>
    <row r="6" spans="2:10" x14ac:dyDescent="0.35">
      <c r="G6">
        <v>0.2</v>
      </c>
      <c r="H6">
        <f ca="1"/>
        <v>0.03</v>
      </c>
      <c r="I6">
        <f ca="1"/>
        <v>0.03</v>
      </c>
      <c r="J6">
        <f ca="1"/>
        <v>0.99401796405393528</v>
      </c>
    </row>
    <row r="7" spans="2:10" x14ac:dyDescent="0.35">
      <c r="G7">
        <v>0.30000000000000004</v>
      </c>
      <c r="H7">
        <f ca="1"/>
        <v>0.03</v>
      </c>
      <c r="I7">
        <f ca="1"/>
        <v>0.03</v>
      </c>
      <c r="J7">
        <f ca="1"/>
        <v>0.99104037877288365</v>
      </c>
    </row>
    <row r="8" spans="2:10" x14ac:dyDescent="0.35">
      <c r="G8">
        <v>0.4</v>
      </c>
      <c r="H8">
        <f ca="1"/>
        <v>0.03</v>
      </c>
      <c r="I8">
        <f ca="1"/>
        <v>0.03</v>
      </c>
      <c r="J8">
        <f ca="1"/>
        <v>0.98807171286193052</v>
      </c>
    </row>
    <row r="9" spans="2:10" x14ac:dyDescent="0.35">
      <c r="G9">
        <v>0.5</v>
      </c>
      <c r="H9">
        <f ca="1"/>
        <v>0.03</v>
      </c>
      <c r="I9">
        <f ca="1"/>
        <v>0.03</v>
      </c>
      <c r="J9">
        <f ca="1"/>
        <v>0.98511193960306265</v>
      </c>
    </row>
    <row r="10" spans="2:10" x14ac:dyDescent="0.35">
      <c r="G10">
        <v>0.60000000000000009</v>
      </c>
      <c r="H10">
        <f ca="1"/>
        <v>0.03</v>
      </c>
      <c r="I10">
        <f ca="1"/>
        <v>0.03</v>
      </c>
      <c r="J10">
        <f ca="1"/>
        <v>0.98216103235830077</v>
      </c>
    </row>
    <row r="11" spans="2:10" x14ac:dyDescent="0.35">
      <c r="G11">
        <v>0.70000000000000007</v>
      </c>
      <c r="H11">
        <f ca="1"/>
        <v>0.03</v>
      </c>
      <c r="I11">
        <f ca="1"/>
        <v>0.03</v>
      </c>
      <c r="J11">
        <f ca="1"/>
        <v>0.97921896456945956</v>
      </c>
    </row>
    <row r="12" spans="2:10" x14ac:dyDescent="0.35">
      <c r="G12">
        <v>0.8</v>
      </c>
      <c r="H12">
        <f ca="1"/>
        <v>0.03</v>
      </c>
      <c r="I12">
        <f ca="1"/>
        <v>0.03</v>
      </c>
      <c r="J12">
        <f ca="1"/>
        <v>0.97628570975790929</v>
      </c>
    </row>
    <row r="13" spans="2:10" x14ac:dyDescent="0.35">
      <c r="G13">
        <v>0.9</v>
      </c>
      <c r="H13">
        <f ca="1"/>
        <v>0.03</v>
      </c>
      <c r="I13">
        <f ca="1"/>
        <v>0.03</v>
      </c>
      <c r="J13">
        <f ca="1"/>
        <v>0.97336124152433678</v>
      </c>
    </row>
    <row r="14" spans="2:10" x14ac:dyDescent="0.35">
      <c r="G14">
        <v>1</v>
      </c>
      <c r="H14">
        <f ca="1"/>
        <v>0.03</v>
      </c>
      <c r="I14">
        <f ca="1"/>
        <v>0.03</v>
      </c>
      <c r="J14">
        <f ca="1"/>
        <v>0.97044553354850815</v>
      </c>
    </row>
    <row r="15" spans="2:10" x14ac:dyDescent="0.35">
      <c r="G15">
        <v>1.1000000000000001</v>
      </c>
      <c r="H15">
        <f ca="1"/>
        <v>0.02</v>
      </c>
      <c r="I15">
        <f ca="1"/>
        <v>2.9090909090909091E-2</v>
      </c>
      <c r="J15">
        <f ca="1"/>
        <v>0.9685065820791976</v>
      </c>
    </row>
    <row r="16" spans="2:10" x14ac:dyDescent="0.35">
      <c r="G16">
        <v>1.2000000000000002</v>
      </c>
      <c r="H16">
        <f ca="1"/>
        <v>0.02</v>
      </c>
      <c r="I16">
        <f ca="1"/>
        <v>2.8333333333333332E-2</v>
      </c>
      <c r="J16">
        <f ca="1"/>
        <v>0.96657150463750663</v>
      </c>
    </row>
    <row r="17" spans="7:10" x14ac:dyDescent="0.35">
      <c r="G17">
        <v>1.3</v>
      </c>
      <c r="H17">
        <f ca="1"/>
        <v>0.02</v>
      </c>
      <c r="I17">
        <f ca="1"/>
        <v>2.769230769230769E-2</v>
      </c>
      <c r="J17">
        <f ca="1"/>
        <v>0.96464029348312308</v>
      </c>
    </row>
    <row r="18" spans="7:10" x14ac:dyDescent="0.35">
      <c r="G18">
        <v>1.4000000000000001</v>
      </c>
      <c r="H18">
        <f ca="1"/>
        <v>0.02</v>
      </c>
      <c r="I18">
        <f ca="1"/>
        <v>2.7142857142857146E-2</v>
      </c>
      <c r="J18">
        <f ca="1"/>
        <v>0.96271294089119952</v>
      </c>
    </row>
    <row r="19" spans="7:10" x14ac:dyDescent="0.35">
      <c r="G19">
        <v>1.5</v>
      </c>
      <c r="H19">
        <f ca="1"/>
        <v>0.02</v>
      </c>
      <c r="I19">
        <f ca="1"/>
        <v>2.6666666666666668E-2</v>
      </c>
      <c r="J19">
        <f ca="1"/>
        <v>0.96078943915232318</v>
      </c>
    </row>
    <row r="20" spans="7:10" x14ac:dyDescent="0.35">
      <c r="G20">
        <v>1.6</v>
      </c>
      <c r="H20">
        <f ca="1"/>
        <v>0.02</v>
      </c>
      <c r="I20">
        <f ca="1"/>
        <v>2.6249999999999999E-2</v>
      </c>
      <c r="J20">
        <f ca="1"/>
        <v>0.95886978057248451</v>
      </c>
    </row>
    <row r="21" spans="7:10" x14ac:dyDescent="0.35">
      <c r="G21">
        <v>1.7000000000000002</v>
      </c>
      <c r="H21">
        <f ca="1"/>
        <v>0.02</v>
      </c>
      <c r="I21">
        <f ca="1"/>
        <v>2.5882352941176471E-2</v>
      </c>
      <c r="J21">
        <f ca="1"/>
        <v>0.95695395747304668</v>
      </c>
    </row>
    <row r="22" spans="7:10" x14ac:dyDescent="0.35">
      <c r="G22">
        <v>1.8</v>
      </c>
      <c r="H22">
        <f ca="1"/>
        <v>0.02</v>
      </c>
      <c r="I22">
        <f ca="1"/>
        <v>2.5555555555555554E-2</v>
      </c>
      <c r="J22">
        <f ca="1"/>
        <v>0.95504196219071469</v>
      </c>
    </row>
    <row r="23" spans="7:10" x14ac:dyDescent="0.35">
      <c r="G23">
        <v>1.9000000000000001</v>
      </c>
      <c r="H23">
        <f ca="1"/>
        <v>0.02</v>
      </c>
      <c r="I23">
        <f ca="1"/>
        <v>2.5263157894736842E-2</v>
      </c>
      <c r="J23">
        <f ca="1"/>
        <v>0.95313378707750473</v>
      </c>
    </row>
    <row r="24" spans="7:10" x14ac:dyDescent="0.35">
      <c r="G24">
        <v>2</v>
      </c>
      <c r="H24">
        <f ca="1"/>
        <v>0.02</v>
      </c>
      <c r="I24">
        <f ca="1"/>
        <v>2.5000000000000001E-2</v>
      </c>
      <c r="J24">
        <f ca="1"/>
        <v>0.95122942450071402</v>
      </c>
    </row>
    <row r="25" spans="7:10" x14ac:dyDescent="0.35">
      <c r="G25">
        <v>2.1</v>
      </c>
      <c r="H25">
        <f ca="1"/>
        <v>6.4847032858165052E-2</v>
      </c>
      <c r="I25">
        <f ca="1"/>
        <v>2.6897477755150719E-2</v>
      </c>
      <c r="J25">
        <f ca="1"/>
        <v>0.94508094101761286</v>
      </c>
    </row>
    <row r="26" spans="7:10" x14ac:dyDescent="0.35">
      <c r="G26">
        <v>2.2000000000000002</v>
      </c>
      <c r="H26">
        <f ca="1"/>
        <v>6.4847032858165052E-2</v>
      </c>
      <c r="I26">
        <f ca="1"/>
        <v>2.8622457532560465E-2</v>
      </c>
      <c r="J26">
        <f ca="1"/>
        <v>0.93897219962844647</v>
      </c>
    </row>
    <row r="27" spans="7:10" x14ac:dyDescent="0.35">
      <c r="G27">
        <v>2.3000000000000003</v>
      </c>
      <c r="H27">
        <f ca="1"/>
        <v>6.4847032858165052E-2</v>
      </c>
      <c r="I27">
        <f ca="1"/>
        <v>3.019743906845632E-2</v>
      </c>
      <c r="J27">
        <f ca="1"/>
        <v>0.93290294345132918</v>
      </c>
    </row>
    <row r="28" spans="7:10" x14ac:dyDescent="0.35">
      <c r="G28">
        <v>2.4000000000000004</v>
      </c>
      <c r="H28">
        <f ca="1"/>
        <v>6.4847032858165052E-2</v>
      </c>
      <c r="I28">
        <f ca="1"/>
        <v>3.1641172143027516E-2</v>
      </c>
      <c r="J28">
        <f ca="1"/>
        <v>0.92687291726478893</v>
      </c>
    </row>
    <row r="29" spans="7:10" x14ac:dyDescent="0.35">
      <c r="G29">
        <v>2.5</v>
      </c>
      <c r="H29">
        <f ca="1"/>
        <v>6.4847032858165052E-2</v>
      </c>
      <c r="I29">
        <f ca="1"/>
        <v>3.2969406571633011E-2</v>
      </c>
      <c r="J29">
        <f ca="1"/>
        <v>0.92088186749703438</v>
      </c>
    </row>
    <row r="30" spans="7:10" x14ac:dyDescent="0.35">
      <c r="G30">
        <v>2.6</v>
      </c>
      <c r="H30">
        <f ca="1"/>
        <v>6.4847032858165052E-2</v>
      </c>
      <c r="I30">
        <f ca="1"/>
        <v>3.4195469121115013E-2</v>
      </c>
      <c r="J30">
        <f ca="1"/>
        <v>0.91492954221529199</v>
      </c>
    </row>
    <row r="31" spans="7:10" x14ac:dyDescent="0.35">
      <c r="G31">
        <v>2.7</v>
      </c>
      <c r="H31">
        <f ca="1"/>
        <v>6.4847032858165052E-2</v>
      </c>
      <c r="I31">
        <f ca="1"/>
        <v>3.5330712222487244E-2</v>
      </c>
      <c r="J31">
        <f ca="1"/>
        <v>0.90901569111521197</v>
      </c>
    </row>
    <row r="32" spans="7:10" x14ac:dyDescent="0.35">
      <c r="G32">
        <v>2.8000000000000003</v>
      </c>
      <c r="H32">
        <f ca="1"/>
        <v>6.4847032858165052E-2</v>
      </c>
      <c r="I32">
        <f ca="1"/>
        <v>3.6384866530904302E-2</v>
      </c>
      <c r="J32">
        <f ca="1"/>
        <v>0.90314006551034254</v>
      </c>
    </row>
    <row r="33" spans="7:10" x14ac:dyDescent="0.35">
      <c r="G33">
        <v>2.9000000000000004</v>
      </c>
      <c r="H33">
        <f ca="1"/>
        <v>6.4847032858165052E-2</v>
      </c>
      <c r="I33">
        <f ca="1"/>
        <v>3.7366320542189156E-2</v>
      </c>
      <c r="J33">
        <f ca="1"/>
        <v>0.89730241832167201</v>
      </c>
    </row>
    <row r="34" spans="7:10" x14ac:dyDescent="0.35">
      <c r="G34">
        <v>3</v>
      </c>
      <c r="H34">
        <f ca="1"/>
        <v>6.4847032858165052E-2</v>
      </c>
      <c r="I34">
        <f ca="1"/>
        <v>3.8282344286055016E-2</v>
      </c>
      <c r="J34">
        <f ca="1"/>
        <v>0.8915025040672393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CBC0-4328-4C39-ACB9-7E4BC58B6C36}">
  <dimension ref="B2:L10"/>
  <sheetViews>
    <sheetView tabSelected="1" workbookViewId="0">
      <selection activeCell="C10" sqref="C10"/>
    </sheetView>
  </sheetViews>
  <sheetFormatPr defaultRowHeight="18" x14ac:dyDescent="0.35"/>
  <cols>
    <col min="2" max="2" width="10.4140625" bestFit="1" customWidth="1"/>
    <col min="3" max="3" width="12.75" customWidth="1"/>
    <col min="4" max="4" width="12" customWidth="1"/>
    <col min="6" max="6" width="9.1640625" bestFit="1" customWidth="1"/>
    <col min="9" max="9" width="9.9140625" style="13" bestFit="1" customWidth="1"/>
    <col min="12" max="12" width="8.6640625" customWidth="1"/>
  </cols>
  <sheetData>
    <row r="2" spans="2:12" x14ac:dyDescent="0.35">
      <c r="B2" s="9" t="s">
        <v>24</v>
      </c>
      <c r="C2" s="11" cm="1">
        <f t="array" aca="1" ref="C2" ca="1">_xll.\TMX.SECURITY.BOND(dated, maturity, coupon, frequency, day_count, roll, calendar, face)</f>
        <v>2429662233296</v>
      </c>
      <c r="E2" s="1" t="s">
        <v>33</v>
      </c>
      <c r="F2" s="13">
        <f ca="1">dated+G2</f>
        <v>45888</v>
      </c>
      <c r="G2" s="5">
        <v>364</v>
      </c>
      <c r="H2">
        <f ca="1">H4-H3</f>
        <v>2.5416666666666664E-2</v>
      </c>
      <c r="J2" s="1" t="s">
        <v>35</v>
      </c>
      <c r="K2" s="5" cm="1">
        <f t="array" ref="K2">_xll.TMX.VALUE.CONTINUOUS_RATE(coupon,_xll.ENUM(frequency))</f>
        <v>4.9385225180742925E-2</v>
      </c>
      <c r="L2" cm="1">
        <f t="array" ref="L2">_xll.TMX.VALUE.COMPOUND_YIELD(yield, _xll.ENUM(frequency))</f>
        <v>4.9999999999999926E-2</v>
      </c>
    </row>
    <row r="3" spans="2:12" x14ac:dyDescent="0.35">
      <c r="B3" s="10" t="s">
        <v>25</v>
      </c>
      <c r="C3" s="4">
        <f ca="1">TODAY()</f>
        <v>45524</v>
      </c>
      <c r="D3" s="13" cm="1">
        <f t="array" aca="1" ref="D3:D10" ca="1">_xll.TMX.SECURITY.BOND(C2)</f>
        <v>45524</v>
      </c>
      <c r="E3" s="1" t="s">
        <v>34</v>
      </c>
      <c r="F3" s="11" cm="1">
        <f t="array" aca="1" ref="F3" ca="1">_xll.\TMX.INSTRUMENT.SECURITY(security, pvdate)</f>
        <v>2427502123504</v>
      </c>
      <c r="G3" cm="1">
        <f t="array" aca="1" ref="G3:H8" ca="1">TRANSPOSE(_xll.TMX.INSTRUMENT(instrument))</f>
        <v>2.7379070069885078E-3</v>
      </c>
      <c r="H3">
        <f ca="1"/>
        <v>1.3888888888888889E-4</v>
      </c>
      <c r="I3" s="13" cm="1">
        <f t="array" aca="1" ref="I3:I8" ca="1">_xll.TMX.DATE.ADDYEARS(pvdate,INDEX(_xlfn.ANCHORARRAY(G3),,1))</f>
        <v>45889</v>
      </c>
      <c r="J3" s="1" t="s">
        <v>36</v>
      </c>
      <c r="K3" s="12" cm="1">
        <f t="array" aca="1" ref="K3" ca="1">_xll.TMX.VALUE.PRICE(instrument, yield)</f>
        <v>1.001372796142499</v>
      </c>
      <c r="L3" cm="1">
        <f t="array" aca="1" ref="L3" ca="1">PRICE(pvdate,D4,coupon,coupon,face,_xll.ENUM(frequency),0)</f>
        <v>10.323017761755127</v>
      </c>
    </row>
    <row r="4" spans="2:12" x14ac:dyDescent="0.35">
      <c r="B4" s="10" t="s">
        <v>26</v>
      </c>
      <c r="C4" s="5">
        <v>3</v>
      </c>
      <c r="D4" s="13">
        <f ca="1"/>
        <v>46619</v>
      </c>
      <c r="G4">
        <f ca="1"/>
        <v>0.50651279629287393</v>
      </c>
      <c r="H4">
        <f ca="1"/>
        <v>2.5555555555555554E-2</v>
      </c>
      <c r="I4" s="13">
        <f ca="1"/>
        <v>46073</v>
      </c>
      <c r="J4" s="1" t="s">
        <v>35</v>
      </c>
      <c r="K4" s="12" cm="1">
        <f t="array" aca="1" ref="K4" ca="1">_xll.TMX.VALUE.YIELD(instrument, price)</f>
        <v>4.9385225180742925E-2</v>
      </c>
      <c r="L4">
        <f ca="1">K4-yield</f>
        <v>0</v>
      </c>
    </row>
    <row r="5" spans="2:12" x14ac:dyDescent="0.35">
      <c r="B5" s="10" t="s">
        <v>27</v>
      </c>
      <c r="C5" s="14">
        <v>0.05</v>
      </c>
      <c r="D5">
        <f ca="1"/>
        <v>0.05</v>
      </c>
      <c r="G5">
        <f ca="1"/>
        <v>1.0020739645577939</v>
      </c>
      <c r="H5">
        <f ca="1"/>
        <v>2.5138888888888891E-2</v>
      </c>
      <c r="I5" s="13">
        <f ca="1"/>
        <v>46254</v>
      </c>
      <c r="J5" s="1" t="s">
        <v>37</v>
      </c>
      <c r="K5" s="12" cm="1">
        <f t="array" aca="1" ref="K5" ca="1">_xll.TMX.VALUE.PRESENT(instrument, yield)</f>
        <v>1.001372796142499</v>
      </c>
    </row>
    <row r="6" spans="2:12" x14ac:dyDescent="0.35">
      <c r="B6" s="10" t="s">
        <v>28</v>
      </c>
      <c r="C6" s="7" t="s">
        <v>29</v>
      </c>
      <c r="D6" s="1" t="str">
        <f ca="1"/>
        <v>TMX_FREQUENCY_SEMIANNUALLY</v>
      </c>
      <c r="G6">
        <f ca="1"/>
        <v>1.5058488538436792</v>
      </c>
      <c r="H6">
        <f ca="1"/>
        <v>2.5555555555555554E-2</v>
      </c>
      <c r="I6" s="13">
        <f ca="1"/>
        <v>46438</v>
      </c>
      <c r="J6" s="1" t="s">
        <v>38</v>
      </c>
      <c r="K6" s="12" cm="1">
        <f t="array" aca="1" ref="K6" ca="1">_xll.TMX.VALUE.DURATION(instrument, yield)</f>
        <v>-1.9309549056890811</v>
      </c>
      <c r="L6" cm="1">
        <f t="array" aca="1" ref="L6" ca="1">DURATION(pvdate,D4,coupon,coupon,_xll.ENUM(frequency),0)</f>
        <v>1.8837648817826811</v>
      </c>
    </row>
    <row r="7" spans="2:12" x14ac:dyDescent="0.35">
      <c r="B7" s="10" t="s">
        <v>4</v>
      </c>
      <c r="C7" s="7" t="s">
        <v>41</v>
      </c>
      <c r="D7" s="1" t="str">
        <f ca="1"/>
        <v>TMX_DAY_COUNT_ACTUAL_360</v>
      </c>
      <c r="G7">
        <f ca="1"/>
        <v>2.0014100221085989</v>
      </c>
      <c r="H7">
        <f ca="1"/>
        <v>2.5138888888888891E-2</v>
      </c>
      <c r="I7" s="13">
        <f ca="1"/>
        <v>46619</v>
      </c>
      <c r="J7" s="1" t="s">
        <v>39</v>
      </c>
      <c r="K7" s="12" cm="1">
        <f t="array" aca="1" ref="K7" ca="1">_xll.TMX.VALUE.CONVEXITY(instrument, yield)</f>
        <v>3.8040968712153536</v>
      </c>
    </row>
    <row r="8" spans="2:12" x14ac:dyDescent="0.35">
      <c r="B8" s="10" t="s">
        <v>30</v>
      </c>
      <c r="C8" s="7" t="s">
        <v>11</v>
      </c>
      <c r="D8" s="1" t="str">
        <f ca="1"/>
        <v>TMX_BUSINESS_DAY_NONE</v>
      </c>
      <c r="G8">
        <f ca="1"/>
        <v>2.0014100221085989</v>
      </c>
      <c r="H8">
        <f ca="1"/>
        <v>1</v>
      </c>
      <c r="I8" s="13">
        <f ca="1"/>
        <v>46619</v>
      </c>
      <c r="J8" s="1" t="s">
        <v>40</v>
      </c>
      <c r="K8" s="5">
        <v>0.1</v>
      </c>
    </row>
    <row r="9" spans="2:12" x14ac:dyDescent="0.35">
      <c r="B9" s="10" t="s">
        <v>31</v>
      </c>
      <c r="C9" s="7" t="s">
        <v>13</v>
      </c>
      <c r="D9" s="1" t="str">
        <f ca="1"/>
        <v>TMX_HOLIDAY_CALENDAR_NONE</v>
      </c>
      <c r="J9" s="1" t="s">
        <v>36</v>
      </c>
      <c r="K9" s="12" cm="1">
        <f t="array" aca="1" ref="K9" ca="1">_xll.TMX.VALUE.PRICE(instrument, yield + oas)</f>
        <v>0.82609918100970803</v>
      </c>
    </row>
    <row r="10" spans="2:12" x14ac:dyDescent="0.35">
      <c r="B10" s="10" t="s">
        <v>32</v>
      </c>
      <c r="C10" s="5">
        <v>1</v>
      </c>
      <c r="D10">
        <f ca="1"/>
        <v>1</v>
      </c>
      <c r="J10" s="1" t="s">
        <v>40</v>
      </c>
      <c r="K10" s="12" cm="1">
        <f t="array" aca="1" ref="K10" ca="1">_xll.TMX.VALUE.OAS(instrument, yield, K9)</f>
        <v>9.9999995901389416E-2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44AA2CA-8839-480E-BD7E-4D5F5335AB78}">
          <x14:formula1>
            <xm:f>_xlfn.ANCHORARRAY(ENUM!$D$4)</xm:f>
          </x14:formula1>
          <xm:sqref>C6</xm:sqref>
        </x14:dataValidation>
        <x14:dataValidation type="list" allowBlank="1" showInputMessage="1" showErrorMessage="1" xr:uid="{1F4B38D7-0960-4A7E-B21E-B9743B7C9480}">
          <x14:formula1>
            <xm:f>_xlfn.ANCHORARRAY(ENUM!$C$4)</xm:f>
          </x14:formula1>
          <xm:sqref>C7</xm:sqref>
        </x14:dataValidation>
        <x14:dataValidation type="list" allowBlank="1" showInputMessage="1" showErrorMessage="1" xr:uid="{BFEB96BF-056B-4660-8FF1-0481DB4BA639}">
          <x14:formula1>
            <xm:f>_xlfn.ANCHORARRAY(ENUM!$B$4)</xm:f>
          </x14:formula1>
          <xm:sqref>C8</xm:sqref>
        </x14:dataValidation>
        <x14:dataValidation type="list" allowBlank="1" showInputMessage="1" showErrorMessage="1" xr:uid="{A7990F15-68E0-488A-B898-72C4CDEC6886}">
          <x14:formula1>
            <xm:f>_xlfn.ANCHORARRAY(ENUM!$E$4)</xm:f>
          </x14:formula1>
          <xm:sqref>C9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ENUM</vt:lpstr>
      <vt:lpstr>DATE</vt:lpstr>
      <vt:lpstr>INSTRUMENT</vt:lpstr>
      <vt:lpstr>CURVE</vt:lpstr>
      <vt:lpstr>PWFLAT</vt:lpstr>
      <vt:lpstr>SECURITY</vt:lpstr>
      <vt:lpstr>SECURITY!calendar</vt:lpstr>
      <vt:lpstr>cash</vt:lpstr>
      <vt:lpstr>SECURITY!coupon</vt:lpstr>
      <vt:lpstr>PWFLAT!curve</vt:lpstr>
      <vt:lpstr>curve</vt:lpstr>
      <vt:lpstr>date</vt:lpstr>
      <vt:lpstr>SECURITY!dated</vt:lpstr>
      <vt:lpstr>SECURITY!day_count</vt:lpstr>
      <vt:lpstr>SECURITY!face</vt:lpstr>
      <vt:lpstr>SECURITY!frequency</vt:lpstr>
      <vt:lpstr>SECURITY!handle</vt:lpstr>
      <vt:lpstr>SECURITY!instrument</vt:lpstr>
      <vt:lpstr>instrument</vt:lpstr>
      <vt:lpstr>SECURITY!maturity</vt:lpstr>
      <vt:lpstr>month</vt:lpstr>
      <vt:lpstr>oas</vt:lpstr>
      <vt:lpstr>price</vt:lpstr>
      <vt:lpstr>pvdate</vt:lpstr>
      <vt:lpstr>CURVE!rate</vt:lpstr>
      <vt:lpstr>PWFLAT!rate</vt:lpstr>
      <vt:lpstr>SECURITY!roll</vt:lpstr>
      <vt:lpstr>security</vt:lpstr>
      <vt:lpstr>PWFLAT!time</vt:lpstr>
      <vt:lpstr>time</vt:lpstr>
      <vt:lpstr>year</vt:lpstr>
      <vt:lpstr>years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2024-08-12T18:07:23Z</dcterms:created>
  <dcterms:modified xsi:type="dcterms:W3CDTF">2024-08-20T10:02:38Z</dcterms:modified>
</cp:coreProperties>
</file>