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source\repos\tmcrossx\bondxll\"/>
    </mc:Choice>
  </mc:AlternateContent>
  <xr:revisionPtr revIDLastSave="0" documentId="13_ncr:1_{3C829F6E-FB7C-432F-9F58-A76CE5B22FC4}" xr6:coauthVersionLast="47" xr6:coauthVersionMax="47" xr10:uidLastSave="{00000000-0000-0000-0000-000000000000}"/>
  <bookViews>
    <workbookView xWindow="2436" yWindow="1068" windowWidth="19716" windowHeight="11892" activeTab="3" xr2:uid="{B41655E8-20ED-4B49-A343-A4ADF5D922ED}"/>
  </bookViews>
  <sheets>
    <sheet name="ENUM" sheetId="1" r:id="rId1"/>
    <sheet name="INSTRUMENT" sheetId="3" r:id="rId2"/>
    <sheet name="PWFLAT" sheetId="2" r:id="rId3"/>
    <sheet name="BOND" sheetId="4" r:id="rId4"/>
    <sheet name="VALUATION" sheetId="5" r:id="rId5"/>
  </sheets>
  <definedNames>
    <definedName name="bond">VALUATION!$C$8</definedName>
    <definedName name="bond_basic">BOND!$C$8</definedName>
    <definedName name="coupon" localSheetId="4">VALUATION!$C$4</definedName>
    <definedName name="coupon">BOND!$C$4</definedName>
    <definedName name="curve">VALUATION!$G$3</definedName>
    <definedName name="date">ENUM!$E$3</definedName>
    <definedName name="dated" localSheetId="4">VALUATION!$C$2</definedName>
    <definedName name="dated">BOND!$C$2</definedName>
    <definedName name="day_count" localSheetId="3">BOND!$C$6</definedName>
    <definedName name="day_count" localSheetId="4">VALUATION!$C$6</definedName>
    <definedName name="DAY_COUNT">ENUM!$E$2</definedName>
    <definedName name="days">ENUM!$E$4</definedName>
    <definedName name="dcf">ENUM!$E$5</definedName>
    <definedName name="dt" localSheetId="4">VALUATION!$H$4</definedName>
    <definedName name="dt">PWFLAT!$H$2</definedName>
    <definedName name="face" localSheetId="4">VALUATION!$C$7</definedName>
    <definedName name="face">BOND!$C$7</definedName>
    <definedName name="forward">_xlfn.ANCHORARRAY(PWFLAT!$J$3)</definedName>
    <definedName name="forward_dt">_xlfn.ANCHORARRAY(PWFLAT!$M$3)</definedName>
    <definedName name="frequency" localSheetId="4">VALUATION!$C$5</definedName>
    <definedName name="frequency">BOND!$C$5</definedName>
    <definedName name="instrument">VALUATION!$C$9</definedName>
    <definedName name="maturity" localSheetId="4">VALUATION!$C$3</definedName>
    <definedName name="maturity">BOND!$C$3</definedName>
    <definedName name="present">VALUATION!$G$4</definedName>
    <definedName name="pvdate" localSheetId="4">VALUATION!$G$2</definedName>
    <definedName name="pvdate">BOND!$C$9</definedName>
    <definedName name="pwflat">PWFLAT!$F$2</definedName>
    <definedName name="rate">PWFLAT!$C$3:$C$12</definedName>
    <definedName name="spot">_xlfn.ANCHORARRAY(PWFLAT!$K$3)</definedName>
    <definedName name="spot_dt">_xlfn.ANCHORARRAY(PWFLAT!$N$3)</definedName>
    <definedName name="time">PWFLAT!$B$3:$B$12</definedName>
    <definedName name="years">_xlfn.ANCHORARRAY(PWFLAT!$I$3)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C3" i="2" a="1"/>
  <c r="C3" i="2" s="1"/>
  <c r="C2" i="5"/>
  <c r="G2" i="5"/>
  <c r="C2" i="4"/>
  <c r="C9" i="4" s="1"/>
  <c r="C3" i="3" a="1"/>
  <c r="C3" i="3" s="1"/>
  <c r="B3" i="3" a="1"/>
  <c r="B3" i="3" s="1"/>
  <c r="E3" i="1"/>
  <c r="G5" i="4" a="1"/>
  <c r="H5" i="4" a="1"/>
  <c r="K2" i="1" a="1"/>
  <c r="G3" i="1" a="1"/>
  <c r="L3" i="1" a="1"/>
  <c r="B3" i="2" a="1"/>
  <c r="I3" i="2" a="1"/>
  <c r="P2" i="1" a="1"/>
  <c r="B3" i="1" a="1"/>
  <c r="C3" i="4" a="1"/>
  <c r="O4" i="1" a="1"/>
  <c r="E5" i="1" a="1"/>
  <c r="E2" i="3" a="1"/>
  <c r="O4" i="1" l="1"/>
  <c r="P2" i="1"/>
  <c r="L3" i="1"/>
  <c r="I3" i="2"/>
  <c r="B3" i="2"/>
  <c r="B3" i="1"/>
  <c r="G5" i="4"/>
  <c r="H5" i="4"/>
  <c r="C3" i="4"/>
  <c r="E2" i="3"/>
  <c r="K2" i="1"/>
  <c r="G3" i="1"/>
  <c r="E5" i="1"/>
  <c r="D3" i="2" a="1"/>
  <c r="E3" i="3" a="1"/>
  <c r="H2" i="4" a="1"/>
  <c r="D3" i="2" l="1"/>
  <c r="H2" i="4"/>
  <c r="E3" i="3"/>
  <c r="H3" i="4" a="1"/>
  <c r="G7" i="5" a="1"/>
  <c r="G8" i="5" a="1"/>
  <c r="F2" i="2" a="1"/>
  <c r="K2" i="5" a="1"/>
  <c r="C11" i="5" a="1"/>
  <c r="G4" i="5" a="1"/>
  <c r="H3" i="3" l="1" a="1"/>
  <c r="H3" i="3" s="1"/>
  <c r="I3" i="3" a="1"/>
  <c r="I3" i="3" s="1"/>
  <c r="C11" i="5"/>
  <c r="G8" i="5"/>
  <c r="G7" i="5"/>
  <c r="G4" i="5"/>
  <c r="H6" i="5" s="1"/>
  <c r="K2" i="5"/>
  <c r="F2" i="2"/>
  <c r="H3" i="4"/>
  <c r="K2" i="4" a="1"/>
  <c r="L2" i="4" a="1"/>
  <c r="J2" i="4" a="1"/>
  <c r="G5" i="5" a="1"/>
  <c r="G6" i="5" a="1"/>
  <c r="C13" i="4" a="1"/>
  <c r="K3" i="2" a="1"/>
  <c r="J3" i="2" a="1"/>
  <c r="N3" i="2" a="1"/>
  <c r="L3" i="2" a="1"/>
  <c r="E3" i="2" a="1"/>
  <c r="N3" i="2" l="1"/>
  <c r="G6" i="5"/>
  <c r="G5" i="5"/>
  <c r="L8" i="5"/>
  <c r="L7" i="5"/>
  <c r="L6" i="5"/>
  <c r="L5" i="5"/>
  <c r="L4" i="5"/>
  <c r="L3" i="5"/>
  <c r="L3" i="2"/>
  <c r="K3" i="2"/>
  <c r="J3" i="2"/>
  <c r="L2" i="4"/>
  <c r="K2" i="4"/>
  <c r="J2" i="4"/>
  <c r="E3" i="2"/>
  <c r="C13" i="4"/>
  <c r="E13" i="4" a="1"/>
  <c r="E11" i="5" a="1"/>
  <c r="E11" i="5" l="1"/>
  <c r="E13" i="4"/>
  <c r="G3" i="2" a="1"/>
  <c r="F13" i="4" a="1"/>
  <c r="G3" i="2" l="1"/>
  <c r="F13" i="4"/>
  <c r="G1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<sst xmlns="http://schemas.openxmlformats.org/spreadsheetml/2006/main" count="72" uniqueCount="54">
  <si>
    <t>TMX_DAY_COUNT_ENUM</t>
  </si>
  <si>
    <t>DAY_COUNT</t>
  </si>
  <si>
    <t>date</t>
  </si>
  <si>
    <t>days</t>
  </si>
  <si>
    <t>dcf</t>
  </si>
  <si>
    <t>TMX_FREQUENCY_ENUM</t>
  </si>
  <si>
    <t>FREQUENCY</t>
  </si>
  <si>
    <t>time</t>
  </si>
  <si>
    <t>rate</t>
  </si>
  <si>
    <t>forward</t>
  </si>
  <si>
    <t>spot</t>
  </si>
  <si>
    <t>discount</t>
  </si>
  <si>
    <t>pwflat</t>
  </si>
  <si>
    <t>years</t>
  </si>
  <si>
    <t>instrument</t>
  </si>
  <si>
    <t>dated</t>
  </si>
  <si>
    <t>maturity</t>
  </si>
  <si>
    <t>coupon</t>
  </si>
  <si>
    <t>frequency</t>
  </si>
  <si>
    <t>day_count</t>
  </si>
  <si>
    <t>bond_basic</t>
  </si>
  <si>
    <t>pvdate</t>
  </si>
  <si>
    <t>bond_basic_instrument</t>
  </si>
  <si>
    <t>aka_bond</t>
  </si>
  <si>
    <t>value</t>
  </si>
  <si>
    <t>face</t>
  </si>
  <si>
    <t>DC_ACT_ACT</t>
  </si>
  <si>
    <t>FREQ_ANNUAL</t>
  </si>
  <si>
    <t>TMX_FREQUENCY_SEMIANNUALLY</t>
  </si>
  <si>
    <t>bond</t>
  </si>
  <si>
    <t>curve</t>
  </si>
  <si>
    <t>cash</t>
  </si>
  <si>
    <t>present</t>
  </si>
  <si>
    <t>yield</t>
  </si>
  <si>
    <t>duration</t>
  </si>
  <si>
    <t>convexity</t>
  </si>
  <si>
    <t>TMX_DAY_COUNT_30_360</t>
  </si>
  <si>
    <t>oas</t>
  </si>
  <si>
    <t>dt</t>
  </si>
  <si>
    <t>forward_dt</t>
  </si>
  <si>
    <t>spot_dt</t>
  </si>
  <si>
    <t>=\TMX.CURVE.CONSTANT(H3+0*RAND())</t>
  </si>
  <si>
    <t>TMX_HOLIDAY_CALENDAR_ENUM</t>
  </si>
  <si>
    <t>CALENDAR</t>
  </si>
  <si>
    <t>holiday</t>
  </si>
  <si>
    <t>=\TMX.BOND.BASIC(dated, maturity, coupon, ENUM(frequency), ENUM(day_count))</t>
  </si>
  <si>
    <t>=\TMX.BOND.BASIC.INSTRUMENT(bond_basic,pvdate)</t>
  </si>
  <si>
    <t>=\TMX.BOND.BASIC(dated,maturity,coupon,ENUM(frequency),ENUM(day_count))</t>
  </si>
  <si>
    <t>=\TMX.BOND.BASIC.INSTRUMENT(bond,pvdate)</t>
  </si>
  <si>
    <t>=TMX.BOND.BASIC(bond)</t>
  </si>
  <si>
    <t>=TMX.BOND.BASIC(K2)</t>
  </si>
  <si>
    <t>TMX_DAY_COUNT_30E_360</t>
  </si>
  <si>
    <t>TMX_HOLIDAY_CALENDAR_NONE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</si>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</sst>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0x&quot;#"/>
    <numFmt numFmtId="165" formatCode="m/d/yy"/>
    <numFmt numFmtId="166" formatCode="0.0000"/>
    <numFmt numFmtId="167" formatCode="0.000"/>
    <numFmt numFmtId="168" formatCode="0.00000"/>
    <numFmt numFmtId="169" formatCode="#&quot;y&quot;"/>
    <numFmt numFmtId="170" formatCode="#&quot;d&quot;"/>
    <numFmt numFmtId="171" formatCode="m/d/yy;@"/>
  </numFmts>
  <fonts count="2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14"/>
      <color theme="0" tint="-0.34998626667073579"/>
      <name val="Aptos Narrow"/>
      <family val="2"/>
      <scheme val="minor"/>
    </font>
    <font>
      <b/>
      <sz val="14"/>
      <color theme="0"/>
      <name val="Aptos Narrow"/>
      <family val="2"/>
    </font>
    <font>
      <sz val="14"/>
      <color theme="0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3" fillId="2" borderId="1" applyNumberFormat="0" applyAlignment="0" applyProtection="0"/>
    <xf numFmtId="0" fontId="14" fillId="3" borderId="2" applyNumberFormat="0" applyAlignment="0" applyProtection="0"/>
    <xf numFmtId="0" fontId="20" fillId="4" borderId="4" applyNumberFormat="0" applyAlignment="0" applyProtection="0"/>
  </cellStyleXfs>
  <cellXfs count="53">
    <xf numFmtId="0" fontId="0" fillId="0" borderId="0" xfId="0"/>
    <xf numFmtId="0" fontId="12" fillId="0" borderId="0" xfId="0" applyFont="1"/>
    <xf numFmtId="0" fontId="12" fillId="0" borderId="0" xfId="0" applyFont="1" applyAlignment="1">
      <alignment horizontal="right"/>
    </xf>
    <xf numFmtId="0" fontId="16" fillId="2" borderId="1" xfId="1" applyFont="1"/>
    <xf numFmtId="14" fontId="16" fillId="2" borderId="1" xfId="1" applyNumberFormat="1" applyFont="1"/>
    <xf numFmtId="0" fontId="17" fillId="3" borderId="2" xfId="2" applyFont="1"/>
    <xf numFmtId="0" fontId="15" fillId="0" borderId="3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164" fontId="1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14" fontId="7" fillId="0" borderId="0" xfId="0" applyNumberFormat="1" applyFont="1"/>
    <xf numFmtId="0" fontId="6" fillId="0" borderId="0" xfId="0" applyFont="1" applyAlignment="1">
      <alignment horizontal="right"/>
    </xf>
    <xf numFmtId="0" fontId="19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5" fontId="5" fillId="0" borderId="0" xfId="0" applyNumberFormat="1" applyFont="1"/>
    <xf numFmtId="0" fontId="3" fillId="0" borderId="0" xfId="0" quotePrefix="1" applyFont="1"/>
    <xf numFmtId="0" fontId="20" fillId="4" borderId="4" xfId="3"/>
    <xf numFmtId="14" fontId="21" fillId="0" borderId="0" xfId="0" applyNumberFormat="1" applyFont="1"/>
    <xf numFmtId="0" fontId="21" fillId="0" borderId="0" xfId="0" applyFont="1"/>
    <xf numFmtId="0" fontId="3" fillId="0" borderId="0" xfId="0" applyFont="1"/>
    <xf numFmtId="165" fontId="16" fillId="2" borderId="1" xfId="1" applyNumberFormat="1" applyFont="1"/>
    <xf numFmtId="9" fontId="16" fillId="2" borderId="1" xfId="1" applyNumberFormat="1" applyFont="1"/>
    <xf numFmtId="0" fontId="3" fillId="0" borderId="0" xfId="0" applyFont="1" applyAlignment="1">
      <alignment horizontal="right"/>
    </xf>
    <xf numFmtId="14" fontId="13" fillId="2" borderId="1" xfId="1" applyNumberFormat="1"/>
    <xf numFmtId="0" fontId="16" fillId="2" borderId="1" xfId="1" applyFont="1" applyAlignment="1">
      <alignment horizontal="right"/>
    </xf>
    <xf numFmtId="0" fontId="2" fillId="0" borderId="3" xfId="0" applyFont="1" applyBorder="1" applyAlignment="1">
      <alignment horizontal="center"/>
    </xf>
    <xf numFmtId="169" fontId="16" fillId="2" borderId="1" xfId="1" applyNumberFormat="1" applyFont="1"/>
    <xf numFmtId="170" fontId="16" fillId="2" borderId="1" xfId="1" applyNumberFormat="1" applyFont="1"/>
    <xf numFmtId="165" fontId="2" fillId="0" borderId="0" xfId="0" applyNumberFormat="1" applyFont="1" applyAlignment="1">
      <alignment horizontal="center"/>
    </xf>
    <xf numFmtId="166" fontId="17" fillId="3" borderId="2" xfId="2" applyNumberFormat="1" applyFont="1"/>
    <xf numFmtId="168" fontId="17" fillId="3" borderId="2" xfId="2" applyNumberFormat="1" applyFont="1"/>
    <xf numFmtId="167" fontId="17" fillId="3" borderId="2" xfId="2" applyNumberFormat="1" applyFont="1"/>
    <xf numFmtId="171" fontId="7" fillId="0" borderId="0" xfId="0" applyNumberFormat="1" applyFont="1"/>
    <xf numFmtId="171" fontId="2" fillId="0" borderId="3" xfId="0" applyNumberFormat="1" applyFont="1" applyBorder="1" applyAlignment="1">
      <alignment horizontal="center"/>
    </xf>
    <xf numFmtId="171" fontId="16" fillId="2" borderId="1" xfId="1" applyNumberFormat="1" applyFont="1"/>
    <xf numFmtId="171" fontId="2" fillId="0" borderId="0" xfId="0" applyNumberFormat="1" applyFont="1"/>
    <xf numFmtId="167" fontId="7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18" fillId="0" borderId="0" xfId="0" quotePrefix="1" applyNumberFormat="1" applyFont="1" applyAlignment="1">
      <alignment horizontal="center" vertical="center"/>
    </xf>
    <xf numFmtId="14" fontId="12" fillId="0" borderId="0" xfId="0" applyNumberFormat="1" applyFont="1"/>
    <xf numFmtId="14" fontId="21" fillId="0" borderId="0" xfId="0" quotePrefix="1" applyNumberFormat="1" applyFont="1"/>
    <xf numFmtId="0" fontId="1" fillId="0" borderId="0" xfId="0" applyFont="1"/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Walk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PWFLAT!$J$2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[0]!forward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0.31993008642231358</c:v>
                </c:pt>
                <c:pt idx="12">
                  <c:v>0.31993008642231358</c:v>
                </c:pt>
                <c:pt idx="13">
                  <c:v>0.31993008642231358</c:v>
                </c:pt>
                <c:pt idx="14">
                  <c:v>0.31993008642231358</c:v>
                </c:pt>
                <c:pt idx="15">
                  <c:v>0.31993008642231358</c:v>
                </c:pt>
                <c:pt idx="16">
                  <c:v>0.31993008642231358</c:v>
                </c:pt>
                <c:pt idx="17">
                  <c:v>0.31993008642231358</c:v>
                </c:pt>
                <c:pt idx="18">
                  <c:v>0.31993008642231358</c:v>
                </c:pt>
                <c:pt idx="19">
                  <c:v>0.31993008642231358</c:v>
                </c:pt>
                <c:pt idx="20">
                  <c:v>0.31993008642231358</c:v>
                </c:pt>
                <c:pt idx="21">
                  <c:v>0.35225350079081763</c:v>
                </c:pt>
                <c:pt idx="22">
                  <c:v>0.35225350079081763</c:v>
                </c:pt>
                <c:pt idx="23">
                  <c:v>0.35225350079081763</c:v>
                </c:pt>
                <c:pt idx="24">
                  <c:v>0.35225350079081763</c:v>
                </c:pt>
                <c:pt idx="25">
                  <c:v>0.35225350079081763</c:v>
                </c:pt>
                <c:pt idx="26">
                  <c:v>0.35225350079081763</c:v>
                </c:pt>
                <c:pt idx="27">
                  <c:v>0.35225350079081763</c:v>
                </c:pt>
                <c:pt idx="28">
                  <c:v>0.35225350079081763</c:v>
                </c:pt>
                <c:pt idx="29">
                  <c:v>0.35225350079081763</c:v>
                </c:pt>
                <c:pt idx="30">
                  <c:v>0.35225350079081763</c:v>
                </c:pt>
                <c:pt idx="31">
                  <c:v>0.86718345593191604</c:v>
                </c:pt>
                <c:pt idx="32">
                  <c:v>0.86718345593191604</c:v>
                </c:pt>
                <c:pt idx="33">
                  <c:v>0.86718345593191604</c:v>
                </c:pt>
                <c:pt idx="34">
                  <c:v>0.86718345593191604</c:v>
                </c:pt>
                <c:pt idx="35">
                  <c:v>0.86718345593191604</c:v>
                </c:pt>
                <c:pt idx="36">
                  <c:v>0.86718345593191604</c:v>
                </c:pt>
                <c:pt idx="37">
                  <c:v>0.86718345593191604</c:v>
                </c:pt>
                <c:pt idx="38">
                  <c:v>0.86718345593191604</c:v>
                </c:pt>
                <c:pt idx="39">
                  <c:v>0.86718345593191604</c:v>
                </c:pt>
                <c:pt idx="40">
                  <c:v>0.86718345593191604</c:v>
                </c:pt>
                <c:pt idx="41">
                  <c:v>1.6952144448243969</c:v>
                </c:pt>
                <c:pt idx="42">
                  <c:v>1.6952144448243969</c:v>
                </c:pt>
                <c:pt idx="43">
                  <c:v>1.6952144448243969</c:v>
                </c:pt>
                <c:pt idx="44">
                  <c:v>1.6952144448243969</c:v>
                </c:pt>
                <c:pt idx="45">
                  <c:v>1.6952144448243969</c:v>
                </c:pt>
                <c:pt idx="46">
                  <c:v>1.6952144448243969</c:v>
                </c:pt>
                <c:pt idx="47">
                  <c:v>1.6952144448243969</c:v>
                </c:pt>
                <c:pt idx="48">
                  <c:v>1.6952144448243969</c:v>
                </c:pt>
                <c:pt idx="49">
                  <c:v>1.6952144448243969</c:v>
                </c:pt>
                <c:pt idx="50">
                  <c:v>1.6952144448243969</c:v>
                </c:pt>
                <c:pt idx="51">
                  <c:v>2.0178333886616362</c:v>
                </c:pt>
                <c:pt idx="52">
                  <c:v>2.0178333886616362</c:v>
                </c:pt>
                <c:pt idx="53">
                  <c:v>2.0178333886616362</c:v>
                </c:pt>
                <c:pt idx="54">
                  <c:v>2.0178333886616362</c:v>
                </c:pt>
                <c:pt idx="55">
                  <c:v>2.0178333886616362</c:v>
                </c:pt>
                <c:pt idx="56">
                  <c:v>2.0178333886616362</c:v>
                </c:pt>
                <c:pt idx="57">
                  <c:v>2.0178333886616362</c:v>
                </c:pt>
                <c:pt idx="58">
                  <c:v>2.0178333886616362</c:v>
                </c:pt>
                <c:pt idx="59">
                  <c:v>2.0178333886616362</c:v>
                </c:pt>
                <c:pt idx="60">
                  <c:v>2.0178333886616362</c:v>
                </c:pt>
                <c:pt idx="61">
                  <c:v>1.80809065458664</c:v>
                </c:pt>
                <c:pt idx="62">
                  <c:v>1.80809065458664</c:v>
                </c:pt>
                <c:pt idx="63">
                  <c:v>1.80809065458664</c:v>
                </c:pt>
                <c:pt idx="64">
                  <c:v>1.80809065458664</c:v>
                </c:pt>
                <c:pt idx="65">
                  <c:v>1.80809065458664</c:v>
                </c:pt>
                <c:pt idx="66">
                  <c:v>1.80809065458664</c:v>
                </c:pt>
                <c:pt idx="67">
                  <c:v>1.80809065458664</c:v>
                </c:pt>
                <c:pt idx="68">
                  <c:v>1.80809065458664</c:v>
                </c:pt>
                <c:pt idx="69">
                  <c:v>1.80809065458664</c:v>
                </c:pt>
                <c:pt idx="70">
                  <c:v>1.80809065458664</c:v>
                </c:pt>
                <c:pt idx="71">
                  <c:v>1.3900139664667821</c:v>
                </c:pt>
                <c:pt idx="72">
                  <c:v>1.3900139664667821</c:v>
                </c:pt>
                <c:pt idx="73">
                  <c:v>1.3900139664667821</c:v>
                </c:pt>
                <c:pt idx="74">
                  <c:v>1.3900139664667821</c:v>
                </c:pt>
                <c:pt idx="75">
                  <c:v>1.3900139664667821</c:v>
                </c:pt>
                <c:pt idx="76">
                  <c:v>1.3900139664667821</c:v>
                </c:pt>
                <c:pt idx="77">
                  <c:v>1.3900139664667821</c:v>
                </c:pt>
                <c:pt idx="78">
                  <c:v>1.3900139664667821</c:v>
                </c:pt>
                <c:pt idx="79">
                  <c:v>1.3900139664667821</c:v>
                </c:pt>
                <c:pt idx="80">
                  <c:v>1.3900139664667821</c:v>
                </c:pt>
                <c:pt idx="81">
                  <c:v>1.2721781748845151</c:v>
                </c:pt>
                <c:pt idx="82">
                  <c:v>1.2721781748845151</c:v>
                </c:pt>
                <c:pt idx="83">
                  <c:v>1.2721781748845151</c:v>
                </c:pt>
                <c:pt idx="84">
                  <c:v>1.2721781748845151</c:v>
                </c:pt>
                <c:pt idx="85">
                  <c:v>1.2721781748845151</c:v>
                </c:pt>
                <c:pt idx="86">
                  <c:v>1.2721781748845151</c:v>
                </c:pt>
                <c:pt idx="87">
                  <c:v>1.2721781748845151</c:v>
                </c:pt>
                <c:pt idx="88">
                  <c:v>1.2721781748845151</c:v>
                </c:pt>
                <c:pt idx="89">
                  <c:v>1.2721781748845151</c:v>
                </c:pt>
                <c:pt idx="90">
                  <c:v>1.2721781748845151</c:v>
                </c:pt>
                <c:pt idx="91">
                  <c:v>1.7178866394044452</c:v>
                </c:pt>
                <c:pt idx="92">
                  <c:v>1.7178866394044452</c:v>
                </c:pt>
                <c:pt idx="93">
                  <c:v>1.7178866394044452</c:v>
                </c:pt>
                <c:pt idx="94">
                  <c:v>1.7178866394044452</c:v>
                </c:pt>
                <c:pt idx="95">
                  <c:v>1.7178866394044452</c:v>
                </c:pt>
                <c:pt idx="96">
                  <c:v>1.7178866394044452</c:v>
                </c:pt>
                <c:pt idx="97">
                  <c:v>1.7178866394044452</c:v>
                </c:pt>
                <c:pt idx="98">
                  <c:v>1.7178866394044452</c:v>
                </c:pt>
                <c:pt idx="99">
                  <c:v>1.7178866394044452</c:v>
                </c:pt>
                <c:pt idx="100">
                  <c:v>1.7178866394044452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3-4AE5-B51D-033A042789E9}"/>
            </c:ext>
          </c:extLst>
        </c:ser>
        <c:ser>
          <c:idx val="1"/>
          <c:order val="1"/>
          <c:tx>
            <c:strRef>
              <c:f>PWFLAT!$K$2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[0]!spot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2.9084553311119435E-2</c:v>
                </c:pt>
                <c:pt idx="12">
                  <c:v>5.3321681070385631E-2</c:v>
                </c:pt>
                <c:pt idx="13">
                  <c:v>7.3830019943610839E-2</c:v>
                </c:pt>
                <c:pt idx="14">
                  <c:v>9.1408596120661045E-2</c:v>
                </c:pt>
                <c:pt idx="15">
                  <c:v>0.10664336214077119</c:v>
                </c:pt>
                <c:pt idx="16">
                  <c:v>0.1199737824083676</c:v>
                </c:pt>
                <c:pt idx="17">
                  <c:v>0.13173591793859973</c:v>
                </c:pt>
                <c:pt idx="18">
                  <c:v>0.14219114952102826</c:v>
                </c:pt>
                <c:pt idx="19">
                  <c:v>0.1515458304105696</c:v>
                </c:pt>
                <c:pt idx="20">
                  <c:v>0.15996504321115679</c:v>
                </c:pt>
                <c:pt idx="21">
                  <c:v>0.16912163642923589</c:v>
                </c:pt>
                <c:pt idx="22">
                  <c:v>0.17744581208203505</c:v>
                </c:pt>
                <c:pt idx="23">
                  <c:v>0.18504614637372124</c:v>
                </c:pt>
                <c:pt idx="24">
                  <c:v>0.19201311947443361</c:v>
                </c:pt>
                <c:pt idx="25">
                  <c:v>0.19842273472708896</c:v>
                </c:pt>
                <c:pt idx="26">
                  <c:v>0.20433930265261699</c:v>
                </c:pt>
                <c:pt idx="27">
                  <c:v>0.20981760628736515</c:v>
                </c:pt>
                <c:pt idx="28">
                  <c:v>0.21490460251963131</c:v>
                </c:pt>
                <c:pt idx="29">
                  <c:v>0.21964077142553434</c:v>
                </c:pt>
                <c:pt idx="30">
                  <c:v>0.22406119573771041</c:v>
                </c:pt>
                <c:pt idx="31">
                  <c:v>0.24480707509881383</c:v>
                </c:pt>
                <c:pt idx="32">
                  <c:v>0.2642563369998483</c:v>
                </c:pt>
                <c:pt idx="33">
                  <c:v>0.28252685575536551</c:v>
                </c:pt>
                <c:pt idx="34">
                  <c:v>0.29972263811349936</c:v>
                </c:pt>
                <c:pt idx="35">
                  <c:v>0.31593580433688262</c:v>
                </c:pt>
                <c:pt idx="36">
                  <c:v>0.33124823910341133</c:v>
                </c:pt>
                <c:pt idx="37">
                  <c:v>0.34573297469337094</c:v>
                </c:pt>
                <c:pt idx="38">
                  <c:v>0.35945535577859583</c:v>
                </c:pt>
                <c:pt idx="39">
                  <c:v>0.37247402501329635</c:v>
                </c:pt>
                <c:pt idx="40">
                  <c:v>0.38484176078626181</c:v>
                </c:pt>
                <c:pt idx="41">
                  <c:v>0.41680207015304577</c:v>
                </c:pt>
                <c:pt idx="42">
                  <c:v>0.44724046002617307</c:v>
                </c:pt>
                <c:pt idx="43">
                  <c:v>0.47626311083543393</c:v>
                </c:pt>
                <c:pt idx="44">
                  <c:v>0.50396655024427417</c:v>
                </c:pt>
                <c:pt idx="45">
                  <c:v>0.53043872567938799</c:v>
                </c:pt>
                <c:pt idx="46">
                  <c:v>0.55575993696514914</c:v>
                </c:pt>
                <c:pt idx="47">
                  <c:v>0.58000364989832454</c:v>
                </c:pt>
                <c:pt idx="48">
                  <c:v>0.60323720812595116</c:v>
                </c:pt>
                <c:pt idx="49">
                  <c:v>0.62552245785449079</c:v>
                </c:pt>
                <c:pt idx="50">
                  <c:v>0.6469162975938888</c:v>
                </c:pt>
                <c:pt idx="51">
                  <c:v>0.67379702486972715</c:v>
                </c:pt>
                <c:pt idx="52">
                  <c:v>0.6996438780195714</c:v>
                </c:pt>
                <c:pt idx="53">
                  <c:v>0.72451537822036527</c:v>
                </c:pt>
                <c:pt idx="54">
                  <c:v>0.74846571174705534</c:v>
                </c:pt>
                <c:pt idx="55">
                  <c:v>0.77154512405459308</c:v>
                </c:pt>
                <c:pt idx="56">
                  <c:v>0.79380027163686184</c:v>
                </c:pt>
                <c:pt idx="57">
                  <c:v>0.8152745368478227</c:v>
                </c:pt>
                <c:pt idx="58">
                  <c:v>0.83600831015495747</c:v>
                </c:pt>
                <c:pt idx="59">
                  <c:v>0.856039243688969</c:v>
                </c:pt>
                <c:pt idx="60">
                  <c:v>0.87540247943851346</c:v>
                </c:pt>
                <c:pt idx="61">
                  <c:v>0.89069244952290905</c:v>
                </c:pt>
                <c:pt idx="62">
                  <c:v>0.90548919476587242</c:v>
                </c:pt>
                <c:pt idx="63">
                  <c:v>0.91981620206461467</c:v>
                </c:pt>
                <c:pt idx="64">
                  <c:v>0.93369549038527144</c:v>
                </c:pt>
                <c:pt idx="65">
                  <c:v>0.9471477236806769</c:v>
                </c:pt>
                <c:pt idx="66">
                  <c:v>0.96019231354288859</c:v>
                </c:pt>
                <c:pt idx="67">
                  <c:v>0.97284751266294456</c:v>
                </c:pt>
                <c:pt idx="68">
                  <c:v>0.98513050004417546</c:v>
                </c:pt>
                <c:pt idx="69">
                  <c:v>0.99705745880566043</c:v>
                </c:pt>
                <c:pt idx="70">
                  <c:v>1.0086436473168172</c:v>
                </c:pt>
                <c:pt idx="71">
                  <c:v>1.0140150602625913</c:v>
                </c:pt>
                <c:pt idx="72">
                  <c:v>1.0192372672932051</c:v>
                </c:pt>
                <c:pt idx="73">
                  <c:v>1.0243164001585967</c:v>
                </c:pt>
                <c:pt idx="74">
                  <c:v>1.0292582591627613</c:v>
                </c:pt>
                <c:pt idx="75">
                  <c:v>1.0340683352601483</c:v>
                </c:pt>
                <c:pt idx="76">
                  <c:v>1.038751830407604</c:v>
                </c:pt>
                <c:pt idx="77">
                  <c:v>1.0433136763304502</c:v>
                </c:pt>
                <c:pt idx="78">
                  <c:v>1.0477585518450185</c:v>
                </c:pt>
                <c:pt idx="79">
                  <c:v>1.0520908988655473</c:v>
                </c:pt>
                <c:pt idx="80">
                  <c:v>1.0563149372105629</c:v>
                </c:pt>
                <c:pt idx="81">
                  <c:v>1.0589799154534512</c:v>
                </c:pt>
                <c:pt idx="82">
                  <c:v>1.0615798942270007</c:v>
                </c:pt>
                <c:pt idx="83">
                  <c:v>1.0641172229096214</c:v>
                </c:pt>
                <c:pt idx="84">
                  <c:v>1.0665941390045606</c:v>
                </c:pt>
                <c:pt idx="85">
                  <c:v>1.0690127747207954</c:v>
                </c:pt>
                <c:pt idx="86">
                  <c:v>1.0713751630947921</c:v>
                </c:pt>
                <c:pt idx="87">
                  <c:v>1.0736832436900763</c:v>
                </c:pt>
                <c:pt idx="88">
                  <c:v>1.0759388679081949</c:v>
                </c:pt>
                <c:pt idx="89">
                  <c:v>1.0781438039416367</c:v>
                </c:pt>
                <c:pt idx="90">
                  <c:v>1.0802997413965576</c:v>
                </c:pt>
                <c:pt idx="91">
                  <c:v>1.0873061908252157</c:v>
                </c:pt>
                <c:pt idx="92">
                  <c:v>1.0941603261358597</c:v>
                </c:pt>
                <c:pt idx="93">
                  <c:v>1.1008670606871349</c:v>
                </c:pt>
                <c:pt idx="94">
                  <c:v>1.1074310987585956</c:v>
                </c:pt>
                <c:pt idx="95">
                  <c:v>1.1138569465548676</c:v>
                </c:pt>
                <c:pt idx="96">
                  <c:v>1.1201489225220507</c:v>
                </c:pt>
                <c:pt idx="97">
                  <c:v>1.1263111670259931</c:v>
                </c:pt>
                <c:pt idx="98">
                  <c:v>1.132347651438018</c:v>
                </c:pt>
                <c:pt idx="99">
                  <c:v>1.138262186670002</c:v>
                </c:pt>
                <c:pt idx="100">
                  <c:v>1.1440584311973465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3-4AE5-B51D-033A042789E9}"/>
            </c:ext>
          </c:extLst>
        </c:ser>
        <c:ser>
          <c:idx val="2"/>
          <c:order val="2"/>
          <c:tx>
            <c:strRef>
              <c:f>PWFLAT!$M$2</c:f>
              <c:strCache>
                <c:ptCount val="1"/>
                <c:pt idx="0">
                  <c:v>forward_dt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[0]!forward_dt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A4-4CF6-97D3-D9E7F2EDB40A}"/>
            </c:ext>
          </c:extLst>
        </c:ser>
        <c:ser>
          <c:idx val="3"/>
          <c:order val="3"/>
          <c:tx>
            <c:strRef>
              <c:f>PWFLAT!$N$2</c:f>
              <c:strCache>
                <c:ptCount val="1"/>
                <c:pt idx="0">
                  <c:v>spot_dt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[0]!spot_dt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A4-4CF6-97D3-D9E7F2EDB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20672"/>
        <c:axId val="1903008192"/>
      </c:scatterChart>
      <c:valAx>
        <c:axId val="190302067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8192"/>
        <c:crosses val="autoZero"/>
        <c:crossBetween val="midCat"/>
      </c:valAx>
      <c:valAx>
        <c:axId val="19030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513396</xdr:colOff>
      <xdr:row>1</xdr:row>
      <xdr:rowOff>223836</xdr:rowOff>
    </xdr:from>
    <xdr:to>
      <xdr:col>24</xdr:col>
      <xdr:colOff>312419</xdr:colOff>
      <xdr:row>19</xdr:row>
      <xdr:rowOff>83819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28D46-80BD-3BA2-E0D3-8C3D1990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502-D294-49DE-A9D7-C71F5820CCB0}">
  <dimension ref="B2:P7"/>
  <sheetViews>
    <sheetView topLeftCell="J1" workbookViewId="0">
      <selection activeCell="O2" sqref="O2"/>
    </sheetView>
  </sheetViews>
  <sheetFormatPr defaultColWidth="9.109375" defaultRowHeight="18" x14ac:dyDescent="0.35"/>
  <cols>
    <col min="1" max="1" width="3.6640625" style="1" customWidth="1"/>
    <col min="2" max="2" width="41.44140625" style="1" bestFit="1" customWidth="1"/>
    <col min="3" max="3" width="3.6640625" style="1" customWidth="1"/>
    <col min="4" max="4" width="15.109375" style="1" bestFit="1" customWidth="1"/>
    <col min="5" max="5" width="41.44140625" style="1" bestFit="1" customWidth="1"/>
    <col min="6" max="6" width="3.6640625" style="1" customWidth="1"/>
    <col min="7" max="7" width="40.5546875" style="1" bestFit="1" customWidth="1"/>
    <col min="8" max="8" width="3.6640625" style="1" customWidth="1"/>
    <col min="9" max="9" width="15.44140625" style="1" bestFit="1" customWidth="1"/>
    <col min="10" max="10" width="40.5546875" style="1" bestFit="1" customWidth="1"/>
    <col min="11" max="11" width="3.6640625" style="1" customWidth="1"/>
    <col min="12" max="12" width="44" style="1" bestFit="1" customWidth="1"/>
    <col min="13" max="13" width="3.6640625" style="1" customWidth="1"/>
    <col min="14" max="14" width="9.109375" style="1"/>
    <col min="15" max="15" width="44" style="1" bestFit="1" customWidth="1"/>
    <col min="16" max="16" width="17.109375" style="1" bestFit="1" customWidth="1"/>
    <col min="17" max="16384" width="9.109375" style="1"/>
  </cols>
  <sheetData>
    <row r="2" spans="2:16" x14ac:dyDescent="0.35">
      <c r="B2" s="6" t="s">
        <v>0</v>
      </c>
      <c r="D2" s="2" t="s">
        <v>1</v>
      </c>
      <c r="E2" s="3" t="s">
        <v>51</v>
      </c>
      <c r="G2" s="6" t="s">
        <v>5</v>
      </c>
      <c r="I2" s="7" t="s">
        <v>6</v>
      </c>
      <c r="J2" s="3" t="s">
        <v>28</v>
      </c>
      <c r="K2" s="1" cm="1">
        <f t="array" ref="K2">_xll.ENUM(J2)</f>
        <v>2</v>
      </c>
      <c r="L2" s="6" t="s">
        <v>42</v>
      </c>
      <c r="N2" s="48" t="s">
        <v>43</v>
      </c>
      <c r="O2" s="3" t="s">
        <v>52</v>
      </c>
      <c r="P2" s="11" cm="1">
        <f t="array" ref="P2">_xll.ENUM(O2)</f>
        <v>140703488716256</v>
      </c>
    </row>
    <row r="3" spans="2:16" x14ac:dyDescent="0.35">
      <c r="B3" s="1" t="str" cm="1">
        <f t="array" ref="B3:B7">TRANSPOSE(_xll.ENUM(B2))</f>
        <v>TMX_DAY_COUNT_30_360</v>
      </c>
      <c r="D3" s="2" t="s">
        <v>2</v>
      </c>
      <c r="E3" s="4">
        <f ca="1">TODAY()</f>
        <v>45430</v>
      </c>
      <c r="G3" s="1" t="str" cm="1">
        <f t="array" ref="G3:G6">TRANSPOSE(_xll.ENUM(G2))</f>
        <v>TMX_FREQUENCY_ANNUALLY</v>
      </c>
      <c r="L3" s="1" t="str" cm="1">
        <f t="array" ref="L3:L7">TRANSPOSE(_xll.ENUM(L2))</f>
        <v>TMX_HOLIDAY_CALENDAR_DEFAULT</v>
      </c>
      <c r="N3" s="48" t="s">
        <v>2</v>
      </c>
      <c r="O3" s="50">
        <f ca="1">TODAY()</f>
        <v>45430</v>
      </c>
    </row>
    <row r="4" spans="2:16" x14ac:dyDescent="0.35">
      <c r="B4" s="1" t="str">
        <v>TMX_DAY_COUNT_30E_360</v>
      </c>
      <c r="D4" s="2" t="s">
        <v>3</v>
      </c>
      <c r="E4" s="3">
        <v>180</v>
      </c>
      <c r="G4" s="1" t="str">
        <v>TMX_FREQUENCY_SEMIANNUALLY</v>
      </c>
      <c r="L4" s="1" t="str">
        <v>TMX_HOLIDAY_CALENDAR_NONE</v>
      </c>
      <c r="N4" s="47" t="s">
        <v>44</v>
      </c>
      <c r="O4" s="5" t="b" cm="1">
        <f t="array" aca="1" ref="O4" ca="1">_xll.TMX.DATE.HOLIDAY.CALENDAR(_xll.ENUM(O2),O3)</f>
        <v>0</v>
      </c>
    </row>
    <row r="5" spans="2:16" x14ac:dyDescent="0.35">
      <c r="B5" s="1" t="str">
        <v>TMX_DAY_COUNT_ACTUAL_ACTUAL</v>
      </c>
      <c r="D5" s="2" t="s">
        <v>4</v>
      </c>
      <c r="E5" s="5" cm="1">
        <f t="array" aca="1" ref="E5" ca="1">_xll.TMX.DATE.DAY_COUNT(date,date+days,_xll.ENUM(DAY_COUNT))</f>
        <v>0.48888888888888887</v>
      </c>
      <c r="G5" s="1" t="str">
        <v>TMX_FREQUENCY_QUARTERLY</v>
      </c>
      <c r="L5" s="1" t="str">
        <v>TMX_HOLIDAY_CALENDAR_WEEKEND</v>
      </c>
    </row>
    <row r="6" spans="2:16" x14ac:dyDescent="0.35">
      <c r="B6" s="1" t="str">
        <v>TMX_DAY_COUNT_ACTUAL_360</v>
      </c>
      <c r="G6" s="1" t="str">
        <v>TMX_FREQUENCY_MONTHLY</v>
      </c>
      <c r="L6" s="1" t="str">
        <v>TMX_HOLIDAY_CALENDAR_SIFMA</v>
      </c>
    </row>
    <row r="7" spans="2:16" x14ac:dyDescent="0.35">
      <c r="B7" s="1" t="str">
        <v>TMX_DAY_COUNT_ACTUAL_365</v>
      </c>
      <c r="L7" s="1" t="str">
        <v>TMX_HOLIDAY_CALENDAR_NYSE</v>
      </c>
    </row>
  </sheetData>
  <dataValidations count="3">
    <dataValidation type="list" allowBlank="1" showInputMessage="1" showErrorMessage="1" sqref="E2" xr:uid="{020A661B-D0A7-4D9A-9D97-5C89B8254AB2}">
      <formula1>_xlfn.ANCHORARRAY($B$3)</formula1>
    </dataValidation>
    <dataValidation type="list" allowBlank="1" showInputMessage="1" showErrorMessage="1" sqref="J2" xr:uid="{2ECFD487-718F-4483-AAC1-E734D307F002}">
      <formula1>_xlfn.ANCHORARRAY($G$3)</formula1>
    </dataValidation>
    <dataValidation type="list" allowBlank="1" showInputMessage="1" showErrorMessage="1" sqref="O2" xr:uid="{D13625C8-E685-4748-8DB8-A3ABF091FDE3}">
      <formula1>_xlfn.ANCHORARRAY($L$3)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35DD-ADD1-43A6-94D0-1926D9A51F0B}">
  <dimension ref="B2:I15"/>
  <sheetViews>
    <sheetView workbookViewId="0">
      <selection activeCell="H3" sqref="H3"/>
    </sheetView>
  </sheetViews>
  <sheetFormatPr defaultColWidth="9.109375" defaultRowHeight="18" x14ac:dyDescent="0.35"/>
  <cols>
    <col min="1" max="1" width="3.6640625" style="13" customWidth="1"/>
    <col min="2" max="3" width="9.33203125" style="13" bestFit="1" customWidth="1"/>
    <col min="4" max="4" width="3.6640625" style="13" customWidth="1"/>
    <col min="5" max="5" width="13.6640625" style="13" bestFit="1" customWidth="1"/>
    <col min="6" max="6" width="9.33203125" style="13" bestFit="1" customWidth="1"/>
    <col min="7" max="7" width="9.109375" style="13"/>
    <col min="10" max="16384" width="9.109375" style="13"/>
  </cols>
  <sheetData>
    <row r="2" spans="2:9" x14ac:dyDescent="0.35">
      <c r="B2" s="3">
        <v>10</v>
      </c>
      <c r="D2" s="14" t="s">
        <v>14</v>
      </c>
      <c r="E2" s="11" cm="1">
        <f t="array" aca="1" ref="E2" ca="1">_xll.\TMX.INSTRUMENT(_xlfn.ANCHORARRAY(B3),_xlfn.ANCHORARRAY(C3))</f>
        <v>3244237016848</v>
      </c>
    </row>
    <row r="3" spans="2:9" x14ac:dyDescent="0.35">
      <c r="B3" s="13" cm="1">
        <f t="array" ref="B3:B12">_xlfn.SEQUENCE(B2,1,1)</f>
        <v>1</v>
      </c>
      <c r="C3" s="13" cm="1">
        <f t="array" aca="1" ref="C3:C12" ca="1">_xlfn.RANDARRAY(B2,1)</f>
        <v>7.3652517080705637E-2</v>
      </c>
      <c r="E3" s="13" cm="1">
        <f t="array" aca="1" ref="E3:F12" ca="1">_xll.TMX.INSTRUMENT(E2)</f>
        <v>1</v>
      </c>
      <c r="F3" s="13">
        <f ca="1"/>
        <v>7.3652517080705637E-2</v>
      </c>
      <c r="G3"/>
      <c r="H3" cm="1">
        <f t="array" aca="1" ref="H3:H12" ca="1">_xlfn.TAKE(_xlfn.ANCHORARRAY(B3),,1)-_xlfn.TAKE(_xlfn.ANCHORARRAY(E3),,1)</f>
        <v>0</v>
      </c>
      <c r="I3" cm="1">
        <f t="array" aca="1" ref="I3:I12" ca="1">_xlfn.TAKE(_xlfn.ANCHORARRAY(B3),,1)-_xlfn.TAKE(_xlfn.ANCHORARRAY(E3),,1)</f>
        <v>0</v>
      </c>
    </row>
    <row r="4" spans="2:9" x14ac:dyDescent="0.35">
      <c r="B4" s="13">
        <v>2</v>
      </c>
      <c r="C4" s="13">
        <f ca="1"/>
        <v>0.45928841731844638</v>
      </c>
      <c r="E4" s="13">
        <f ca="1"/>
        <v>2</v>
      </c>
      <c r="F4" s="13">
        <f ca="1"/>
        <v>0.45928841731844638</v>
      </c>
      <c r="G4"/>
      <c r="H4">
        <f ca="1"/>
        <v>0</v>
      </c>
      <c r="I4">
        <f ca="1"/>
        <v>0</v>
      </c>
    </row>
    <row r="5" spans="2:9" x14ac:dyDescent="0.35">
      <c r="B5" s="13">
        <v>3</v>
      </c>
      <c r="C5" s="13">
        <f ca="1"/>
        <v>0.23210650830927149</v>
      </c>
      <c r="E5" s="13">
        <f ca="1"/>
        <v>3</v>
      </c>
      <c r="F5" s="13">
        <f ca="1"/>
        <v>0.23210650830927149</v>
      </c>
      <c r="G5"/>
      <c r="H5">
        <f ca="1"/>
        <v>0</v>
      </c>
      <c r="I5">
        <f ca="1"/>
        <v>0</v>
      </c>
    </row>
    <row r="6" spans="2:9" x14ac:dyDescent="0.35">
      <c r="B6" s="13">
        <v>4</v>
      </c>
      <c r="C6" s="13">
        <f ca="1"/>
        <v>1.8667608369799416E-2</v>
      </c>
      <c r="E6" s="13">
        <f ca="1"/>
        <v>4</v>
      </c>
      <c r="F6" s="13">
        <f ca="1"/>
        <v>1.8667608369799416E-2</v>
      </c>
      <c r="G6"/>
      <c r="H6">
        <f ca="1"/>
        <v>0</v>
      </c>
      <c r="I6">
        <f ca="1"/>
        <v>0</v>
      </c>
    </row>
    <row r="7" spans="2:9" x14ac:dyDescent="0.35">
      <c r="B7" s="13">
        <v>5</v>
      </c>
      <c r="C7" s="13">
        <f ca="1"/>
        <v>0.26308628775786458</v>
      </c>
      <c r="E7" s="13">
        <f ca="1"/>
        <v>5</v>
      </c>
      <c r="F7" s="13">
        <f ca="1"/>
        <v>0.26308628775786458</v>
      </c>
      <c r="G7"/>
      <c r="H7">
        <f ca="1"/>
        <v>0</v>
      </c>
      <c r="I7">
        <f ca="1"/>
        <v>0</v>
      </c>
    </row>
    <row r="8" spans="2:9" x14ac:dyDescent="0.35">
      <c r="B8" s="13">
        <v>6</v>
      </c>
      <c r="C8" s="13">
        <f ca="1"/>
        <v>0.49746510315212134</v>
      </c>
      <c r="E8" s="13">
        <f ca="1"/>
        <v>6</v>
      </c>
      <c r="F8" s="13">
        <f ca="1"/>
        <v>0.49746510315212134</v>
      </c>
      <c r="G8"/>
      <c r="H8">
        <f ca="1"/>
        <v>0</v>
      </c>
      <c r="I8">
        <f ca="1"/>
        <v>0</v>
      </c>
    </row>
    <row r="9" spans="2:9" x14ac:dyDescent="0.35">
      <c r="B9" s="13">
        <v>7</v>
      </c>
      <c r="C9" s="13">
        <f ca="1"/>
        <v>7.6896264207773957E-2</v>
      </c>
      <c r="E9" s="13">
        <f ca="1"/>
        <v>7</v>
      </c>
      <c r="F9" s="13">
        <f ca="1"/>
        <v>7.6896264207773957E-2</v>
      </c>
      <c r="G9"/>
      <c r="H9">
        <f ca="1"/>
        <v>0</v>
      </c>
      <c r="I9">
        <f ca="1"/>
        <v>0</v>
      </c>
    </row>
    <row r="10" spans="2:9" x14ac:dyDescent="0.35">
      <c r="B10" s="13">
        <v>8</v>
      </c>
      <c r="C10" s="13">
        <f ca="1"/>
        <v>0.77238950211799251</v>
      </c>
      <c r="E10" s="13">
        <f ca="1"/>
        <v>8</v>
      </c>
      <c r="F10" s="13">
        <f ca="1"/>
        <v>0.77238950211799251</v>
      </c>
      <c r="G10"/>
      <c r="H10">
        <f ca="1"/>
        <v>0</v>
      </c>
      <c r="I10">
        <f ca="1"/>
        <v>0</v>
      </c>
    </row>
    <row r="11" spans="2:9" x14ac:dyDescent="0.35">
      <c r="B11" s="13">
        <v>9</v>
      </c>
      <c r="C11" s="13">
        <f ca="1"/>
        <v>0.65646751409871995</v>
      </c>
      <c r="E11" s="13">
        <f ca="1"/>
        <v>9</v>
      </c>
      <c r="F11" s="13">
        <f ca="1"/>
        <v>0.65646751409871995</v>
      </c>
      <c r="G11"/>
      <c r="H11">
        <f ca="1"/>
        <v>0</v>
      </c>
      <c r="I11">
        <f ca="1"/>
        <v>0</v>
      </c>
    </row>
    <row r="12" spans="2:9" x14ac:dyDescent="0.35">
      <c r="B12" s="13">
        <v>10</v>
      </c>
      <c r="C12" s="13">
        <f ca="1"/>
        <v>0.12870234274701198</v>
      </c>
      <c r="E12" s="13">
        <f ca="1"/>
        <v>10</v>
      </c>
      <c r="F12" s="13">
        <f ca="1"/>
        <v>0.12870234274701198</v>
      </c>
      <c r="G12"/>
      <c r="H12">
        <f ca="1"/>
        <v>0</v>
      </c>
      <c r="I12">
        <f ca="1"/>
        <v>0</v>
      </c>
    </row>
    <row r="13" spans="2:9" x14ac:dyDescent="0.35">
      <c r="G13"/>
    </row>
    <row r="14" spans="2:9" x14ac:dyDescent="0.35">
      <c r="G14"/>
    </row>
    <row r="15" spans="2:9" x14ac:dyDescent="0.35">
      <c r="G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266-91BE-4B2E-A8BC-1082BDC425C0}">
  <dimension ref="B1:N103"/>
  <sheetViews>
    <sheetView workbookViewId="0">
      <selection activeCell="M3" sqref="M3"/>
    </sheetView>
  </sheetViews>
  <sheetFormatPr defaultColWidth="9.109375" defaultRowHeight="18" x14ac:dyDescent="0.35"/>
  <cols>
    <col min="1" max="1" width="3.6640625" style="8" customWidth="1"/>
    <col min="2" max="3" width="9.109375" style="8"/>
    <col min="4" max="4" width="8.109375" style="28" customWidth="1"/>
    <col min="5" max="5" width="9.88671875" style="28" bestFit="1" customWidth="1"/>
    <col min="6" max="6" width="9.109375" style="28" customWidth="1"/>
    <col min="7" max="7" width="9.88671875" style="28" bestFit="1" customWidth="1"/>
    <col min="8" max="12" width="9.109375" style="8"/>
    <col min="13" max="13" width="9.109375" style="19" customWidth="1"/>
    <col min="14" max="14" width="10.44140625" style="8" bestFit="1" customWidth="1"/>
    <col min="15" max="16384" width="9.109375" style="8"/>
  </cols>
  <sheetData>
    <row r="1" spans="2:14" x14ac:dyDescent="0.35">
      <c r="D1" s="8"/>
      <c r="E1" s="8"/>
      <c r="F1" s="8"/>
      <c r="G1" s="8"/>
    </row>
    <row r="2" spans="2:14" x14ac:dyDescent="0.35">
      <c r="B2" s="9" t="s">
        <v>7</v>
      </c>
      <c r="C2" s="9" t="s">
        <v>8</v>
      </c>
      <c r="D2" s="3">
        <v>10</v>
      </c>
      <c r="E2" s="10" t="s">
        <v>12</v>
      </c>
      <c r="F2" s="11" cm="1">
        <f t="array" aca="1" ref="F2" ca="1">_xll.\TMX.CURVE.PWFLAT(_xlfn.ANCHORARRAY(B3),_xlfn.ANCHORARRAY(C3))</f>
        <v>3241428529040</v>
      </c>
      <c r="G2" s="48" t="s">
        <v>38</v>
      </c>
      <c r="H2" s="34">
        <v>1</v>
      </c>
      <c r="I2" s="12" t="s">
        <v>13</v>
      </c>
      <c r="J2" s="9" t="s">
        <v>9</v>
      </c>
      <c r="K2" s="9" t="s">
        <v>10</v>
      </c>
      <c r="L2" s="9" t="s">
        <v>11</v>
      </c>
      <c r="M2" s="48" t="s">
        <v>39</v>
      </c>
      <c r="N2" s="48" t="s">
        <v>40</v>
      </c>
    </row>
    <row r="3" spans="2:14" x14ac:dyDescent="0.35">
      <c r="B3" s="8" cm="1">
        <f t="array" ref="B3:B12">_xll.ARRAY.SEQUENCE(1,D2)</f>
        <v>1</v>
      </c>
      <c r="C3" s="8" cm="1">
        <f t="array" aca="1" ref="C3:C12" ca="1">_xlfn.VSTACK(0,_xlfn.SCAN(0,_xlfn.RANDARRAY(D2-1,1,-1,1),_xlfn.LAMBDA(_xlpm.a,_xlpm.b,_xlpm.a+_xlpm.b)))</f>
        <v>0</v>
      </c>
      <c r="D3" s="11" cm="1">
        <f t="array" ref="D3">_xll.\TMX.CURVE.PWFLAT(_xlfn.TAKE(_xlfn.ANCHORARRAY(B3),,1),_xlfn.TAKE(_xlfn.ANCHORARRAY(B3),,2))</f>
        <v>3241709668848</v>
      </c>
      <c r="E3" s="28" cm="1">
        <f t="array" aca="1" ref="E3:F13" ca="1">TRANSPOSE(_xll.TMX.CURVE.PWFLAT(F2))</f>
        <v>1</v>
      </c>
      <c r="F3" s="28">
        <f ca="1"/>
        <v>0</v>
      </c>
      <c r="G3" s="28" cm="1">
        <f t="array" ref="G3:H13">TRANSPOSE(_xll.TMX.CURVE.PWFLAT(D3))</f>
        <v>1</v>
      </c>
      <c r="H3" s="28">
        <v>1</v>
      </c>
      <c r="I3" s="8" cm="1">
        <f t="array" ref="I3:I103">_xll.ARRAY.SEQUENCE(0,D2,0.1)</f>
        <v>0</v>
      </c>
      <c r="J3" s="8" cm="1">
        <f t="array" aca="1" ref="J3:J103" ca="1">_xlfn.MAP(_xlfn.ANCHORARRAY($I3),_xlfn.LAMBDA(_xlpm.t,_xll.TMX.CURVE.FORWARD(pwflat,_xlpm.t)))</f>
        <v>0</v>
      </c>
      <c r="K3" s="8" cm="1">
        <f t="array" aca="1" ref="K3:K103" ca="1">_xlfn.MAP(_xlfn.ANCHORARRAY($I3),_xlfn.LAMBDA(_xlpm.t,_xll.TMX.CURVE.SPOT(pwflat,_xlpm.t)))</f>
        <v>0</v>
      </c>
      <c r="L3" s="8" cm="1">
        <f t="array" aca="1" ref="L3:L103" ca="1">_xlfn.MAP(_xlfn.ANCHORARRAY($I3),_xlfn.LAMBDA(_xlpm.t,_xll.TMX.CURVE.DISCOUNT(pwflat,_xlpm.t)))</f>
        <v>1</v>
      </c>
      <c r="M3" s="52" t="s">
        <v>53</v>
      </c>
      <c r="N3" s="8" cm="1">
        <f t="array" aca="1" ref="N3:N103" ca="1">_xlfn.VSTACK(0*_xlfn._xlws.FILTER(years, years&lt;dt),_xlfn.MAP(_xlfn._xlws.FILTER(years,years&gt;=dt),_xlfn.LAMBDA(_xlpm.t,_xll.TMX.CURVE.SPOT(pwflat,_xlpm.t,dt))))</f>
        <v>0</v>
      </c>
    </row>
    <row r="4" spans="2:14" x14ac:dyDescent="0.35">
      <c r="B4" s="8">
        <v>2</v>
      </c>
      <c r="C4" s="8">
        <f ca="1"/>
        <v>0.31993008642231358</v>
      </c>
      <c r="E4" s="28">
        <f ca="1"/>
        <v>2</v>
      </c>
      <c r="F4" s="28">
        <f ca="1"/>
        <v>0.31993008642231358</v>
      </c>
      <c r="G4" s="28">
        <v>2</v>
      </c>
      <c r="H4" s="28">
        <v>2</v>
      </c>
      <c r="I4" s="8">
        <v>0.1</v>
      </c>
      <c r="J4" s="8">
        <f ca="1"/>
        <v>0</v>
      </c>
      <c r="K4" s="8">
        <f ca="1"/>
        <v>0</v>
      </c>
      <c r="L4" s="8">
        <f ca="1"/>
        <v>1</v>
      </c>
      <c r="N4" s="8">
        <f ca="1"/>
        <v>0</v>
      </c>
    </row>
    <row r="5" spans="2:14" x14ac:dyDescent="0.35">
      <c r="B5" s="8">
        <v>3</v>
      </c>
      <c r="C5" s="8">
        <f ca="1"/>
        <v>0.35225350079081763</v>
      </c>
      <c r="E5" s="28">
        <f ca="1"/>
        <v>3</v>
      </c>
      <c r="F5" s="28">
        <f ca="1"/>
        <v>0.35225350079081763</v>
      </c>
      <c r="G5" s="28">
        <v>3</v>
      </c>
      <c r="H5" s="28">
        <v>3</v>
      </c>
      <c r="I5" s="8">
        <v>0.2</v>
      </c>
      <c r="J5" s="8">
        <f ca="1"/>
        <v>0</v>
      </c>
      <c r="K5" s="8">
        <f ca="1"/>
        <v>0</v>
      </c>
      <c r="L5" s="8">
        <f ca="1"/>
        <v>1</v>
      </c>
      <c r="N5" s="8">
        <f ca="1"/>
        <v>0</v>
      </c>
    </row>
    <row r="6" spans="2:14" x14ac:dyDescent="0.35">
      <c r="B6" s="8">
        <v>4</v>
      </c>
      <c r="C6" s="8">
        <f ca="1"/>
        <v>0.86718345593191604</v>
      </c>
      <c r="E6" s="28">
        <f ca="1"/>
        <v>4</v>
      </c>
      <c r="F6" s="28">
        <f ca="1"/>
        <v>0.86718345593191604</v>
      </c>
      <c r="G6" s="28">
        <v>4</v>
      </c>
      <c r="H6" s="28">
        <v>4</v>
      </c>
      <c r="I6" s="8">
        <v>0.30000000000000004</v>
      </c>
      <c r="J6" s="8">
        <f ca="1"/>
        <v>0</v>
      </c>
      <c r="K6" s="8">
        <f ca="1"/>
        <v>0</v>
      </c>
      <c r="L6" s="8">
        <f ca="1"/>
        <v>1</v>
      </c>
      <c r="N6" s="8">
        <f ca="1"/>
        <v>0</v>
      </c>
    </row>
    <row r="7" spans="2:14" x14ac:dyDescent="0.35">
      <c r="B7" s="8">
        <v>5</v>
      </c>
      <c r="C7" s="8">
        <f ca="1"/>
        <v>1.6952144448243969</v>
      </c>
      <c r="E7" s="28">
        <f ca="1"/>
        <v>5</v>
      </c>
      <c r="F7" s="28">
        <f ca="1"/>
        <v>1.6952144448243969</v>
      </c>
      <c r="G7" s="28">
        <v>5</v>
      </c>
      <c r="H7" s="28">
        <v>5</v>
      </c>
      <c r="I7" s="8">
        <v>0.4</v>
      </c>
      <c r="J7" s="8">
        <f ca="1"/>
        <v>0</v>
      </c>
      <c r="K7" s="8">
        <f ca="1"/>
        <v>0</v>
      </c>
      <c r="L7" s="8">
        <f ca="1"/>
        <v>1</v>
      </c>
      <c r="N7" s="8">
        <f ca="1"/>
        <v>0</v>
      </c>
    </row>
    <row r="8" spans="2:14" x14ac:dyDescent="0.35">
      <c r="B8" s="8">
        <v>6</v>
      </c>
      <c r="C8" s="8">
        <f ca="1"/>
        <v>2.0178333886616362</v>
      </c>
      <c r="E8" s="28">
        <f ca="1"/>
        <v>6</v>
      </c>
      <c r="F8" s="28">
        <f ca="1"/>
        <v>2.0178333886616362</v>
      </c>
      <c r="G8" s="28">
        <v>6</v>
      </c>
      <c r="H8" s="28">
        <v>6</v>
      </c>
      <c r="I8" s="8">
        <v>0.5</v>
      </c>
      <c r="J8" s="8">
        <f ca="1"/>
        <v>0</v>
      </c>
      <c r="K8" s="8">
        <f ca="1"/>
        <v>0</v>
      </c>
      <c r="L8" s="8">
        <f ca="1"/>
        <v>1</v>
      </c>
      <c r="N8" s="8">
        <f ca="1"/>
        <v>0</v>
      </c>
    </row>
    <row r="9" spans="2:14" x14ac:dyDescent="0.35">
      <c r="B9" s="8">
        <v>7</v>
      </c>
      <c r="C9" s="8">
        <f ca="1"/>
        <v>1.80809065458664</v>
      </c>
      <c r="E9" s="28">
        <f ca="1"/>
        <v>7</v>
      </c>
      <c r="F9" s="28">
        <f ca="1"/>
        <v>1.80809065458664</v>
      </c>
      <c r="G9" s="28">
        <v>7</v>
      </c>
      <c r="H9" s="28">
        <v>7</v>
      </c>
      <c r="I9" s="8">
        <v>0.60000000000000009</v>
      </c>
      <c r="J9" s="8">
        <f ca="1"/>
        <v>0</v>
      </c>
      <c r="K9" s="8">
        <f ca="1"/>
        <v>0</v>
      </c>
      <c r="L9" s="8">
        <f ca="1"/>
        <v>1</v>
      </c>
      <c r="N9" s="8">
        <f ca="1"/>
        <v>0</v>
      </c>
    </row>
    <row r="10" spans="2:14" x14ac:dyDescent="0.35">
      <c r="B10" s="8">
        <v>8</v>
      </c>
      <c r="C10" s="8">
        <f ca="1"/>
        <v>1.3900139664667821</v>
      </c>
      <c r="E10" s="28">
        <f ca="1"/>
        <v>8</v>
      </c>
      <c r="F10" s="28">
        <f ca="1"/>
        <v>1.3900139664667821</v>
      </c>
      <c r="G10" s="28">
        <v>8</v>
      </c>
      <c r="H10" s="28">
        <v>8</v>
      </c>
      <c r="I10" s="8">
        <v>0.70000000000000007</v>
      </c>
      <c r="J10" s="8">
        <f ca="1"/>
        <v>0</v>
      </c>
      <c r="K10" s="8">
        <f ca="1"/>
        <v>0</v>
      </c>
      <c r="L10" s="8">
        <f ca="1"/>
        <v>1</v>
      </c>
      <c r="N10" s="8">
        <f ca="1"/>
        <v>0</v>
      </c>
    </row>
    <row r="11" spans="2:14" x14ac:dyDescent="0.35">
      <c r="B11" s="8">
        <v>9</v>
      </c>
      <c r="C11" s="8">
        <f ca="1"/>
        <v>1.2721781748845151</v>
      </c>
      <c r="E11" s="28">
        <f ca="1"/>
        <v>9</v>
      </c>
      <c r="F11" s="28">
        <f ca="1"/>
        <v>1.2721781748845151</v>
      </c>
      <c r="G11" s="28">
        <v>9</v>
      </c>
      <c r="H11" s="28">
        <v>9</v>
      </c>
      <c r="I11" s="8">
        <v>0.8</v>
      </c>
      <c r="J11" s="8">
        <f ca="1"/>
        <v>0</v>
      </c>
      <c r="K11" s="8">
        <f ca="1"/>
        <v>0</v>
      </c>
      <c r="L11" s="8">
        <f ca="1"/>
        <v>1</v>
      </c>
      <c r="N11" s="8">
        <f ca="1"/>
        <v>0</v>
      </c>
    </row>
    <row r="12" spans="2:14" x14ac:dyDescent="0.35">
      <c r="B12" s="8">
        <v>10</v>
      </c>
      <c r="C12" s="8">
        <f ca="1"/>
        <v>1.7178866394044452</v>
      </c>
      <c r="E12" s="28">
        <f ca="1"/>
        <v>10</v>
      </c>
      <c r="F12" s="28">
        <f ca="1"/>
        <v>1.7178866394044452</v>
      </c>
      <c r="G12" s="28">
        <v>10</v>
      </c>
      <c r="H12" s="28">
        <v>10</v>
      </c>
      <c r="I12" s="8">
        <v>0.9</v>
      </c>
      <c r="J12" s="8">
        <f ca="1"/>
        <v>0</v>
      </c>
      <c r="K12" s="8">
        <f ca="1"/>
        <v>0</v>
      </c>
      <c r="L12" s="8">
        <f ca="1"/>
        <v>1</v>
      </c>
      <c r="N12" s="8">
        <f ca="1"/>
        <v>0</v>
      </c>
    </row>
    <row r="13" spans="2:14" x14ac:dyDescent="0.35">
      <c r="E13" s="28">
        <f ca="1"/>
        <v>10</v>
      </c>
      <c r="F13" s="28" t="e">
        <f ca="1"/>
        <v>#NUM!</v>
      </c>
      <c r="G13" s="28">
        <v>10</v>
      </c>
      <c r="H13" s="28" t="e">
        <v>#NUM!</v>
      </c>
      <c r="I13" s="8">
        <v>1</v>
      </c>
      <c r="J13" s="8">
        <f ca="1"/>
        <v>0</v>
      </c>
      <c r="K13" s="8">
        <f ca="1"/>
        <v>0</v>
      </c>
      <c r="L13" s="8">
        <f ca="1"/>
        <v>1</v>
      </c>
      <c r="N13" s="8" t="e">
        <f ca="1"/>
        <v>#VALUE!</v>
      </c>
    </row>
    <row r="14" spans="2:14" x14ac:dyDescent="0.35">
      <c r="H14" s="28"/>
      <c r="I14" s="8">
        <v>1.1000000000000001</v>
      </c>
      <c r="J14" s="8">
        <f ca="1"/>
        <v>0.31993008642231358</v>
      </c>
      <c r="K14" s="8">
        <f ca="1"/>
        <v>2.9084553311119435E-2</v>
      </c>
      <c r="L14" s="8">
        <f ca="1"/>
        <v>0.9685133532788841</v>
      </c>
      <c r="N14" s="8" t="e">
        <f ca="1"/>
        <v>#VALUE!</v>
      </c>
    </row>
    <row r="15" spans="2:14" x14ac:dyDescent="0.35">
      <c r="H15" s="28"/>
      <c r="I15" s="8">
        <v>1.2000000000000002</v>
      </c>
      <c r="J15" s="8">
        <f ca="1"/>
        <v>0.31993008642231358</v>
      </c>
      <c r="K15" s="8">
        <f ca="1"/>
        <v>5.3321681070385631E-2</v>
      </c>
      <c r="L15" s="8">
        <f ca="1"/>
        <v>0.93801811547950853</v>
      </c>
      <c r="N15" s="8" t="e">
        <f ca="1"/>
        <v>#VALUE!</v>
      </c>
    </row>
    <row r="16" spans="2:14" x14ac:dyDescent="0.35">
      <c r="H16" s="28"/>
      <c r="I16" s="8">
        <v>1.3</v>
      </c>
      <c r="J16" s="8">
        <f ca="1"/>
        <v>0.31993008642231358</v>
      </c>
      <c r="K16" s="8">
        <f ca="1"/>
        <v>7.3830019943610839E-2</v>
      </c>
      <c r="L16" s="8">
        <f ca="1"/>
        <v>0.90848307045939836</v>
      </c>
      <c r="N16" s="8" t="e">
        <f ca="1"/>
        <v>#VALUE!</v>
      </c>
    </row>
    <row r="17" spans="8:14" x14ac:dyDescent="0.35">
      <c r="H17" s="28"/>
      <c r="I17" s="8">
        <v>1.4000000000000001</v>
      </c>
      <c r="J17" s="8">
        <f ca="1"/>
        <v>0.31993008642231358</v>
      </c>
      <c r="K17" s="8">
        <f ca="1"/>
        <v>9.1408596120661045E-2</v>
      </c>
      <c r="L17" s="8">
        <f ca="1"/>
        <v>0.87987798496772862</v>
      </c>
      <c r="N17" s="8" t="e">
        <f ca="1"/>
        <v>#VALUE!</v>
      </c>
    </row>
    <row r="18" spans="8:14" x14ac:dyDescent="0.35">
      <c r="H18" s="28"/>
      <c r="I18" s="8">
        <v>1.5</v>
      </c>
      <c r="J18" s="8">
        <f ca="1"/>
        <v>0.31993008642231358</v>
      </c>
      <c r="K18" s="8">
        <f ca="1"/>
        <v>0.10664336214077119</v>
      </c>
      <c r="L18" s="8">
        <f ca="1"/>
        <v>0.85217357769736246</v>
      </c>
      <c r="N18" s="8" t="e">
        <f ca="1"/>
        <v>#VALUE!</v>
      </c>
    </row>
    <row r="19" spans="8:14" x14ac:dyDescent="0.35">
      <c r="H19" s="28"/>
      <c r="I19" s="8">
        <v>1.6</v>
      </c>
      <c r="J19" s="8">
        <f ca="1"/>
        <v>0.31993008642231358</v>
      </c>
      <c r="K19" s="8">
        <f ca="1"/>
        <v>0.1199737824083676</v>
      </c>
      <c r="L19" s="8">
        <f ca="1"/>
        <v>0.82534148931133611</v>
      </c>
      <c r="N19" s="8" t="e">
        <f ca="1"/>
        <v>#VALUE!</v>
      </c>
    </row>
    <row r="20" spans="8:14" x14ac:dyDescent="0.35">
      <c r="H20" s="28"/>
      <c r="I20" s="8">
        <v>1.7000000000000002</v>
      </c>
      <c r="J20" s="8">
        <f ca="1"/>
        <v>0.31993008642231358</v>
      </c>
      <c r="K20" s="8">
        <f ca="1"/>
        <v>0.13173591793859973</v>
      </c>
      <c r="L20" s="8">
        <f ca="1"/>
        <v>0.79935425341311039</v>
      </c>
      <c r="N20" s="8" t="e">
        <f ca="1"/>
        <v>#VALUE!</v>
      </c>
    </row>
    <row r="21" spans="8:14" x14ac:dyDescent="0.35">
      <c r="H21" s="28"/>
      <c r="I21" s="8">
        <v>1.8</v>
      </c>
      <c r="J21" s="8">
        <f ca="1"/>
        <v>0.31993008642231358</v>
      </c>
      <c r="K21" s="8">
        <f ca="1"/>
        <v>0.14219114952102826</v>
      </c>
      <c r="L21" s="8">
        <f ca="1"/>
        <v>0.77418526843087054</v>
      </c>
      <c r="N21" s="8" t="e">
        <f ca="1"/>
        <v>#VALUE!</v>
      </c>
    </row>
    <row r="22" spans="8:14" x14ac:dyDescent="0.35">
      <c r="H22" s="28"/>
      <c r="I22" s="8">
        <v>1.9000000000000001</v>
      </c>
      <c r="J22" s="8">
        <f ca="1"/>
        <v>0.31993008642231358</v>
      </c>
      <c r="K22" s="8">
        <f ca="1"/>
        <v>0.1515458304105696</v>
      </c>
      <c r="L22" s="8">
        <f ca="1"/>
        <v>0.74980877038709537</v>
      </c>
      <c r="N22" s="8" t="e">
        <f ca="1"/>
        <v>#VALUE!</v>
      </c>
    </row>
    <row r="23" spans="8:14" x14ac:dyDescent="0.35">
      <c r="H23" s="28"/>
      <c r="I23" s="8">
        <v>2</v>
      </c>
      <c r="J23" s="8">
        <f ca="1"/>
        <v>0.31993008642231358</v>
      </c>
      <c r="K23" s="8">
        <f ca="1"/>
        <v>0.15996504321115679</v>
      </c>
      <c r="L23" s="8">
        <f ca="1"/>
        <v>0.72619980652552263</v>
      </c>
      <c r="N23" s="8" t="e">
        <f ca="1"/>
        <v>#VALUE!</v>
      </c>
    </row>
    <row r="24" spans="8:14" x14ac:dyDescent="0.35">
      <c r="I24" s="8">
        <v>2.1</v>
      </c>
      <c r="J24" s="8">
        <f ca="1"/>
        <v>0.35225350079081763</v>
      </c>
      <c r="K24" s="8">
        <f ca="1"/>
        <v>0.16912163642923589</v>
      </c>
      <c r="L24" s="8">
        <f ca="1"/>
        <v>0.70106446373160247</v>
      </c>
      <c r="N24" s="8" t="e">
        <f ca="1"/>
        <v>#VALUE!</v>
      </c>
    </row>
    <row r="25" spans="8:14" x14ac:dyDescent="0.35">
      <c r="I25" s="8">
        <v>2.2000000000000002</v>
      </c>
      <c r="J25" s="8">
        <f ca="1"/>
        <v>0.35225350079081763</v>
      </c>
      <c r="K25" s="8">
        <f ca="1"/>
        <v>0.17744581208203505</v>
      </c>
      <c r="L25" s="8">
        <f ca="1"/>
        <v>0.67679910940599464</v>
      </c>
      <c r="N25" s="8" t="e">
        <f ca="1"/>
        <v>#VALUE!</v>
      </c>
    </row>
    <row r="26" spans="8:14" x14ac:dyDescent="0.35">
      <c r="I26" s="8">
        <v>2.3000000000000003</v>
      </c>
      <c r="J26" s="8">
        <f ca="1"/>
        <v>0.35225350079081763</v>
      </c>
      <c r="K26" s="8">
        <f ca="1"/>
        <v>0.18504614637372124</v>
      </c>
      <c r="L26" s="8">
        <f ca="1"/>
        <v>0.65337363136995541</v>
      </c>
      <c r="N26" s="8" t="e">
        <f ca="1"/>
        <v>#VALUE!</v>
      </c>
    </row>
    <row r="27" spans="8:14" x14ac:dyDescent="0.35">
      <c r="I27" s="8">
        <v>2.4000000000000004</v>
      </c>
      <c r="J27" s="8">
        <f ca="1"/>
        <v>0.35225350079081763</v>
      </c>
      <c r="K27" s="8">
        <f ca="1"/>
        <v>0.19201311947443361</v>
      </c>
      <c r="L27" s="8">
        <f ca="1"/>
        <v>0.63075895969224394</v>
      </c>
      <c r="N27" s="8" t="e">
        <f ca="1"/>
        <v>#VALUE!</v>
      </c>
    </row>
    <row r="28" spans="8:14" x14ac:dyDescent="0.35">
      <c r="I28" s="8">
        <v>2.5</v>
      </c>
      <c r="J28" s="8">
        <f ca="1"/>
        <v>0.35225350079081763</v>
      </c>
      <c r="K28" s="8">
        <f ca="1"/>
        <v>0.19842273472708896</v>
      </c>
      <c r="L28" s="8">
        <f ca="1"/>
        <v>0.60892703061468678</v>
      </c>
      <c r="N28" s="8" t="e">
        <f ca="1"/>
        <v>#VALUE!</v>
      </c>
    </row>
    <row r="29" spans="8:14" x14ac:dyDescent="0.35">
      <c r="I29" s="8">
        <v>2.6</v>
      </c>
      <c r="J29" s="8">
        <f ca="1"/>
        <v>0.35225350079081763</v>
      </c>
      <c r="K29" s="8">
        <f ca="1"/>
        <v>0.20433930265261699</v>
      </c>
      <c r="L29" s="8">
        <f ca="1"/>
        <v>0.58785075172635559</v>
      </c>
      <c r="N29" s="8" t="e">
        <f ca="1"/>
        <v>#VALUE!</v>
      </c>
    </row>
    <row r="30" spans="8:14" x14ac:dyDescent="0.35">
      <c r="I30" s="8">
        <v>2.7</v>
      </c>
      <c r="J30" s="8">
        <f ca="1"/>
        <v>0.35225350079081763</v>
      </c>
      <c r="K30" s="8">
        <f ca="1"/>
        <v>0.20981760628736515</v>
      </c>
      <c r="L30" s="8">
        <f ca="1"/>
        <v>0.56750396834314309</v>
      </c>
      <c r="N30" s="8" t="e">
        <f ca="1"/>
        <v>#VALUE!</v>
      </c>
    </row>
    <row r="31" spans="8:14" x14ac:dyDescent="0.35">
      <c r="I31" s="8">
        <v>2.8000000000000003</v>
      </c>
      <c r="J31" s="8">
        <f ca="1"/>
        <v>0.35225350079081763</v>
      </c>
      <c r="K31" s="8">
        <f ca="1"/>
        <v>0.21490460251963131</v>
      </c>
      <c r="L31" s="8">
        <f ca="1"/>
        <v>0.54786143105101337</v>
      </c>
      <c r="N31" s="8" t="e">
        <f ca="1"/>
        <v>#VALUE!</v>
      </c>
    </row>
    <row r="32" spans="8:14" x14ac:dyDescent="0.35">
      <c r="I32" s="8">
        <v>2.9000000000000004</v>
      </c>
      <c r="J32" s="8">
        <f ca="1"/>
        <v>0.35225350079081763</v>
      </c>
      <c r="K32" s="8">
        <f ca="1"/>
        <v>0.21964077142553434</v>
      </c>
      <c r="L32" s="8">
        <f ca="1"/>
        <v>0.52889876437265082</v>
      </c>
      <c r="N32" s="8" t="e">
        <f ca="1"/>
        <v>#VALUE!</v>
      </c>
    </row>
    <row r="33" spans="9:14" x14ac:dyDescent="0.35">
      <c r="I33" s="8">
        <v>3</v>
      </c>
      <c r="J33" s="8">
        <f ca="1"/>
        <v>0.35225350079081763</v>
      </c>
      <c r="K33" s="8">
        <f ca="1"/>
        <v>0.22406119573771041</v>
      </c>
      <c r="L33" s="8">
        <f ca="1"/>
        <v>0.51059243651862363</v>
      </c>
      <c r="N33" s="8" t="e">
        <f ca="1"/>
        <v>#VALUE!</v>
      </c>
    </row>
    <row r="34" spans="9:14" x14ac:dyDescent="0.35">
      <c r="I34" s="8">
        <v>3.1</v>
      </c>
      <c r="J34" s="8">
        <f ca="1"/>
        <v>0.86718345593191604</v>
      </c>
      <c r="K34" s="8">
        <f ca="1"/>
        <v>0.24480707509881383</v>
      </c>
      <c r="L34" s="8">
        <f ca="1"/>
        <v>0.4681802382189818</v>
      </c>
      <c r="N34" s="8" t="e">
        <f ca="1"/>
        <v>#VALUE!</v>
      </c>
    </row>
    <row r="35" spans="9:14" x14ac:dyDescent="0.35">
      <c r="I35" s="8">
        <v>3.2</v>
      </c>
      <c r="J35" s="8">
        <f ca="1"/>
        <v>0.86718345593191604</v>
      </c>
      <c r="K35" s="8">
        <f ca="1"/>
        <v>0.2642563369998483</v>
      </c>
      <c r="L35" s="8">
        <f ca="1"/>
        <v>0.42929099567809131</v>
      </c>
      <c r="N35" s="8" t="e">
        <f ca="1"/>
        <v>#VALUE!</v>
      </c>
    </row>
    <row r="36" spans="9:14" x14ac:dyDescent="0.35">
      <c r="I36" s="8">
        <v>3.3000000000000003</v>
      </c>
      <c r="J36" s="8">
        <f ca="1"/>
        <v>0.86718345593191604</v>
      </c>
      <c r="K36" s="8">
        <f ca="1"/>
        <v>0.28252685575536551</v>
      </c>
      <c r="L36" s="8">
        <f ca="1"/>
        <v>0.39363207569664393</v>
      </c>
      <c r="N36" s="8" t="e">
        <f ca="1"/>
        <v>#VALUE!</v>
      </c>
    </row>
    <row r="37" spans="9:14" x14ac:dyDescent="0.35">
      <c r="I37" s="8">
        <v>3.4000000000000004</v>
      </c>
      <c r="J37" s="8">
        <f ca="1"/>
        <v>0.86718345593191604</v>
      </c>
      <c r="K37" s="8">
        <f ca="1"/>
        <v>0.29972263811349936</v>
      </c>
      <c r="L37" s="8">
        <f ca="1"/>
        <v>0.3609351525589336</v>
      </c>
      <c r="N37" s="8" t="e">
        <f ca="1"/>
        <v>#VALUE!</v>
      </c>
    </row>
    <row r="38" spans="9:14" x14ac:dyDescent="0.35">
      <c r="I38" s="8">
        <v>3.5</v>
      </c>
      <c r="J38" s="8">
        <f ca="1"/>
        <v>0.86718345593191604</v>
      </c>
      <c r="K38" s="8">
        <f ca="1"/>
        <v>0.31593580433688262</v>
      </c>
      <c r="L38" s="8">
        <f ca="1"/>
        <v>0.33095418893946466</v>
      </c>
      <c r="N38" s="8" t="e">
        <f ca="1"/>
        <v>#VALUE!</v>
      </c>
    </row>
    <row r="39" spans="9:14" x14ac:dyDescent="0.35">
      <c r="I39" s="8">
        <v>3.6</v>
      </c>
      <c r="J39" s="8">
        <f ca="1"/>
        <v>0.86718345593191604</v>
      </c>
      <c r="K39" s="8">
        <f ca="1"/>
        <v>0.33124823910341133</v>
      </c>
      <c r="L39" s="8">
        <f ca="1"/>
        <v>0.30346358452490885</v>
      </c>
      <c r="N39" s="8" t="e">
        <f ca="1"/>
        <v>#VALUE!</v>
      </c>
    </row>
    <row r="40" spans="9:14" x14ac:dyDescent="0.35">
      <c r="I40" s="8">
        <v>3.7</v>
      </c>
      <c r="J40" s="8">
        <f ca="1"/>
        <v>0.86718345593191604</v>
      </c>
      <c r="K40" s="8">
        <f ca="1"/>
        <v>0.34573297469337094</v>
      </c>
      <c r="L40" s="8">
        <f ca="1"/>
        <v>0.27825647842019258</v>
      </c>
      <c r="N40" s="8" t="e">
        <f ca="1"/>
        <v>#VALUE!</v>
      </c>
    </row>
    <row r="41" spans="9:14" x14ac:dyDescent="0.35">
      <c r="I41" s="8">
        <v>3.8000000000000003</v>
      </c>
      <c r="J41" s="8">
        <f ca="1"/>
        <v>0.86718345593191604</v>
      </c>
      <c r="K41" s="8">
        <f ca="1"/>
        <v>0.35945535577859583</v>
      </c>
      <c r="L41" s="8">
        <f ca="1"/>
        <v>0.25514319256468082</v>
      </c>
      <c r="N41" s="8" t="e">
        <f ca="1"/>
        <v>#VALUE!</v>
      </c>
    </row>
    <row r="42" spans="9:14" x14ac:dyDescent="0.35">
      <c r="I42" s="8">
        <v>3.9000000000000004</v>
      </c>
      <c r="J42" s="8">
        <f ca="1"/>
        <v>0.86718345593191604</v>
      </c>
      <c r="K42" s="8">
        <f ca="1"/>
        <v>0.37247402501329635</v>
      </c>
      <c r="L42" s="8">
        <f ca="1"/>
        <v>0.23394980444550087</v>
      </c>
      <c r="N42" s="8" t="e">
        <f ca="1"/>
        <v>#VALUE!</v>
      </c>
    </row>
    <row r="43" spans="9:14" x14ac:dyDescent="0.35">
      <c r="I43" s="8">
        <v>4</v>
      </c>
      <c r="J43" s="8">
        <f ca="1"/>
        <v>0.86718345593191604</v>
      </c>
      <c r="K43" s="8">
        <f ca="1"/>
        <v>0.38484176078626181</v>
      </c>
      <c r="L43" s="8">
        <f ca="1"/>
        <v>0.21451683836798038</v>
      </c>
      <c r="N43" s="8" t="e">
        <f ca="1"/>
        <v>#VALUE!</v>
      </c>
    </row>
    <row r="44" spans="9:14" x14ac:dyDescent="0.35">
      <c r="I44" s="8">
        <v>4.1000000000000005</v>
      </c>
      <c r="J44" s="8">
        <f ca="1"/>
        <v>1.6952144448243969</v>
      </c>
      <c r="K44" s="8">
        <f ca="1"/>
        <v>0.41680207015304577</v>
      </c>
      <c r="L44" s="8">
        <f ca="1"/>
        <v>0.1810669389509906</v>
      </c>
      <c r="N44" s="8" t="e">
        <f ca="1"/>
        <v>#VALUE!</v>
      </c>
    </row>
    <row r="45" spans="9:14" x14ac:dyDescent="0.35">
      <c r="I45" s="8">
        <v>4.2</v>
      </c>
      <c r="J45" s="8">
        <f ca="1"/>
        <v>1.6952144448243969</v>
      </c>
      <c r="K45" s="8">
        <f ca="1"/>
        <v>0.44724046002617307</v>
      </c>
      <c r="L45" s="8">
        <f ca="1"/>
        <v>0.15283292738466658</v>
      </c>
      <c r="N45" s="8" t="e">
        <f ca="1"/>
        <v>#VALUE!</v>
      </c>
    </row>
    <row r="46" spans="9:14" x14ac:dyDescent="0.35">
      <c r="I46" s="8">
        <v>4.3</v>
      </c>
      <c r="J46" s="8">
        <f ca="1"/>
        <v>1.6952144448243969</v>
      </c>
      <c r="K46" s="8">
        <f ca="1"/>
        <v>0.47626311083543393</v>
      </c>
      <c r="L46" s="8">
        <f ca="1"/>
        <v>0.12900148325415201</v>
      </c>
      <c r="N46" s="8" t="e">
        <f ca="1"/>
        <v>#VALUE!</v>
      </c>
    </row>
    <row r="47" spans="9:14" x14ac:dyDescent="0.35">
      <c r="I47" s="8">
        <v>4.4000000000000004</v>
      </c>
      <c r="J47" s="8">
        <f ca="1"/>
        <v>1.6952144448243969</v>
      </c>
      <c r="K47" s="8">
        <f ca="1"/>
        <v>0.50396655024427417</v>
      </c>
      <c r="L47" s="8">
        <f ca="1"/>
        <v>0.10888610829187602</v>
      </c>
      <c r="N47" s="8" t="e">
        <f ca="1"/>
        <v>#VALUE!</v>
      </c>
    </row>
    <row r="48" spans="9:14" x14ac:dyDescent="0.35">
      <c r="I48" s="8">
        <v>4.5</v>
      </c>
      <c r="J48" s="8">
        <f ca="1"/>
        <v>1.6952144448243969</v>
      </c>
      <c r="K48" s="8">
        <f ca="1"/>
        <v>0.53043872567938799</v>
      </c>
      <c r="L48" s="8">
        <f ca="1"/>
        <v>9.1907350829383339E-2</v>
      </c>
      <c r="N48" s="8" t="e">
        <f ca="1"/>
        <v>#VALUE!</v>
      </c>
    </row>
    <row r="49" spans="9:14" x14ac:dyDescent="0.35">
      <c r="I49" s="8">
        <v>4.6000000000000005</v>
      </c>
      <c r="J49" s="8">
        <f ca="1"/>
        <v>1.6952144448243969</v>
      </c>
      <c r="K49" s="8">
        <f ca="1"/>
        <v>0.55575993696514914</v>
      </c>
      <c r="L49" s="8">
        <f ca="1"/>
        <v>7.757611387701295E-2</v>
      </c>
      <c r="N49" s="8" t="e">
        <f ca="1"/>
        <v>#VALUE!</v>
      </c>
    </row>
    <row r="50" spans="9:14" x14ac:dyDescent="0.35">
      <c r="I50" s="8">
        <v>4.7</v>
      </c>
      <c r="J50" s="8">
        <f ca="1"/>
        <v>1.6952144448243969</v>
      </c>
      <c r="K50" s="8">
        <f ca="1"/>
        <v>0.58000364989832454</v>
      </c>
      <c r="L50" s="8">
        <f ca="1"/>
        <v>6.5479565997187725E-2</v>
      </c>
      <c r="N50" s="8" t="e">
        <f ca="1"/>
        <v>#VALUE!</v>
      </c>
    </row>
    <row r="51" spans="9:14" x14ac:dyDescent="0.35">
      <c r="I51" s="8">
        <v>4.8000000000000007</v>
      </c>
      <c r="J51" s="8">
        <f ca="1"/>
        <v>1.6952144448243969</v>
      </c>
      <c r="K51" s="8">
        <f ca="1"/>
        <v>0.60323720812595116</v>
      </c>
      <c r="L51" s="8">
        <f ca="1"/>
        <v>5.5269249114198442E-2</v>
      </c>
      <c r="N51" s="8" t="e">
        <f ca="1"/>
        <v>#VALUE!</v>
      </c>
    </row>
    <row r="52" spans="9:14" x14ac:dyDescent="0.35">
      <c r="I52" s="8">
        <v>4.9000000000000004</v>
      </c>
      <c r="J52" s="8">
        <f ca="1"/>
        <v>1.6952144448243969</v>
      </c>
      <c r="K52" s="8">
        <f ca="1"/>
        <v>0.62552245785449079</v>
      </c>
      <c r="L52" s="8">
        <f ca="1"/>
        <v>4.6651040689220907E-2</v>
      </c>
      <c r="N52" s="8" t="e">
        <f ca="1"/>
        <v>#VALUE!</v>
      </c>
    </row>
    <row r="53" spans="9:14" x14ac:dyDescent="0.35">
      <c r="I53" s="8">
        <v>5</v>
      </c>
      <c r="J53" s="8">
        <f ca="1"/>
        <v>1.6952144448243969</v>
      </c>
      <c r="K53" s="8">
        <f ca="1"/>
        <v>0.6469162975938888</v>
      </c>
      <c r="L53" s="8">
        <f ca="1"/>
        <v>3.9376681106895253E-2</v>
      </c>
      <c r="N53" s="8" t="e">
        <f ca="1"/>
        <v>#VALUE!</v>
      </c>
    </row>
    <row r="54" spans="9:14" x14ac:dyDescent="0.35">
      <c r="I54" s="8">
        <v>5.1000000000000005</v>
      </c>
      <c r="J54" s="8">
        <f ca="1"/>
        <v>2.0178333886616362</v>
      </c>
      <c r="K54" s="8">
        <f ca="1"/>
        <v>0.67379702486972715</v>
      </c>
      <c r="L54" s="8">
        <f ca="1"/>
        <v>3.2181458127572192E-2</v>
      </c>
      <c r="N54" s="8" t="e">
        <f ca="1"/>
        <v>#VALUE!</v>
      </c>
    </row>
    <row r="55" spans="9:14" x14ac:dyDescent="0.35">
      <c r="I55" s="8">
        <v>5.2</v>
      </c>
      <c r="J55" s="8">
        <f ca="1"/>
        <v>2.0178333886616362</v>
      </c>
      <c r="K55" s="8">
        <f ca="1"/>
        <v>0.6996438780195714</v>
      </c>
      <c r="L55" s="8">
        <f ca="1"/>
        <v>2.630100399790504E-2</v>
      </c>
      <c r="N55" s="8" t="e">
        <f ca="1"/>
        <v>#VALUE!</v>
      </c>
    </row>
    <row r="56" spans="9:14" x14ac:dyDescent="0.35">
      <c r="I56" s="8">
        <v>5.3000000000000007</v>
      </c>
      <c r="J56" s="8">
        <f ca="1"/>
        <v>2.0178333886616362</v>
      </c>
      <c r="K56" s="8">
        <f ca="1"/>
        <v>0.72451537822036527</v>
      </c>
      <c r="L56" s="8">
        <f ca="1"/>
        <v>2.1495073609021757E-2</v>
      </c>
      <c r="N56" s="8" t="e">
        <f ca="1"/>
        <v>#VALUE!</v>
      </c>
    </row>
    <row r="57" spans="9:14" x14ac:dyDescent="0.35">
      <c r="I57" s="8">
        <v>5.4</v>
      </c>
      <c r="J57" s="8">
        <f ca="1"/>
        <v>2.0178333886616362</v>
      </c>
      <c r="K57" s="8">
        <f ca="1"/>
        <v>0.74846571174705534</v>
      </c>
      <c r="L57" s="8">
        <f ca="1"/>
        <v>1.7567321365148922E-2</v>
      </c>
      <c r="N57" s="8" t="e">
        <f ca="1"/>
        <v>#VALUE!</v>
      </c>
    </row>
    <row r="58" spans="9:14" x14ac:dyDescent="0.35">
      <c r="I58" s="8">
        <v>5.5</v>
      </c>
      <c r="J58" s="8">
        <f ca="1"/>
        <v>2.0178333886616362</v>
      </c>
      <c r="K58" s="8">
        <f ca="1"/>
        <v>0.77154512405459308</v>
      </c>
      <c r="L58" s="8">
        <f ca="1"/>
        <v>1.4357279512496764E-2</v>
      </c>
      <c r="N58" s="8" t="e">
        <f ca="1"/>
        <v>#VALUE!</v>
      </c>
    </row>
    <row r="59" spans="9:14" x14ac:dyDescent="0.35">
      <c r="I59" s="8">
        <v>5.6000000000000005</v>
      </c>
      <c r="J59" s="8">
        <f ca="1"/>
        <v>2.0178333886616362</v>
      </c>
      <c r="K59" s="8">
        <f ca="1"/>
        <v>0.79380027163686184</v>
      </c>
      <c r="L59" s="8">
        <f ca="1"/>
        <v>1.1733802252225796E-2</v>
      </c>
      <c r="N59" s="8" t="e">
        <f ca="1"/>
        <v>#VALUE!</v>
      </c>
    </row>
    <row r="60" spans="9:14" x14ac:dyDescent="0.35">
      <c r="I60" s="8">
        <v>5.7</v>
      </c>
      <c r="J60" s="8">
        <f ca="1"/>
        <v>2.0178333886616362</v>
      </c>
      <c r="K60" s="8">
        <f ca="1"/>
        <v>0.8152745368478227</v>
      </c>
      <c r="L60" s="8">
        <f ca="1"/>
        <v>9.5897077976715029E-3</v>
      </c>
      <c r="N60" s="8" t="e">
        <f ca="1"/>
        <v>#VALUE!</v>
      </c>
    </row>
    <row r="61" spans="9:14" x14ac:dyDescent="0.35">
      <c r="I61" s="8">
        <v>5.8000000000000007</v>
      </c>
      <c r="J61" s="8">
        <f ca="1"/>
        <v>2.0178333886616362</v>
      </c>
      <c r="K61" s="8">
        <f ca="1"/>
        <v>0.83600831015495747</v>
      </c>
      <c r="L61" s="8">
        <f ca="1"/>
        <v>7.8373994778441914E-3</v>
      </c>
      <c r="N61" s="8" t="e">
        <f ca="1"/>
        <v>#VALUE!</v>
      </c>
    </row>
    <row r="62" spans="9:14" x14ac:dyDescent="0.35">
      <c r="I62" s="8">
        <v>5.9</v>
      </c>
      <c r="J62" s="8">
        <f ca="1"/>
        <v>2.0178333886616362</v>
      </c>
      <c r="K62" s="8">
        <f ca="1"/>
        <v>0.856039243688969</v>
      </c>
      <c r="L62" s="8">
        <f ca="1"/>
        <v>6.4052869880172111E-3</v>
      </c>
      <c r="N62" s="8" t="e">
        <f ca="1"/>
        <v>#VALUE!</v>
      </c>
    </row>
    <row r="63" spans="9:14" x14ac:dyDescent="0.35">
      <c r="I63" s="8">
        <v>6</v>
      </c>
      <c r="J63" s="8">
        <f ca="1"/>
        <v>2.0178333886616362</v>
      </c>
      <c r="K63" s="8">
        <f ca="1"/>
        <v>0.87540247943851346</v>
      </c>
      <c r="L63" s="8">
        <f ca="1"/>
        <v>5.2348615781095745E-3</v>
      </c>
      <c r="N63" s="8" t="e">
        <f ca="1"/>
        <v>#VALUE!</v>
      </c>
    </row>
    <row r="64" spans="9:14" x14ac:dyDescent="0.35">
      <c r="I64" s="8">
        <v>6.1000000000000005</v>
      </c>
      <c r="J64" s="8">
        <f ca="1"/>
        <v>1.80809065458664</v>
      </c>
      <c r="K64" s="8">
        <f ca="1"/>
        <v>0.89069244952290905</v>
      </c>
      <c r="L64" s="8">
        <f ca="1"/>
        <v>4.3689877096842779E-3</v>
      </c>
      <c r="N64" s="8" t="e">
        <f ca="1"/>
        <v>#VALUE!</v>
      </c>
    </row>
    <row r="65" spans="9:14" x14ac:dyDescent="0.35">
      <c r="I65" s="8">
        <v>6.2</v>
      </c>
      <c r="J65" s="8">
        <f ca="1"/>
        <v>1.80809065458664</v>
      </c>
      <c r="K65" s="8">
        <f ca="1"/>
        <v>0.90548919476587242</v>
      </c>
      <c r="L65" s="8">
        <f ca="1"/>
        <v>3.6463339713111251E-3</v>
      </c>
      <c r="N65" s="8" t="e">
        <f ca="1"/>
        <v>#VALUE!</v>
      </c>
    </row>
    <row r="66" spans="9:14" x14ac:dyDescent="0.35">
      <c r="I66" s="8">
        <v>6.3000000000000007</v>
      </c>
      <c r="J66" s="8">
        <f ca="1"/>
        <v>1.80809065458664</v>
      </c>
      <c r="K66" s="8">
        <f ca="1"/>
        <v>0.91981620206461467</v>
      </c>
      <c r="L66" s="8">
        <f ca="1"/>
        <v>3.0432109939028317E-3</v>
      </c>
      <c r="N66" s="8" t="e">
        <f ca="1"/>
        <v>#VALUE!</v>
      </c>
    </row>
    <row r="67" spans="9:14" x14ac:dyDescent="0.35">
      <c r="I67" s="8">
        <v>6.4</v>
      </c>
      <c r="J67" s="8">
        <f ca="1"/>
        <v>1.80809065458664</v>
      </c>
      <c r="K67" s="8">
        <f ca="1"/>
        <v>0.93369549038527144</v>
      </c>
      <c r="L67" s="8">
        <f ca="1"/>
        <v>2.5398477556571714E-3</v>
      </c>
      <c r="N67" s="8" t="e">
        <f ca="1"/>
        <v>#VALUE!</v>
      </c>
    </row>
    <row r="68" spans="9:14" x14ac:dyDescent="0.35">
      <c r="I68" s="8">
        <v>6.5</v>
      </c>
      <c r="J68" s="8">
        <f ca="1"/>
        <v>1.80809065458664</v>
      </c>
      <c r="K68" s="8">
        <f ca="1"/>
        <v>0.9471477236806769</v>
      </c>
      <c r="L68" s="8">
        <f ca="1"/>
        <v>2.1197434666348192E-3</v>
      </c>
      <c r="N68" s="8" t="e">
        <f ca="1"/>
        <v>#VALUE!</v>
      </c>
    </row>
    <row r="69" spans="9:14" x14ac:dyDescent="0.35">
      <c r="I69" s="8">
        <v>6.6000000000000005</v>
      </c>
      <c r="J69" s="8">
        <f ca="1"/>
        <v>1.80809065458664</v>
      </c>
      <c r="K69" s="8">
        <f ca="1"/>
        <v>0.96019231354288859</v>
      </c>
      <c r="L69" s="8">
        <f ca="1"/>
        <v>1.7691266550653422E-3</v>
      </c>
      <c r="N69" s="8" t="e">
        <f ca="1"/>
        <v>#VALUE!</v>
      </c>
    </row>
    <row r="70" spans="9:14" x14ac:dyDescent="0.35">
      <c r="I70" s="8">
        <v>6.7</v>
      </c>
      <c r="J70" s="8">
        <f ca="1"/>
        <v>1.80809065458664</v>
      </c>
      <c r="K70" s="8">
        <f ca="1"/>
        <v>0.97284751266294456</v>
      </c>
      <c r="L70" s="8">
        <f ca="1"/>
        <v>1.4765037236469912E-3</v>
      </c>
      <c r="N70" s="8" t="e">
        <f ca="1"/>
        <v>#VALUE!</v>
      </c>
    </row>
    <row r="71" spans="9:14" x14ac:dyDescent="0.35">
      <c r="I71" s="8">
        <v>6.8000000000000007</v>
      </c>
      <c r="J71" s="8">
        <f ca="1"/>
        <v>1.80809065458664</v>
      </c>
      <c r="K71" s="8">
        <f ca="1"/>
        <v>0.98513050004417546</v>
      </c>
      <c r="L71" s="8">
        <f ca="1"/>
        <v>1.2322821770287028E-3</v>
      </c>
      <c r="N71" s="8" t="e">
        <f ca="1"/>
        <v>#VALUE!</v>
      </c>
    </row>
    <row r="72" spans="9:14" x14ac:dyDescent="0.35">
      <c r="I72" s="8">
        <v>6.9</v>
      </c>
      <c r="J72" s="8">
        <f ca="1"/>
        <v>1.80809065458664</v>
      </c>
      <c r="K72" s="8">
        <f ca="1"/>
        <v>0.99705745880566043</v>
      </c>
      <c r="L72" s="8">
        <f ca="1"/>
        <v>1.0284561694648702E-3</v>
      </c>
      <c r="N72" s="8" t="e">
        <f ca="1"/>
        <v>#VALUE!</v>
      </c>
    </row>
    <row r="73" spans="9:14" x14ac:dyDescent="0.35">
      <c r="I73" s="8">
        <v>7</v>
      </c>
      <c r="J73" s="8">
        <f ca="1"/>
        <v>1.80809065458664</v>
      </c>
      <c r="K73" s="8">
        <f ca="1"/>
        <v>1.0086436473168172</v>
      </c>
      <c r="L73" s="8">
        <f ca="1"/>
        <v>8.583440645556921E-4</v>
      </c>
      <c r="N73" s="8" t="e">
        <f ca="1"/>
        <v>#VALUE!</v>
      </c>
    </row>
    <row r="74" spans="9:14" x14ac:dyDescent="0.35">
      <c r="I74" s="8">
        <v>7.1000000000000005</v>
      </c>
      <c r="J74" s="8">
        <f ca="1"/>
        <v>1.3900139664667821</v>
      </c>
      <c r="K74" s="8">
        <f ca="1"/>
        <v>1.0140150602625913</v>
      </c>
      <c r="L74" s="8">
        <f ca="1"/>
        <v>7.4695401980556287E-4</v>
      </c>
      <c r="N74" s="8" t="e">
        <f ca="1"/>
        <v>#VALUE!</v>
      </c>
    </row>
    <row r="75" spans="9:14" x14ac:dyDescent="0.35">
      <c r="I75" s="8">
        <v>7.2</v>
      </c>
      <c r="J75" s="8">
        <f ca="1"/>
        <v>1.3900139664667821</v>
      </c>
      <c r="K75" s="8">
        <f ca="1"/>
        <v>1.0192372672932051</v>
      </c>
      <c r="L75" s="8">
        <f ca="1"/>
        <v>6.5001941615626879E-4</v>
      </c>
      <c r="N75" s="8" t="e">
        <f ca="1"/>
        <v>#VALUE!</v>
      </c>
    </row>
    <row r="76" spans="9:14" x14ac:dyDescent="0.35">
      <c r="I76" s="8">
        <v>7.3000000000000007</v>
      </c>
      <c r="J76" s="8">
        <f ca="1"/>
        <v>1.3900139664667821</v>
      </c>
      <c r="K76" s="8">
        <f ca="1"/>
        <v>1.0243164001585967</v>
      </c>
      <c r="L76" s="8">
        <f ca="1"/>
        <v>5.6566432494750078E-4</v>
      </c>
      <c r="N76" s="8" t="e">
        <f ca="1"/>
        <v>#VALUE!</v>
      </c>
    </row>
    <row r="77" spans="9:14" x14ac:dyDescent="0.35">
      <c r="I77" s="8">
        <v>7.4</v>
      </c>
      <c r="J77" s="8">
        <f ca="1"/>
        <v>1.3900139664667821</v>
      </c>
      <c r="K77" s="8">
        <f ca="1"/>
        <v>1.0292582591627613</v>
      </c>
      <c r="L77" s="8">
        <f ca="1"/>
        <v>4.9225626275967735E-4</v>
      </c>
      <c r="N77" s="8" t="e">
        <f ca="1"/>
        <v>#VALUE!</v>
      </c>
    </row>
    <row r="78" spans="9:14" x14ac:dyDescent="0.35">
      <c r="I78" s="8">
        <v>7.5</v>
      </c>
      <c r="J78" s="8">
        <f ca="1"/>
        <v>1.3900139664667821</v>
      </c>
      <c r="K78" s="8">
        <f ca="1"/>
        <v>1.0340683352601483</v>
      </c>
      <c r="L78" s="8">
        <f ca="1"/>
        <v>4.2837459874920313E-4</v>
      </c>
      <c r="N78" s="8" t="e">
        <f ca="1"/>
        <v>#VALUE!</v>
      </c>
    </row>
    <row r="79" spans="9:14" x14ac:dyDescent="0.35">
      <c r="I79" s="8">
        <v>7.6000000000000005</v>
      </c>
      <c r="J79" s="8">
        <f ca="1"/>
        <v>1.3900139664667821</v>
      </c>
      <c r="K79" s="8">
        <f ca="1"/>
        <v>1.038751830407604</v>
      </c>
      <c r="L79" s="8">
        <f ca="1"/>
        <v>3.7278306186452458E-4</v>
      </c>
      <c r="N79" s="8" t="e">
        <f ca="1"/>
        <v>#VALUE!</v>
      </c>
    </row>
    <row r="80" spans="9:14" x14ac:dyDescent="0.35">
      <c r="I80" s="8">
        <v>7.7</v>
      </c>
      <c r="J80" s="8">
        <f ca="1"/>
        <v>1.3900139664667821</v>
      </c>
      <c r="K80" s="8">
        <f ca="1"/>
        <v>1.0433136763304502</v>
      </c>
      <c r="L80" s="8">
        <f ca="1"/>
        <v>3.244058158883746E-4</v>
      </c>
      <c r="N80" s="8" t="e">
        <f ca="1"/>
        <v>#VALUE!</v>
      </c>
    </row>
    <row r="81" spans="9:14" x14ac:dyDescent="0.35">
      <c r="I81" s="8">
        <v>7.8000000000000007</v>
      </c>
      <c r="J81" s="8">
        <f ca="1"/>
        <v>1.3900139664667821</v>
      </c>
      <c r="K81" s="8">
        <f ca="1"/>
        <v>1.0477585518450185</v>
      </c>
      <c r="L81" s="8">
        <f ca="1"/>
        <v>2.8230663929802529E-4</v>
      </c>
      <c r="N81" s="8" t="e">
        <f ca="1"/>
        <v>#VALUE!</v>
      </c>
    </row>
    <row r="82" spans="9:14" x14ac:dyDescent="0.35">
      <c r="I82" s="8">
        <v>7.9</v>
      </c>
      <c r="J82" s="8">
        <f ca="1"/>
        <v>1.3900139664667821</v>
      </c>
      <c r="K82" s="8">
        <f ca="1"/>
        <v>1.0520908988655473</v>
      </c>
      <c r="L82" s="8">
        <f ca="1"/>
        <v>2.4567080702143907E-4</v>
      </c>
      <c r="N82" s="8" t="e">
        <f ca="1"/>
        <v>#VALUE!</v>
      </c>
    </row>
    <row r="83" spans="9:14" x14ac:dyDescent="0.35">
      <c r="I83" s="8">
        <v>8</v>
      </c>
      <c r="J83" s="8">
        <f ca="1"/>
        <v>1.3900139664667821</v>
      </c>
      <c r="K83" s="8">
        <f ca="1"/>
        <v>1.0563149372105629</v>
      </c>
      <c r="L83" s="8">
        <f ca="1"/>
        <v>2.137893234556575E-4</v>
      </c>
      <c r="N83" s="8" t="e">
        <f ca="1"/>
        <v>#VALUE!</v>
      </c>
    </row>
    <row r="84" spans="9:14" x14ac:dyDescent="0.35">
      <c r="I84" s="8">
        <v>8.1</v>
      </c>
      <c r="J84" s="8">
        <f ca="1"/>
        <v>1.2721781748845151</v>
      </c>
      <c r="K84" s="8">
        <f ca="1"/>
        <v>1.0589799154534512</v>
      </c>
      <c r="L84" s="8">
        <f ca="1"/>
        <v>1.8825044730348697E-4</v>
      </c>
      <c r="N84" s="8" t="e">
        <f ca="1"/>
        <v>#VALUE!</v>
      </c>
    </row>
    <row r="85" spans="9:14" x14ac:dyDescent="0.35">
      <c r="I85" s="8">
        <v>8.2000000000000011</v>
      </c>
      <c r="J85" s="8">
        <f ca="1"/>
        <v>1.2721781748845151</v>
      </c>
      <c r="K85" s="8">
        <f ca="1"/>
        <v>1.0615798942270007</v>
      </c>
      <c r="L85" s="8">
        <f ca="1"/>
        <v>1.6576239793991921E-4</v>
      </c>
      <c r="N85" s="8" t="e">
        <f ca="1"/>
        <v>#VALUE!</v>
      </c>
    </row>
    <row r="86" spans="9:14" x14ac:dyDescent="0.35">
      <c r="I86" s="8">
        <v>8.3000000000000007</v>
      </c>
      <c r="J86" s="8">
        <f ca="1"/>
        <v>1.2721781748845151</v>
      </c>
      <c r="K86" s="8">
        <f ca="1"/>
        <v>1.0641172229096214</v>
      </c>
      <c r="L86" s="8">
        <f ca="1"/>
        <v>1.4596072925391246E-4</v>
      </c>
      <c r="N86" s="8" t="e">
        <f ca="1"/>
        <v>#VALUE!</v>
      </c>
    </row>
    <row r="87" spans="9:14" x14ac:dyDescent="0.35">
      <c r="I87" s="8">
        <v>8.4</v>
      </c>
      <c r="J87" s="8">
        <f ca="1"/>
        <v>1.2721781748845151</v>
      </c>
      <c r="K87" s="8">
        <f ca="1"/>
        <v>1.0665941390045606</v>
      </c>
      <c r="L87" s="8">
        <f ca="1"/>
        <v>1.2852453119105957E-4</v>
      </c>
      <c r="N87" s="8" t="e">
        <f ca="1"/>
        <v>#VALUE!</v>
      </c>
    </row>
    <row r="88" spans="9:14" x14ac:dyDescent="0.35">
      <c r="I88" s="8">
        <v>8.5</v>
      </c>
      <c r="J88" s="8">
        <f ca="1"/>
        <v>1.2721781748845151</v>
      </c>
      <c r="K88" s="8">
        <f ca="1"/>
        <v>1.0690127747207954</v>
      </c>
      <c r="L88" s="8">
        <f ca="1"/>
        <v>1.1317122901699148E-4</v>
      </c>
      <c r="N88" s="8" t="e">
        <f ca="1"/>
        <v>#VALUE!</v>
      </c>
    </row>
    <row r="89" spans="9:14" x14ac:dyDescent="0.35">
      <c r="I89" s="8">
        <v>8.6</v>
      </c>
      <c r="J89" s="8">
        <f ca="1"/>
        <v>1.2721781748845151</v>
      </c>
      <c r="K89" s="8">
        <f ca="1"/>
        <v>1.0713751630947921</v>
      </c>
      <c r="L89" s="8">
        <f ca="1"/>
        <v>9.965200385113164E-5</v>
      </c>
      <c r="N89" s="8" t="e">
        <f ca="1"/>
        <v>#VALUE!</v>
      </c>
    </row>
    <row r="90" spans="9:14" x14ac:dyDescent="0.35">
      <c r="I90" s="8">
        <v>8.7000000000000011</v>
      </c>
      <c r="J90" s="8">
        <f ca="1"/>
        <v>1.2721781748845151</v>
      </c>
      <c r="K90" s="8">
        <f ca="1"/>
        <v>1.0736832436900763</v>
      </c>
      <c r="L90" s="8">
        <f ca="1"/>
        <v>8.7747760254993398E-5</v>
      </c>
      <c r="N90" s="8" t="e">
        <f ca="1"/>
        <v>#VALUE!</v>
      </c>
    </row>
    <row r="91" spans="9:14" x14ac:dyDescent="0.35">
      <c r="I91" s="8">
        <v>8.8000000000000007</v>
      </c>
      <c r="J91" s="8">
        <f ca="1"/>
        <v>1.2721781748845151</v>
      </c>
      <c r="K91" s="8">
        <f ca="1"/>
        <v>1.0759388679081949</v>
      </c>
      <c r="L91" s="8">
        <f ca="1"/>
        <v>7.7265575524905903E-5</v>
      </c>
      <c r="N91" s="8" t="e">
        <f ca="1"/>
        <v>#VALUE!</v>
      </c>
    </row>
    <row r="92" spans="9:14" x14ac:dyDescent="0.35">
      <c r="I92" s="8">
        <v>8.9</v>
      </c>
      <c r="J92" s="8">
        <f ca="1"/>
        <v>1.2721781748845151</v>
      </c>
      <c r="K92" s="8">
        <f ca="1"/>
        <v>1.0781438039416367</v>
      </c>
      <c r="L92" s="8">
        <f ca="1"/>
        <v>6.8035573145642771E-5</v>
      </c>
      <c r="N92" s="8" t="e">
        <f ca="1"/>
        <v>#VALUE!</v>
      </c>
    </row>
    <row r="93" spans="9:14" x14ac:dyDescent="0.35">
      <c r="I93" s="8">
        <v>9</v>
      </c>
      <c r="J93" s="8">
        <f ca="1"/>
        <v>1.2721781748845151</v>
      </c>
      <c r="K93" s="8">
        <f ca="1"/>
        <v>1.0802997413965576</v>
      </c>
      <c r="L93" s="8">
        <f ca="1"/>
        <v>5.9908169735486405E-5</v>
      </c>
      <c r="N93" s="8" t="e">
        <f ca="1"/>
        <v>#VALUE!</v>
      </c>
    </row>
    <row r="94" spans="9:14" x14ac:dyDescent="0.35">
      <c r="I94" s="8">
        <v>9.1</v>
      </c>
      <c r="J94" s="8">
        <f ca="1"/>
        <v>1.7178866394044452</v>
      </c>
      <c r="K94" s="8">
        <f ca="1"/>
        <v>1.0873061908252157</v>
      </c>
      <c r="L94" s="8">
        <f ca="1"/>
        <v>5.0452092439745824E-5</v>
      </c>
      <c r="N94" s="8" t="e">
        <f ca="1"/>
        <v>#VALUE!</v>
      </c>
    </row>
    <row r="95" spans="9:14" x14ac:dyDescent="0.35">
      <c r="I95" s="8">
        <v>9.2000000000000011</v>
      </c>
      <c r="J95" s="8">
        <f ca="1"/>
        <v>1.7178866394044452</v>
      </c>
      <c r="K95" s="8">
        <f ca="1"/>
        <v>1.0941603261358597</v>
      </c>
      <c r="L95" s="8">
        <f ca="1"/>
        <v>4.2488589499353063E-5</v>
      </c>
      <c r="N95" s="8" t="e">
        <f ca="1"/>
        <v>#VALUE!</v>
      </c>
    </row>
    <row r="96" spans="9:14" x14ac:dyDescent="0.35">
      <c r="I96" s="8">
        <v>9.3000000000000007</v>
      </c>
      <c r="J96" s="8">
        <f ca="1"/>
        <v>1.7178866394044452</v>
      </c>
      <c r="K96" s="8">
        <f ca="1"/>
        <v>1.1008670606871349</v>
      </c>
      <c r="L96" s="8">
        <f ca="1"/>
        <v>3.5782068698152761E-5</v>
      </c>
      <c r="N96" s="8" t="e">
        <f ca="1"/>
        <v>#VALUE!</v>
      </c>
    </row>
    <row r="97" spans="9:14" x14ac:dyDescent="0.35">
      <c r="I97" s="8">
        <v>9.4</v>
      </c>
      <c r="J97" s="8">
        <f ca="1"/>
        <v>1.7178866394044452</v>
      </c>
      <c r="K97" s="8">
        <f ca="1"/>
        <v>1.1074310987585956</v>
      </c>
      <c r="L97" s="8">
        <f ca="1"/>
        <v>3.0134124370940125E-5</v>
      </c>
      <c r="N97" s="8" t="e">
        <f ca="1"/>
        <v>#VALUE!</v>
      </c>
    </row>
    <row r="98" spans="9:14" x14ac:dyDescent="0.35">
      <c r="I98" s="8">
        <v>9.5</v>
      </c>
      <c r="J98" s="8">
        <f ca="1"/>
        <v>1.7178866394044452</v>
      </c>
      <c r="K98" s="8">
        <f ca="1"/>
        <v>1.1138569465548676</v>
      </c>
      <c r="L98" s="8">
        <f ca="1"/>
        <v>2.5377667771627922E-5</v>
      </c>
      <c r="N98" s="8" t="e">
        <f ca="1"/>
        <v>#VALUE!</v>
      </c>
    </row>
    <row r="99" spans="9:14" x14ac:dyDescent="0.35">
      <c r="I99" s="8">
        <v>9.6000000000000014</v>
      </c>
      <c r="J99" s="8">
        <f ca="1"/>
        <v>1.7178866394044452</v>
      </c>
      <c r="K99" s="8">
        <f ca="1"/>
        <v>1.1201489225220507</v>
      </c>
      <c r="L99" s="8">
        <f ca="1"/>
        <v>2.1371983920932755E-5</v>
      </c>
      <c r="N99" s="8" t="e">
        <f ca="1"/>
        <v>#VALUE!</v>
      </c>
    </row>
    <row r="100" spans="9:14" x14ac:dyDescent="0.35">
      <c r="I100" s="8">
        <v>9.7000000000000011</v>
      </c>
      <c r="J100" s="8">
        <f ca="1"/>
        <v>1.7178866394044452</v>
      </c>
      <c r="K100" s="8">
        <f ca="1"/>
        <v>1.1263111670259931</v>
      </c>
      <c r="L100" s="8">
        <f ca="1"/>
        <v>1.7998568695397055E-5</v>
      </c>
      <c r="N100" s="8" t="e">
        <f ca="1"/>
        <v>#VALUE!</v>
      </c>
    </row>
    <row r="101" spans="9:14" x14ac:dyDescent="0.35">
      <c r="I101" s="8">
        <v>9.8000000000000007</v>
      </c>
      <c r="J101" s="8">
        <f ca="1"/>
        <v>1.7178866394044452</v>
      </c>
      <c r="K101" s="8">
        <f ca="1"/>
        <v>1.132347651438018</v>
      </c>
      <c r="L101" s="8">
        <f ca="1"/>
        <v>1.5157623002216307E-5</v>
      </c>
      <c r="N101" s="8" t="e">
        <f ca="1"/>
        <v>#VALUE!</v>
      </c>
    </row>
    <row r="102" spans="9:14" x14ac:dyDescent="0.35">
      <c r="I102" s="8">
        <v>9.9</v>
      </c>
      <c r="J102" s="8">
        <f ca="1"/>
        <v>1.7178866394044452</v>
      </c>
      <c r="K102" s="8">
        <f ca="1"/>
        <v>1.138262186670002</v>
      </c>
      <c r="L102" s="8">
        <f ca="1"/>
        <v>1.2765100323564838E-5</v>
      </c>
      <c r="N102" s="8" t="e">
        <f ca="1"/>
        <v>#VALUE!</v>
      </c>
    </row>
    <row r="103" spans="9:14" x14ac:dyDescent="0.35">
      <c r="I103" s="8">
        <v>10</v>
      </c>
      <c r="J103" s="8">
        <f ca="1"/>
        <v>1.7178866394044452</v>
      </c>
      <c r="K103" s="8">
        <f ca="1"/>
        <v>1.1440584311973465</v>
      </c>
      <c r="L103" s="8">
        <f ca="1"/>
        <v>1.0750220284991193E-5</v>
      </c>
      <c r="N103" s="8" t="e">
        <f ca="1"/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F235-2370-447F-B1BD-46AD74C3D800}">
  <dimension ref="B1:L13"/>
  <sheetViews>
    <sheetView tabSelected="1" workbookViewId="0">
      <selection activeCell="C8" sqref="C8"/>
    </sheetView>
  </sheetViews>
  <sheetFormatPr defaultColWidth="9.109375" defaultRowHeight="18" x14ac:dyDescent="0.35"/>
  <cols>
    <col min="1" max="2" width="9.109375" style="16"/>
    <col min="3" max="3" width="15" style="46" customWidth="1"/>
    <col min="4" max="4" width="10.6640625" style="46" customWidth="1"/>
    <col min="5" max="5" width="10.88671875" style="42" customWidth="1"/>
    <col min="6" max="6" width="9.33203125" style="16" customWidth="1"/>
    <col min="7" max="8" width="17.109375" style="16" bestFit="1" customWidth="1"/>
    <col min="9" max="9" width="9.109375" style="16"/>
    <col min="10" max="10" width="14.5546875" style="17" bestFit="1" customWidth="1"/>
    <col min="11" max="14" width="9.109375" style="16"/>
    <col min="15" max="15" width="11.5546875" style="16" bestFit="1" customWidth="1"/>
    <col min="16" max="16384" width="9.109375" style="16"/>
  </cols>
  <sheetData>
    <row r="1" spans="2:12" x14ac:dyDescent="0.35">
      <c r="C1" s="16"/>
      <c r="D1" s="16"/>
    </row>
    <row r="2" spans="2:12" x14ac:dyDescent="0.35">
      <c r="B2" s="15" t="s">
        <v>15</v>
      </c>
      <c r="C2" s="44">
        <f ca="1">TODAY()</f>
        <v>45430</v>
      </c>
      <c r="D2" s="16"/>
      <c r="G2" s="18" t="s">
        <v>23</v>
      </c>
      <c r="H2" s="11" t="e" cm="1">
        <f t="array" aca="1" ref="H2" ca="1">_xll.\AKA.Bond(dated, maturity, coupon, _xll.ENUM(D5), _xll.ENUM(D6))</f>
        <v>#NAME?</v>
      </c>
      <c r="J2" s="17" t="e" cm="1">
        <f t="array" aca="1" ref="J2" ca="1">_xll.AKA.Value.FlowDate(H3)</f>
        <v>#NAME?</v>
      </c>
      <c r="K2" s="16" t="e" cm="1">
        <f t="array" aca="1" ref="K2" ca="1">_xll.AKA.Value.Interest(H3)</f>
        <v>#NAME?</v>
      </c>
      <c r="L2" s="16" t="e" cm="1">
        <f t="array" aca="1" ref="L2" ca="1">_xll.AKA.Value.Principal(H3)</f>
        <v>#NAME?</v>
      </c>
    </row>
    <row r="3" spans="2:12" x14ac:dyDescent="0.35">
      <c r="B3" s="15" t="s">
        <v>16</v>
      </c>
      <c r="C3" s="45" cm="1">
        <f t="array" aca="1" ref="C3" ca="1">_xll.TMX.DATE.ADDYEARS(dated,D3)</f>
        <v>49082.425000000003</v>
      </c>
      <c r="D3" s="36">
        <v>10</v>
      </c>
      <c r="G3" s="18" t="s">
        <v>24</v>
      </c>
      <c r="H3" s="11" t="e" cm="1">
        <f t="array" aca="1" ref="H3" ca="1">_xll.\AKA.Value(H2, pvdate, pvdate)</f>
        <v>#NAME?</v>
      </c>
    </row>
    <row r="4" spans="2:12" x14ac:dyDescent="0.35">
      <c r="B4" s="15" t="s">
        <v>17</v>
      </c>
      <c r="C4" s="31">
        <v>0.05</v>
      </c>
      <c r="D4" s="16"/>
    </row>
    <row r="5" spans="2:12" x14ac:dyDescent="0.35">
      <c r="B5" s="15" t="s">
        <v>18</v>
      </c>
      <c r="C5" s="34" t="s">
        <v>28</v>
      </c>
      <c r="D5" s="16" t="s">
        <v>27</v>
      </c>
      <c r="G5" s="16" t="e" cm="1">
        <f t="array" aca="1" ref="G5" ca="1">TRANSPOSE(_xll.FREQ_ENUM())</f>
        <v>#NAME?</v>
      </c>
      <c r="H5" s="16" t="e" cm="1">
        <f t="array" aca="1" ref="H5" ca="1">TRANSPOSE(_xll.DC_ENUM())</f>
        <v>#NAME?</v>
      </c>
    </row>
    <row r="6" spans="2:12" x14ac:dyDescent="0.35">
      <c r="B6" s="15" t="s">
        <v>19</v>
      </c>
      <c r="C6" s="34" t="s">
        <v>36</v>
      </c>
      <c r="D6" s="16" t="s">
        <v>26</v>
      </c>
    </row>
    <row r="7" spans="2:12" x14ac:dyDescent="0.35">
      <c r="B7" s="18" t="s">
        <v>25</v>
      </c>
      <c r="C7" s="3">
        <v>100</v>
      </c>
      <c r="D7" s="16"/>
    </row>
    <row r="8" spans="2:12" x14ac:dyDescent="0.35">
      <c r="B8" s="15" t="s">
        <v>20</v>
      </c>
      <c r="C8" s="49" t="s">
        <v>45</v>
      </c>
      <c r="D8" s="16"/>
    </row>
    <row r="9" spans="2:12" x14ac:dyDescent="0.35">
      <c r="B9" s="16" t="s">
        <v>21</v>
      </c>
      <c r="C9" s="42">
        <f ca="1">dated+D9</f>
        <v>45630</v>
      </c>
      <c r="D9" s="37">
        <v>200</v>
      </c>
    </row>
    <row r="10" spans="2:12" x14ac:dyDescent="0.35">
      <c r="B10" s="15" t="s">
        <v>22</v>
      </c>
      <c r="C10" s="49" t="s">
        <v>46</v>
      </c>
      <c r="D10" s="16"/>
    </row>
    <row r="11" spans="2:12" x14ac:dyDescent="0.35">
      <c r="C11" s="16"/>
      <c r="D11" s="16"/>
    </row>
    <row r="12" spans="2:12" x14ac:dyDescent="0.35">
      <c r="C12" s="35" t="s">
        <v>7</v>
      </c>
      <c r="D12" s="35" t="s">
        <v>31</v>
      </c>
      <c r="E12" s="43" t="s">
        <v>2</v>
      </c>
    </row>
    <row r="13" spans="2:12" x14ac:dyDescent="0.35">
      <c r="C13" s="46" t="e" cm="1">
        <f t="array" ref="C13">_xll.TMX.INSTRUMENT(C10)</f>
        <v>#VALUE!</v>
      </c>
      <c r="E13" s="42" t="e" cm="1">
        <f t="array" aca="1" ref="E13" ca="1">_xlfn.MAP(_xlfn.TAKE(_xlfn.ANCHORARRAY(C13),,1),_xlfn.LAMBDA(_xlpm.d,_xll.TMX.DATE.ADDYEARS(pvdate, _xlpm.d)))</f>
        <v>#VALUE!</v>
      </c>
      <c r="F13" s="16" t="e" cm="1">
        <f t="array" aca="1" ref="F13" ca="1">_xlfn.MAP(_xlfn.TAKE(_xlfn.ANCHORARRAY(E13),,1),_xlfn.LAMBDA(_xlpm.t,_xll.TMX.DATE.DIFFYEARS(_xlpm.t,pvdate)))</f>
        <v>#VALUE!</v>
      </c>
      <c r="G13" s="16" t="e">
        <f ca="1">C13=F13</f>
        <v>#VALUE!</v>
      </c>
    </row>
  </sheetData>
  <dataValidations disablePrompts="1" count="2">
    <dataValidation type="list" allowBlank="1" showInputMessage="1" showErrorMessage="1" sqref="D5" xr:uid="{039A4CED-EBEB-4BB9-833B-6F3EAEF47C51}">
      <formula1>_xlfn.ANCHORARRAY($G$5)</formula1>
    </dataValidation>
    <dataValidation type="list" allowBlank="1" showInputMessage="1" showErrorMessage="1" sqref="D6" xr:uid="{95B04539-D74B-418C-8C33-35D31A602B84}">
      <formula1>_xlfn.ANCHORARRAY($H$5)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8932C381-C5EC-4A69-A816-1DE21A3D38A4}">
          <x14:formula1>
            <xm:f>_xlfn.ANCHORARRAY(ENUM!$G$3)</xm:f>
          </x14:formula1>
          <xm:sqref>C5</xm:sqref>
        </x14:dataValidation>
        <x14:dataValidation type="list" allowBlank="1" showInputMessage="1" showErrorMessage="1" xr:uid="{92A6719E-159A-4A3B-A16C-1894E12468CE}">
          <x14:formula1>
            <xm:f>_xlfn.ANCHORARRAY(ENUM!$B$3)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57E-B813-416C-A1C4-B7528B2439C2}">
  <dimension ref="B2:L13"/>
  <sheetViews>
    <sheetView workbookViewId="0"/>
  </sheetViews>
  <sheetFormatPr defaultColWidth="9.109375" defaultRowHeight="18" x14ac:dyDescent="0.35"/>
  <cols>
    <col min="1" max="1" width="3.6640625" style="20" customWidth="1"/>
    <col min="2" max="2" width="9.109375" style="20"/>
    <col min="3" max="3" width="19.109375" style="20" customWidth="1"/>
    <col min="4" max="4" width="10.44140625" style="20" bestFit="1" customWidth="1"/>
    <col min="5" max="5" width="11.5546875" style="24" bestFit="1" customWidth="1"/>
    <col min="6" max="6" width="11.5546875" style="20" bestFit="1" customWidth="1"/>
    <col min="7" max="7" width="13.6640625" style="20" bestFit="1" customWidth="1"/>
    <col min="8" max="8" width="9.33203125" style="20" bestFit="1" customWidth="1"/>
    <col min="9" max="9" width="9.109375" style="20"/>
    <col min="10" max="11" width="13" style="20" bestFit="1" customWidth="1"/>
    <col min="12" max="12" width="9.33203125" style="20" customWidth="1"/>
    <col min="13" max="16384" width="9.109375" style="20"/>
  </cols>
  <sheetData>
    <row r="2" spans="2:12" ht="18.600000000000001" thickBot="1" x14ac:dyDescent="0.4">
      <c r="B2" s="32" t="s">
        <v>15</v>
      </c>
      <c r="C2" s="33">
        <f ca="1">TODAY()</f>
        <v>45430</v>
      </c>
      <c r="F2" s="21" t="s">
        <v>21</v>
      </c>
      <c r="G2" s="30">
        <f ca="1">TODAY()</f>
        <v>45430</v>
      </c>
      <c r="K2" s="11" t="e" cm="1">
        <f t="array" aca="1" ref="K2" ca="1">_xll.\TMX.BOND.BASIC(J3,J4,J5,_xll.ENUM(J6),_xll.ENUM(J7),J8)</f>
        <v>#NAME?</v>
      </c>
    </row>
    <row r="3" spans="2:12" ht="19.2" thickTop="1" thickBot="1" x14ac:dyDescent="0.4">
      <c r="B3" s="29" t="s">
        <v>16</v>
      </c>
      <c r="C3" s="3">
        <v>10</v>
      </c>
      <c r="F3" s="21" t="s">
        <v>30</v>
      </c>
      <c r="G3" s="49" t="s">
        <v>41</v>
      </c>
      <c r="H3" s="31">
        <v>0.05</v>
      </c>
      <c r="J3" s="51" t="s">
        <v>49</v>
      </c>
      <c r="K3" s="51" t="s">
        <v>50</v>
      </c>
      <c r="L3" s="26" t="b">
        <f>J3=K3</f>
        <v>0</v>
      </c>
    </row>
    <row r="4" spans="2:12" ht="19.2" thickTop="1" thickBot="1" x14ac:dyDescent="0.4">
      <c r="B4" s="29" t="s">
        <v>17</v>
      </c>
      <c r="C4" s="31">
        <v>0.05</v>
      </c>
      <c r="F4" s="21" t="s">
        <v>32</v>
      </c>
      <c r="G4" s="39" t="e" cm="1">
        <f t="array" ref="G4">_xll.TMX.VALUE.PRESENT(instrument, curve, H4)</f>
        <v>#VALUE!</v>
      </c>
      <c r="H4" s="3">
        <v>0</v>
      </c>
      <c r="I4" s="47" t="s">
        <v>38</v>
      </c>
      <c r="J4" s="27"/>
      <c r="K4" s="27"/>
      <c r="L4" s="26" t="b">
        <f t="shared" ref="L4:L8" si="0">J4=K4</f>
        <v>1</v>
      </c>
    </row>
    <row r="5" spans="2:12" ht="19.2" thickTop="1" thickBot="1" x14ac:dyDescent="0.4">
      <c r="B5" s="32" t="s">
        <v>18</v>
      </c>
      <c r="C5" s="34" t="s">
        <v>28</v>
      </c>
      <c r="F5" s="23" t="s">
        <v>33</v>
      </c>
      <c r="G5" s="5" t="e" cm="1">
        <f t="array" aca="1" ref="G5" ca="1">_xll.TMX.VALUE.YIELD(instrument, present)</f>
        <v>#NAME?</v>
      </c>
      <c r="J5" s="28"/>
      <c r="K5" s="28"/>
      <c r="L5" s="26" t="b">
        <f t="shared" si="0"/>
        <v>1</v>
      </c>
    </row>
    <row r="6" spans="2:12" ht="19.2" thickTop="1" thickBot="1" x14ac:dyDescent="0.4">
      <c r="B6" s="32" t="s">
        <v>19</v>
      </c>
      <c r="C6" s="34" t="s">
        <v>36</v>
      </c>
      <c r="F6" s="32" t="s">
        <v>37</v>
      </c>
      <c r="G6" s="40" t="e" cm="1">
        <f t="array" aca="1" ref="G6" ca="1">_xll.TMX.VALUE.OAS(instrument, curve, H6)</f>
        <v>#NAME?</v>
      </c>
      <c r="H6" s="3" t="e">
        <f>present</f>
        <v>#VALUE!</v>
      </c>
      <c r="J6" s="28"/>
      <c r="K6" s="28"/>
      <c r="L6" s="26" t="b">
        <f t="shared" si="0"/>
        <v>1</v>
      </c>
    </row>
    <row r="7" spans="2:12" ht="19.2" thickTop="1" thickBot="1" x14ac:dyDescent="0.4">
      <c r="B7" s="32" t="s">
        <v>25</v>
      </c>
      <c r="C7" s="3">
        <v>100</v>
      </c>
      <c r="F7" s="23" t="s">
        <v>34</v>
      </c>
      <c r="G7" s="41" t="e" cm="1">
        <f t="array" aca="1" ref="G7" ca="1">_xll.TMX.VALUE.DURATION(instrument, curve)</f>
        <v>#NAME?</v>
      </c>
      <c r="J7" s="28"/>
      <c r="K7" s="28"/>
      <c r="L7" s="26" t="b">
        <f t="shared" si="0"/>
        <v>1</v>
      </c>
    </row>
    <row r="8" spans="2:12" ht="19.2" thickTop="1" thickBot="1" x14ac:dyDescent="0.4">
      <c r="B8" s="21" t="s">
        <v>29</v>
      </c>
      <c r="C8" s="49" t="s">
        <v>47</v>
      </c>
      <c r="D8"/>
      <c r="F8" s="23" t="s">
        <v>35</v>
      </c>
      <c r="G8" s="41" t="e" cm="1">
        <f t="array" aca="1" ref="G8" ca="1">_xll.TMX.VALUE.CONVEXITY(instrument,curve)</f>
        <v>#NAME?</v>
      </c>
      <c r="J8" s="28"/>
      <c r="K8" s="28"/>
      <c r="L8" s="26" t="b">
        <f t="shared" si="0"/>
        <v>1</v>
      </c>
    </row>
    <row r="9" spans="2:12" ht="18.600000000000001" thickTop="1" x14ac:dyDescent="0.35">
      <c r="B9" s="21" t="s">
        <v>14</v>
      </c>
      <c r="C9" s="49" t="s">
        <v>48</v>
      </c>
    </row>
    <row r="10" spans="2:12" x14ac:dyDescent="0.35">
      <c r="C10" s="22" t="s">
        <v>7</v>
      </c>
      <c r="D10" s="22" t="s">
        <v>31</v>
      </c>
      <c r="E10" s="38" t="s">
        <v>2</v>
      </c>
    </row>
    <row r="11" spans="2:12" x14ac:dyDescent="0.35">
      <c r="C11" s="25" t="e" cm="1">
        <f t="array" ref="C11">_xll.TMX.INSTRUMENT(C9)</f>
        <v>#VALUE!</v>
      </c>
      <c r="D11" s="25"/>
      <c r="E11" s="24" t="e" cm="1">
        <f t="array" aca="1" ref="E11" ca="1">_xlfn.MAP(_xlfn.TAKE(_xlfn.ANCHORARRAY(C11),,1),_xlfn.LAMBDA(_xlpm.u,_xll.TMX.DATE.ADDYEARS(pvdate,_xlpm.u)))</f>
        <v>#VALUE!</v>
      </c>
    </row>
    <row r="13" spans="2:12" x14ac:dyDescent="0.35">
      <c r="H13" s="2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07CDED-52BA-4236-9AB4-270D2D758A2D}">
          <x14:formula1>
            <xm:f>_xlfn.ANCHORARRAY(ENUM!$G$3)</xm:f>
          </x14:formula1>
          <xm:sqref>C5</xm:sqref>
        </x14:dataValidation>
        <x14:dataValidation type="list" allowBlank="1" showInputMessage="1" showErrorMessage="1" xr:uid="{4F940A22-B041-4372-AF7C-03B1471C3CC9}">
          <x14:formula1>
            <xm:f>_xlfn.ANCHORARRAY(ENUM!$B$3)</xm:f>
          </x14:formula1>
          <xm:sqref>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ENUM</vt:lpstr>
      <vt:lpstr>INSTRUMENT</vt:lpstr>
      <vt:lpstr>PWFLAT</vt:lpstr>
      <vt:lpstr>BOND</vt:lpstr>
      <vt:lpstr>VALUATION</vt:lpstr>
      <vt:lpstr>bond</vt:lpstr>
      <vt:lpstr>bond_basic</vt:lpstr>
      <vt:lpstr>VALUATION!coupon</vt:lpstr>
      <vt:lpstr>coupon</vt:lpstr>
      <vt:lpstr>curve</vt:lpstr>
      <vt:lpstr>date</vt:lpstr>
      <vt:lpstr>VALUATION!dated</vt:lpstr>
      <vt:lpstr>dated</vt:lpstr>
      <vt:lpstr>BOND!day_count</vt:lpstr>
      <vt:lpstr>VALUATION!day_count</vt:lpstr>
      <vt:lpstr>DAY_COUNT</vt:lpstr>
      <vt:lpstr>days</vt:lpstr>
      <vt:lpstr>dcf</vt:lpstr>
      <vt:lpstr>VALUATION!dt</vt:lpstr>
      <vt:lpstr>dt</vt:lpstr>
      <vt:lpstr>VALUATION!face</vt:lpstr>
      <vt:lpstr>face</vt:lpstr>
      <vt:lpstr>VALUATION!frequency</vt:lpstr>
      <vt:lpstr>frequency</vt:lpstr>
      <vt:lpstr>instrument</vt:lpstr>
      <vt:lpstr>VALUATION!maturity</vt:lpstr>
      <vt:lpstr>maturity</vt:lpstr>
      <vt:lpstr>present</vt:lpstr>
      <vt:lpstr>VALUATION!pvdate</vt:lpstr>
      <vt:lpstr>pvdate</vt:lpstr>
      <vt:lpstr>pwflat</vt:lpstr>
      <vt:lpstr>rate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</cp:lastModifiedBy>
  <dcterms:created xsi:type="dcterms:W3CDTF">2024-04-10T18:18:41Z</dcterms:created>
  <dcterms:modified xsi:type="dcterms:W3CDTF">2024-05-18T21:37:57Z</dcterms:modified>
</cp:coreProperties>
</file>