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F80CC2EC-90CD-4520-A052-1AB6EB074929}" xr6:coauthVersionLast="47" xr6:coauthVersionMax="47" xr10:uidLastSave="{00000000-0000-0000-0000-000000000000}"/>
  <bookViews>
    <workbookView xWindow="480" yWindow="1344" windowWidth="29316" windowHeight="15888" activeTab="2" xr2:uid="{573513F2-BEE4-4862-AD31-A57B5C34ED51}"/>
  </bookViews>
  <sheets>
    <sheet name="Sheet1" sheetId="1" r:id="rId1"/>
    <sheet name="Sheet2" sheetId="2" r:id="rId2"/>
    <sheet name="Refunding" sheetId="3" r:id="rId3"/>
  </sheets>
  <definedNames>
    <definedName name="AAA">Sheet1!$G$3:$G$32</definedName>
    <definedName name="BondWave">Sheet1!$E$3:$E$32</definedName>
    <definedName name="BVMB">Sheet1!$D$3:$D$32</definedName>
    <definedName name="CAAA">Sheet1!$C$3:$C$32</definedName>
    <definedName name="coupon" localSheetId="2">Refunding!$F$7</definedName>
    <definedName name="date">Sheet2!$C$2</definedName>
    <definedName name="dated" localSheetId="2">Refunding!$F$5</definedName>
    <definedName name="face" localSheetId="2">Refunding!$F$8</definedName>
    <definedName name="ICE">Sheet1!$F$3:$F$32</definedName>
    <definedName name="maturity" localSheetId="2">Refunding!$F$6</definedName>
    <definedName name="MBIS">Sheet1!$H$3:$H$32</definedName>
    <definedName name="OAS">Refunding!$F$12</definedName>
    <definedName name="pvdate">Sheet1!$L$2</definedName>
    <definedName name="today">Refunding!$C$2</definedName>
    <definedName name="Tradeweb">Sheet1!$I$3:$I$32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H5" i="3" s="1"/>
  <c r="C2" i="2"/>
  <c r="C2" i="1" a="1"/>
  <c r="F3" i="1" a="1"/>
  <c r="J3" i="1" a="1"/>
  <c r="I3" i="1" a="1"/>
  <c r="G3" i="1" a="1"/>
  <c r="E3" i="1" a="1"/>
  <c r="D3" i="1" a="1"/>
  <c r="E4" i="2" a="1"/>
  <c r="D4" i="2" a="1"/>
  <c r="C4" i="2" a="1"/>
  <c r="J5" i="3" a="1"/>
  <c r="M15" i="1" a="1"/>
  <c r="M9" i="1" a="1"/>
  <c r="M4" i="1" a="1"/>
  <c r="M3" i="1" a="1"/>
  <c r="M23" i="1" a="1"/>
  <c r="C4" i="3" a="1"/>
  <c r="M31" i="1" a="1"/>
  <c r="M21" i="1" a="1"/>
  <c r="M28" i="1" a="1"/>
  <c r="M18" i="1" a="1"/>
  <c r="M25" i="1" a="1"/>
  <c r="M30" i="1" a="1"/>
  <c r="M13" i="1" a="1"/>
  <c r="M26" i="1" a="1"/>
  <c r="M16" i="1" a="1"/>
  <c r="M10" i="1" a="1"/>
  <c r="M8" i="1" a="1"/>
  <c r="M29" i="1" a="1"/>
  <c r="M32" i="1" a="1"/>
  <c r="M14" i="1" a="1"/>
  <c r="M11" i="1" a="1"/>
  <c r="M5" i="1" a="1"/>
  <c r="M27" i="1" a="1"/>
  <c r="M19" i="1" a="1"/>
  <c r="M22" i="1" a="1"/>
  <c r="M6" i="1" a="1"/>
  <c r="M17" i="1" a="1"/>
  <c r="M12" i="1" a="1"/>
  <c r="M7" i="1" a="1"/>
  <c r="M20" i="1" a="1"/>
  <c r="M24" i="1" a="1"/>
  <c r="F6" i="3" a="1"/>
  <c r="F5" i="3" a="1"/>
  <c r="J5" i="3" l="1"/>
  <c r="C4" i="3"/>
  <c r="F6" i="3"/>
  <c r="H6" i="3" s="1"/>
  <c r="F5" i="3"/>
  <c r="E4" i="2"/>
  <c r="D4" i="2"/>
  <c r="C4" i="2"/>
  <c r="J3" i="1"/>
  <c r="I3" i="1"/>
  <c r="D3" i="1"/>
  <c r="E3" i="1"/>
  <c r="G3" i="1"/>
  <c r="F3" i="1"/>
  <c r="M23" i="1"/>
  <c r="M4" i="1"/>
  <c r="M24" i="1"/>
  <c r="M15" i="1"/>
  <c r="M26" i="1"/>
  <c r="M18" i="1"/>
  <c r="M19" i="1"/>
  <c r="M5" i="1"/>
  <c r="M25" i="1"/>
  <c r="M21" i="1"/>
  <c r="M7" i="1"/>
  <c r="M12" i="1"/>
  <c r="M17" i="1"/>
  <c r="M22" i="1"/>
  <c r="M27" i="1"/>
  <c r="M32" i="1"/>
  <c r="M8" i="1"/>
  <c r="M13" i="1"/>
  <c r="M28" i="1"/>
  <c r="M9" i="1"/>
  <c r="M14" i="1"/>
  <c r="M29" i="1"/>
  <c r="M10" i="1"/>
  <c r="M20" i="1"/>
  <c r="M30" i="1"/>
  <c r="M6" i="1"/>
  <c r="M11" i="1"/>
  <c r="M16" i="1"/>
  <c r="M31" i="1"/>
  <c r="M3" i="1"/>
  <c r="C2" i="1"/>
  <c r="C3" i="1" a="1"/>
  <c r="E5" i="2" a="1"/>
  <c r="D5" i="2" a="1"/>
  <c r="B5" i="2" a="1"/>
  <c r="N17" i="1" a="1"/>
  <c r="N22" i="1" a="1"/>
  <c r="N9" i="1" a="1"/>
  <c r="N24" i="1" a="1"/>
  <c r="N6" i="1" a="1"/>
  <c r="N3" i="1" a="1"/>
  <c r="N19" i="1" a="1"/>
  <c r="N27" i="1" a="1"/>
  <c r="N4" i="1" a="1"/>
  <c r="N32" i="1" a="1"/>
  <c r="N21" i="1" a="1"/>
  <c r="N10" i="1" a="1"/>
  <c r="N23" i="1" a="1"/>
  <c r="N8" i="1" a="1"/>
  <c r="N13" i="1" a="1"/>
  <c r="N15" i="1" a="1"/>
  <c r="N14" i="1" a="1"/>
  <c r="N28" i="1" a="1"/>
  <c r="N16" i="1" a="1"/>
  <c r="N20" i="1" a="1"/>
  <c r="N31" i="1" a="1"/>
  <c r="N29" i="1" a="1"/>
  <c r="N26" i="1" a="1"/>
  <c r="N12" i="1" a="1"/>
  <c r="N30" i="1" a="1"/>
  <c r="N5" i="1" a="1"/>
  <c r="N18" i="1" a="1"/>
  <c r="N25" i="1" a="1"/>
  <c r="N11" i="1" a="1"/>
  <c r="N7" i="1" a="1"/>
  <c r="H4" i="3" a="1"/>
  <c r="F4" i="3" a="1"/>
  <c r="H4" i="3" l="1"/>
  <c r="F4" i="3"/>
  <c r="E5" i="2"/>
  <c r="F16" i="2"/>
  <c r="F17" i="2"/>
  <c r="F6" i="2"/>
  <c r="F18" i="2"/>
  <c r="F26" i="2"/>
  <c r="F19" i="2"/>
  <c r="F7" i="2"/>
  <c r="F20" i="2"/>
  <c r="F27" i="2"/>
  <c r="F21" i="2"/>
  <c r="F8" i="2"/>
  <c r="F22" i="2"/>
  <c r="F28" i="2"/>
  <c r="F23" i="2"/>
  <c r="F9" i="2"/>
  <c r="F24" i="2"/>
  <c r="F29" i="2"/>
  <c r="F25" i="2"/>
  <c r="F30" i="2"/>
  <c r="F10" i="2"/>
  <c r="F11" i="2"/>
  <c r="F31" i="2"/>
  <c r="D5" i="2"/>
  <c r="G5" i="2" s="1"/>
  <c r="F12" i="2"/>
  <c r="F32" i="2"/>
  <c r="F13" i="2"/>
  <c r="F33" i="2"/>
  <c r="F14" i="2"/>
  <c r="F34" i="2"/>
  <c r="F15" i="2"/>
  <c r="G25" i="2"/>
  <c r="G6" i="2"/>
  <c r="G7" i="2"/>
  <c r="B5" i="2"/>
  <c r="G26" i="2"/>
  <c r="G16" i="2"/>
  <c r="G27" i="2"/>
  <c r="G17" i="2"/>
  <c r="G8" i="2"/>
  <c r="G18" i="2"/>
  <c r="G28" i="2"/>
  <c r="G19" i="2"/>
  <c r="G9" i="2"/>
  <c r="G20" i="2"/>
  <c r="G29" i="2"/>
  <c r="G21" i="2"/>
  <c r="G10" i="2"/>
  <c r="G22" i="2"/>
  <c r="G30" i="2"/>
  <c r="G24" i="2"/>
  <c r="G11" i="2"/>
  <c r="G31" i="2"/>
  <c r="G12" i="2"/>
  <c r="G32" i="2"/>
  <c r="G13" i="2"/>
  <c r="G33" i="2"/>
  <c r="G14" i="2"/>
  <c r="G34" i="2"/>
  <c r="G15" i="2"/>
  <c r="G23" i="2"/>
  <c r="C3" i="1"/>
  <c r="N3" i="1"/>
  <c r="N9" i="1"/>
  <c r="N31" i="1"/>
  <c r="N28" i="1"/>
  <c r="N8" i="1"/>
  <c r="N27" i="1"/>
  <c r="N17" i="1"/>
  <c r="N21" i="1"/>
  <c r="N16" i="1"/>
  <c r="N13" i="1"/>
  <c r="N32" i="1"/>
  <c r="N22" i="1"/>
  <c r="N12" i="1"/>
  <c r="N7" i="1"/>
  <c r="N25" i="1"/>
  <c r="N5" i="1"/>
  <c r="N11" i="1"/>
  <c r="N19" i="1"/>
  <c r="N6" i="1"/>
  <c r="N18" i="1"/>
  <c r="N30" i="1"/>
  <c r="N26" i="1"/>
  <c r="N20" i="1"/>
  <c r="N15" i="1"/>
  <c r="N10" i="1"/>
  <c r="N24" i="1"/>
  <c r="N29" i="1"/>
  <c r="N4" i="1"/>
  <c r="N14" i="1"/>
  <c r="N23" i="1"/>
  <c r="O10" i="1" a="1"/>
  <c r="O3" i="1" a="1"/>
  <c r="O14" i="1" a="1"/>
  <c r="O24" i="1" a="1"/>
  <c r="O29" i="1" a="1"/>
  <c r="O30" i="1" a="1"/>
  <c r="O23" i="1" a="1"/>
  <c r="O16" i="1" a="1"/>
  <c r="O13" i="1" a="1"/>
  <c r="O9" i="1" a="1"/>
  <c r="O21" i="1" a="1"/>
  <c r="O26" i="1" a="1"/>
  <c r="O11" i="1" a="1"/>
  <c r="O12" i="1" a="1"/>
  <c r="O32" i="1" a="1"/>
  <c r="O19" i="1" a="1"/>
  <c r="O4" i="1" a="1"/>
  <c r="O22" i="1" a="1"/>
  <c r="O28" i="1" a="1"/>
  <c r="O7" i="1" a="1"/>
  <c r="O18" i="1" a="1"/>
  <c r="O5" i="1" a="1"/>
  <c r="O27" i="1" a="1"/>
  <c r="O31" i="1" a="1"/>
  <c r="O15" i="1" a="1"/>
  <c r="O25" i="1" a="1"/>
  <c r="O20" i="1" a="1"/>
  <c r="O8" i="1" a="1"/>
  <c r="O6" i="1" a="1"/>
  <c r="O17" i="1" a="1"/>
  <c r="H9" i="3" a="1"/>
  <c r="F9" i="3" a="1"/>
  <c r="E3" i="2" a="1"/>
  <c r="D3" i="2" a="1"/>
  <c r="C3" i="2" a="1"/>
  <c r="H9" i="3" l="1"/>
  <c r="F9" i="3"/>
  <c r="E3" i="2"/>
  <c r="F5" i="2"/>
  <c r="C3" i="2"/>
  <c r="D3" i="2"/>
  <c r="O19" i="1"/>
  <c r="O11" i="1"/>
  <c r="O25" i="1"/>
  <c r="O12" i="1"/>
  <c r="O23" i="1"/>
  <c r="O14" i="1"/>
  <c r="O4" i="1"/>
  <c r="O17" i="1"/>
  <c r="O27" i="1"/>
  <c r="O8" i="1"/>
  <c r="O28" i="1"/>
  <c r="O20" i="1"/>
  <c r="O26" i="1"/>
  <c r="O9" i="1"/>
  <c r="O30" i="1"/>
  <c r="O3" i="1"/>
  <c r="O6" i="1"/>
  <c r="O5" i="1"/>
  <c r="O7" i="1"/>
  <c r="O22" i="1"/>
  <c r="O32" i="1"/>
  <c r="O13" i="1"/>
  <c r="O16" i="1"/>
  <c r="O21" i="1"/>
  <c r="O29" i="1"/>
  <c r="O24" i="1"/>
  <c r="O10" i="1"/>
  <c r="O15" i="1"/>
  <c r="O31" i="1"/>
  <c r="O18" i="1"/>
  <c r="F10" i="3" a="1"/>
  <c r="I5" i="2" a="1"/>
  <c r="H10" i="3" a="1"/>
  <c r="J5" i="2" a="1"/>
  <c r="K5" i="2" a="1"/>
  <c r="F10" i="3" l="1"/>
  <c r="H10" i="3"/>
  <c r="K5" i="2"/>
  <c r="I5" i="2"/>
  <c r="J5" i="2"/>
  <c r="F12" i="3" a="1"/>
  <c r="F12" i="3" l="1"/>
  <c r="F13" i="3" a="1"/>
  <c r="F13" i="3" l="1"/>
  <c r="F14" i="3" a="1"/>
  <c r="F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<sst xmlns="http://schemas.openxmlformats.org/spreadsheetml/2006/main" count="22" uniqueCount="21">
  <si>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pvdate</t>
  </si>
  <si>
    <t>instrument</t>
  </si>
  <si>
    <t>security</t>
  </si>
  <si>
    <t>price</t>
  </si>
  <si>
    <t>ice</t>
  </si>
  <si>
    <t>date</t>
  </si>
  <si>
    <t>CAAA</t>
  </si>
  <si>
    <t>BVMB</t>
  </si>
  <si>
    <t>ICE</t>
  </si>
  <si>
    <t>dated</t>
  </si>
  <si>
    <t>maturity</t>
  </si>
  <si>
    <t>coupon</t>
  </si>
  <si>
    <t>face</t>
  </si>
  <si>
    <t>today</t>
  </si>
  <si>
    <t>BOND.MUNI</t>
  </si>
  <si>
    <t>CURVE</t>
  </si>
  <si>
    <t>INSTRUMENT</t>
  </si>
  <si>
    <t>pv</t>
  </si>
  <si>
    <t>SPREAD</t>
  </si>
  <si>
    <t>option</t>
  </si>
  <si>
    <t>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</si>
</sst>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73" formatCode="0.000%"/>
  </numFmts>
  <fonts count="9" x14ac:knownFonts="1">
    <font>
      <sz val="14"/>
      <color theme="1"/>
      <name val="Aptos Narrow"/>
      <family val="2"/>
    </font>
    <font>
      <sz val="14"/>
      <color theme="0"/>
      <name val="Aptos Narrow"/>
      <family val="2"/>
    </font>
    <font>
      <sz val="8"/>
      <color indexed="63"/>
      <name val="Aptos Narrow"/>
      <family val="2"/>
    </font>
    <font>
      <sz val="14"/>
      <color rgb="FF3F3F76"/>
      <name val="Aptos Narrow"/>
      <family val="2"/>
    </font>
    <font>
      <sz val="14"/>
      <color theme="1"/>
      <name val="Aptos Narrow"/>
      <family val="2"/>
    </font>
    <font>
      <sz val="14"/>
      <color theme="1"/>
      <name val="Calibri"/>
      <family val="2"/>
    </font>
    <font>
      <sz val="8"/>
      <color indexed="63"/>
      <name val="Calibri"/>
      <family val="2"/>
    </font>
    <font>
      <b/>
      <sz val="14"/>
      <color theme="1"/>
      <name val="Calibri"/>
      <family val="2"/>
    </font>
    <font>
      <sz val="14"/>
      <color rgb="FF3F3F7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2" fillId="0" borderId="0">
      <alignment horizontal="center" vertical="center"/>
    </xf>
    <xf numFmtId="0" fontId="3" fillId="3" borderId="2" applyNumberFormat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164" fontId="2" fillId="0" borderId="0" xfId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14" fontId="3" fillId="3" borderId="2" xfId="2" applyNumberFormat="1"/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/>
    <xf numFmtId="164" fontId="6" fillId="0" borderId="0" xfId="1" applyFont="1">
      <alignment horizontal="center" vertical="center"/>
    </xf>
    <xf numFmtId="10" fontId="5" fillId="0" borderId="0" xfId="3" applyNumberFormat="1" applyFont="1"/>
    <xf numFmtId="0" fontId="7" fillId="0" borderId="0" xfId="0" applyFont="1" applyAlignment="1">
      <alignment horizontal="right"/>
    </xf>
    <xf numFmtId="14" fontId="8" fillId="3" borderId="2" xfId="2" applyNumberFormat="1" applyFont="1"/>
    <xf numFmtId="10" fontId="8" fillId="3" borderId="2" xfId="3" applyNumberFormat="1" applyFont="1" applyFill="1" applyBorder="1"/>
    <xf numFmtId="0" fontId="8" fillId="3" borderId="2" xfId="2" applyFont="1"/>
    <xf numFmtId="2" fontId="5" fillId="0" borderId="0" xfId="0" applyNumberFormat="1" applyFont="1"/>
    <xf numFmtId="173" fontId="5" fillId="0" borderId="0" xfId="3" applyNumberFormat="1" applyFont="1"/>
  </cellXfs>
  <cellStyles count="4">
    <cellStyle name="Handle" xfId="1" xr:uid="{B6A13C07-2CC5-47D3-890C-A04595C25874}"/>
    <cellStyle name="Input" xfId="2" builtinId="20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BVMB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Sheet2!$I$5:$I$33</c:f>
              <c:numCache>
                <c:formatCode>General</c:formatCode>
                <c:ptCount val="29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1-445B-B9E1-388AF0D59F12}"/>
            </c:ext>
          </c:extLst>
        </c:ser>
        <c:ser>
          <c:idx val="1"/>
          <c:order val="1"/>
          <c:tx>
            <c:strRef>
              <c:f>Sheet2!$J$4</c:f>
              <c:strCache>
                <c:ptCount val="1"/>
                <c:pt idx="0">
                  <c:v>CAAA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Sheet2!$J$5:$J$33</c:f>
              <c:numCache>
                <c:formatCode>General</c:formatCode>
                <c:ptCount val="29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91-445B-B9E1-388AF0D59F12}"/>
            </c:ext>
          </c:extLst>
        </c:ser>
        <c:ser>
          <c:idx val="2"/>
          <c:order val="2"/>
          <c:tx>
            <c:strRef>
              <c:f>Sheet2!$K$4</c:f>
              <c:strCache>
                <c:ptCount val="1"/>
                <c:pt idx="0">
                  <c:v>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Sheet2!$K$5:$K$33</c:f>
              <c:numCache>
                <c:formatCode>General</c:formatCode>
                <c:ptCount val="29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91-445B-B9E1-388AF0D59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44127"/>
        <c:axId val="2041648447"/>
      </c:scatterChart>
      <c:valAx>
        <c:axId val="20416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8447"/>
        <c:crosses val="autoZero"/>
        <c:crossBetween val="midCat"/>
      </c:valAx>
      <c:valAx>
        <c:axId val="20416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5</xdr:row>
      <xdr:rowOff>19050</xdr:rowOff>
    </xdr:from>
    <xdr:to>
      <xdr:col>18</xdr:col>
      <xdr:colOff>281940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A3D97F-4A77-846D-CE86-0AD5E10BA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A9D1-CEA5-47B5-955A-5CAD8950FBBB}">
  <dimension ref="A1:O32"/>
  <sheetViews>
    <sheetView workbookViewId="0">
      <selection activeCell="L2" sqref="L2"/>
    </sheetView>
  </sheetViews>
  <sheetFormatPr defaultRowHeight="18" x14ac:dyDescent="0.35"/>
  <cols>
    <col min="1" max="1" width="3.9140625" customWidth="1"/>
    <col min="2" max="2" width="2.75" bestFit="1" customWidth="1"/>
    <col min="11" max="11" width="10.75" bestFit="1" customWidth="1"/>
    <col min="12" max="12" width="8.9140625" bestFit="1" customWidth="1"/>
    <col min="13" max="13" width="9.1640625" bestFit="1" customWidth="1"/>
    <col min="14" max="14" width="11.75" bestFit="1" customWidth="1"/>
  </cols>
  <sheetData>
    <row r="1" spans="1:15" ht="28.05" customHeight="1" x14ac:dyDescent="0.35">
      <c r="A1" s="5" t="s">
        <v>4</v>
      </c>
    </row>
    <row r="2" spans="1:15" x14ac:dyDescent="0.35">
      <c r="C2" s="4" t="e" cm="1">
        <f t="array" aca="1" ref="C2" ca="1">_xll.EMMA_ENUM()</f>
        <v>#NAME?</v>
      </c>
      <c r="D2" s="4"/>
      <c r="E2" s="4"/>
      <c r="F2" s="4"/>
      <c r="G2" s="4"/>
      <c r="H2" s="4"/>
      <c r="I2" s="4"/>
      <c r="J2" s="4"/>
      <c r="K2" s="3" t="s">
        <v>0</v>
      </c>
      <c r="L2" s="6">
        <v>45632</v>
      </c>
      <c r="M2" s="4" t="s">
        <v>2</v>
      </c>
      <c r="N2" s="4" t="s">
        <v>1</v>
      </c>
      <c r="O2" t="s">
        <v>3</v>
      </c>
    </row>
    <row r="3" spans="1:15" x14ac:dyDescent="0.35">
      <c r="B3">
        <v>1</v>
      </c>
      <c r="C3" t="e" cm="1">
        <f t="array" aca="1" ref="C3" ca="1">INDEX(_xll.EMMA(C2,pvdate),,2)</f>
        <v>#NAME?</v>
      </c>
      <c r="D3" t="e" cm="1">
        <f t="array" aca="1" ref="D3" ca="1">INDEX(_xll.EMMA(D2,pvdate),,2)</f>
        <v>#NAME?</v>
      </c>
      <c r="E3" t="e" cm="1">
        <f t="array" aca="1" ref="E3" ca="1">INDEX(_xll.EMMA(E2,pvdate),,2)</f>
        <v>#NAME?</v>
      </c>
      <c r="F3" t="e" cm="1">
        <f t="array" aca="1" ref="F3" ca="1">INDEX(_xll.EMMA(F2,pvdate),,2)</f>
        <v>#NAME?</v>
      </c>
      <c r="G3" t="e" cm="1">
        <f t="array" aca="1" ref="G3" ca="1">INDEX(_xll.EMMA(G2,pvdate),,2)</f>
        <v>#NAME?</v>
      </c>
      <c r="I3" t="e" cm="1">
        <f t="array" aca="1" ref="I3" ca="1">INDEX(_xll.EMMA(I2,pvdate),,2)</f>
        <v>#NAME?</v>
      </c>
      <c r="J3" t="e" cm="1">
        <f t="array" aca="1" ref="J3" ca="1">_xll.EMMA(J2,pvdate)</f>
        <v>#NAME?</v>
      </c>
      <c r="M3" s="1" cm="1">
        <f t="array" ref="M3">_xll.\TMX.SECURITY.BOND.MUNI(pvdate, B3, 0.05)</f>
        <v>2666469607776</v>
      </c>
      <c r="N3" s="1" cm="1">
        <f t="array" ref="N3">_xll.\TMX.INSTRUMENT.SECURITY(M3,pvdate)</f>
        <v>2668371684912</v>
      </c>
      <c r="O3" t="e" cm="1">
        <f t="array" aca="1" ref="O3" ca="1">_xll.TMX.VALUE.PRICE(N3, F3)</f>
        <v>#VALUE!</v>
      </c>
    </row>
    <row r="4" spans="1:15" x14ac:dyDescent="0.35">
      <c r="B4">
        <v>2</v>
      </c>
      <c r="M4" s="1" cm="1">
        <f t="array" ref="M4">_xll.\TMX.SECURITY.BOND.MUNI(pvdate, B4, 0.05)</f>
        <v>2666469603296</v>
      </c>
      <c r="N4" s="1" cm="1">
        <f t="array" ref="N4">_xll.\TMX.INSTRUMENT.SECURITY(M4,pvdate)</f>
        <v>2668371685552</v>
      </c>
      <c r="O4" cm="1">
        <f t="array" ref="O4">_xll.TMX.VALUE.PRICE(N4, F4)</f>
        <v>110</v>
      </c>
    </row>
    <row r="5" spans="1:15" x14ac:dyDescent="0.35">
      <c r="B5">
        <v>3</v>
      </c>
      <c r="M5" s="1" cm="1">
        <f t="array" ref="M5">_xll.\TMX.SECURITY.BOND.MUNI(pvdate, B5, 0.05)</f>
        <v>2666469616864</v>
      </c>
      <c r="N5" s="1" cm="1">
        <f t="array" ref="N5">_xll.\TMX.INSTRUMENT.SECURITY(M5,pvdate)</f>
        <v>2668371622912</v>
      </c>
      <c r="O5" cm="1">
        <f t="array" ref="O5">_xll.TMX.VALUE.PRICE(N5, F5)</f>
        <v>115</v>
      </c>
    </row>
    <row r="6" spans="1:15" x14ac:dyDescent="0.35">
      <c r="B6">
        <v>4</v>
      </c>
      <c r="M6" s="1" cm="1">
        <f t="array" ref="M6">_xll.\TMX.SECURITY.BOND.MUNI(pvdate, B6, 0.05)</f>
        <v>2666469609696</v>
      </c>
      <c r="N6" s="1" cm="1">
        <f t="array" ref="N6">_xll.\TMX.INSTRUMENT.SECURITY(M6,pvdate)</f>
        <v>2668371686352</v>
      </c>
      <c r="O6" cm="1">
        <f t="array" ref="O6">_xll.TMX.VALUE.PRICE(N6, F6)</f>
        <v>120</v>
      </c>
    </row>
    <row r="7" spans="1:15" x14ac:dyDescent="0.35">
      <c r="B7">
        <v>5</v>
      </c>
      <c r="M7" s="1" cm="1">
        <f t="array" ref="M7">_xll.\TMX.SECURITY.BOND.MUNI(pvdate, B7, 0.05)</f>
        <v>2666469614176</v>
      </c>
      <c r="N7" s="1" cm="1">
        <f t="array" ref="N7">_xll.\TMX.INSTRUMENT.SECURITY(M7,pvdate)</f>
        <v>2668371623472</v>
      </c>
      <c r="O7" cm="1">
        <f t="array" ref="O7">_xll.TMX.VALUE.PRICE(N7, F7)</f>
        <v>125</v>
      </c>
    </row>
    <row r="8" spans="1:15" x14ac:dyDescent="0.35">
      <c r="B8">
        <v>6</v>
      </c>
      <c r="M8" s="1" cm="1">
        <f t="array" ref="M8">_xll.\TMX.SECURITY.BOND.MUNI(pvdate, B8, 0.05)</f>
        <v>2666469605856</v>
      </c>
      <c r="N8" s="1" cm="1">
        <f t="array" ref="N8">_xll.\TMX.INSTRUMENT.SECURITY(M8,pvdate)</f>
        <v>2668371624432</v>
      </c>
      <c r="O8" cm="1">
        <f t="array" ref="O8">_xll.TMX.VALUE.PRICE(N8, F8)</f>
        <v>130</v>
      </c>
    </row>
    <row r="9" spans="1:15" x14ac:dyDescent="0.35">
      <c r="B9">
        <v>7</v>
      </c>
      <c r="M9" s="1" cm="1">
        <f t="array" ref="M9">_xll.\TMX.SECURITY.BOND.MUNI(pvdate, B9, 0.05)</f>
        <v>2666469607520</v>
      </c>
      <c r="N9" s="1" cm="1">
        <f t="array" ref="N9">_xll.\TMX.INSTRUMENT.SECURITY(M9,pvdate)</f>
        <v>2668371686752</v>
      </c>
      <c r="O9" cm="1">
        <f t="array" ref="O9">_xll.TMX.VALUE.PRICE(N9, F9)</f>
        <v>135</v>
      </c>
    </row>
    <row r="10" spans="1:15" x14ac:dyDescent="0.35">
      <c r="B10">
        <v>8</v>
      </c>
      <c r="M10" s="1" cm="1">
        <f t="array" ref="M10">_xll.\TMX.SECURITY.BOND.MUNI(pvdate, B10, 0.05)</f>
        <v>2666469604704</v>
      </c>
      <c r="N10" s="1" cm="1">
        <f t="array" ref="N10">_xll.\TMX.INSTRUMENT.SECURITY(M10,pvdate)</f>
        <v>2668371684032</v>
      </c>
      <c r="O10" cm="1">
        <f t="array" ref="O10">_xll.TMX.VALUE.PRICE(N10, F10)</f>
        <v>140</v>
      </c>
    </row>
    <row r="11" spans="1:15" x14ac:dyDescent="0.35">
      <c r="B11">
        <v>9</v>
      </c>
      <c r="M11" s="1" cm="1">
        <f t="array" ref="M11">_xll.\TMX.SECURITY.BOND.MUNI(pvdate, B11, 0.05)</f>
        <v>2666469610080</v>
      </c>
      <c r="N11" s="1" cm="1">
        <f t="array" ref="N11">_xll.\TMX.INSTRUMENT.SECURITY(M11,pvdate)</f>
        <v>2668371624512</v>
      </c>
      <c r="O11" cm="1">
        <f t="array" ref="O11">_xll.TMX.VALUE.PRICE(N11, F11)</f>
        <v>145</v>
      </c>
    </row>
    <row r="12" spans="1:15" x14ac:dyDescent="0.35">
      <c r="B12">
        <v>10</v>
      </c>
      <c r="M12" s="1" cm="1">
        <f t="array" ref="M12">_xll.\TMX.SECURITY.BOND.MUNI(pvdate, B12, 0.05)</f>
        <v>2666469615456</v>
      </c>
      <c r="N12" s="1" cm="1">
        <f t="array" ref="N12">_xll.\TMX.INSTRUMENT.SECURITY(M12,pvdate)</f>
        <v>2668371626992</v>
      </c>
      <c r="O12" cm="1">
        <f t="array" ref="O12">_xll.TMX.VALUE.PRICE(N12, F12)</f>
        <v>150</v>
      </c>
    </row>
    <row r="13" spans="1:15" x14ac:dyDescent="0.35">
      <c r="B13">
        <v>11</v>
      </c>
      <c r="M13" s="1" cm="1">
        <f t="array" ref="M13">_xll.\TMX.SECURITY.BOND.MUNI(pvdate, B13, 0.05)</f>
        <v>2666469603552</v>
      </c>
      <c r="N13" s="1" cm="1">
        <f t="array" ref="N13">_xll.\TMX.INSTRUMENT.SECURITY(M13,pvdate)</f>
        <v>2668371626192</v>
      </c>
      <c r="O13" cm="1">
        <f t="array" ref="O13">_xll.TMX.VALUE.PRICE(N13, F13)</f>
        <v>155</v>
      </c>
    </row>
    <row r="14" spans="1:15" x14ac:dyDescent="0.35">
      <c r="B14">
        <v>12</v>
      </c>
      <c r="M14" s="1" cm="1">
        <f t="array" ref="M14">_xll.\TMX.SECURITY.BOND.MUNI(pvdate, B14, 0.05)</f>
        <v>2666469613152</v>
      </c>
      <c r="N14" s="1" cm="1">
        <f t="array" ref="N14">_xll.\TMX.INSTRUMENT.SECURITY(M14,pvdate)</f>
        <v>2668371626432</v>
      </c>
      <c r="O14" cm="1">
        <f t="array" ref="O14">_xll.TMX.VALUE.PRICE(N14, F14)</f>
        <v>160</v>
      </c>
    </row>
    <row r="15" spans="1:15" x14ac:dyDescent="0.35">
      <c r="B15">
        <v>13</v>
      </c>
      <c r="M15" s="1" cm="1">
        <f t="array" ref="M15">_xll.\TMX.SECURITY.BOND.MUNI(pvdate, B15, 0.05)</f>
        <v>2666469606624</v>
      </c>
      <c r="N15" s="1" cm="1">
        <f t="array" ref="N15">_xll.\TMX.INSTRUMENT.SECURITY(M15,pvdate)</f>
        <v>2668371626272</v>
      </c>
      <c r="O15" cm="1">
        <f t="array" ref="O15">_xll.TMX.VALUE.PRICE(N15, F15)</f>
        <v>165</v>
      </c>
    </row>
    <row r="16" spans="1:15" x14ac:dyDescent="0.35">
      <c r="B16">
        <v>14</v>
      </c>
      <c r="M16" s="1" cm="1">
        <f t="array" ref="M16">_xll.\TMX.SECURITY.BOND.MUNI(pvdate, B16, 0.05)</f>
        <v>2666469604448</v>
      </c>
      <c r="N16" s="1" cm="1">
        <f t="array" ref="N16">_xll.\TMX.INSTRUMENT.SECURITY(M16,pvdate)</f>
        <v>2668371626512</v>
      </c>
      <c r="O16" cm="1">
        <f t="array" ref="O16">_xll.TMX.VALUE.PRICE(N16, F16)</f>
        <v>170</v>
      </c>
    </row>
    <row r="17" spans="2:15" x14ac:dyDescent="0.35">
      <c r="B17">
        <v>15</v>
      </c>
      <c r="M17" s="1" cm="1">
        <f t="array" ref="M17">_xll.\TMX.SECURITY.BOND.MUNI(pvdate, B17, 0.05)</f>
        <v>2666469616224</v>
      </c>
      <c r="N17" s="1" cm="1">
        <f t="array" ref="N17">_xll.\TMX.INSTRUMENT.SECURITY(M17,pvdate)</f>
        <v>2668371686672</v>
      </c>
      <c r="O17" cm="1">
        <f t="array" ref="O17">_xll.TMX.VALUE.PRICE(N17, F17)</f>
        <v>175</v>
      </c>
    </row>
    <row r="18" spans="2:15" x14ac:dyDescent="0.35">
      <c r="B18">
        <v>16</v>
      </c>
      <c r="M18" s="1" cm="1">
        <f t="array" ref="M18">_xll.\TMX.SECURITY.BOND.MUNI(pvdate, B18, 0.05)</f>
        <v>2666469608160</v>
      </c>
      <c r="N18" s="1" cm="1">
        <f t="array" ref="N18">_xll.\TMX.INSTRUMENT.SECURITY(M18,pvdate)</f>
        <v>2668371625552</v>
      </c>
      <c r="O18" cm="1">
        <f t="array" ref="O18">_xll.TMX.VALUE.PRICE(N18, F18)</f>
        <v>180</v>
      </c>
    </row>
    <row r="19" spans="2:15" x14ac:dyDescent="0.35">
      <c r="B19">
        <v>17</v>
      </c>
      <c r="M19" s="1" cm="1">
        <f t="array" ref="M19">_xll.\TMX.SECURITY.BOND.MUNI(pvdate, B19, 0.05)</f>
        <v>2666469613664</v>
      </c>
      <c r="N19" s="1" cm="1">
        <f t="array" ref="N19">_xll.\TMX.INSTRUMENT.SECURITY(M19,pvdate)</f>
        <v>2668371684992</v>
      </c>
      <c r="O19" cm="1">
        <f t="array" ref="O19">_xll.TMX.VALUE.PRICE(N19, F19)</f>
        <v>185</v>
      </c>
    </row>
    <row r="20" spans="2:15" x14ac:dyDescent="0.35">
      <c r="B20">
        <v>18</v>
      </c>
      <c r="M20" s="1" cm="1">
        <f t="array" ref="M20">_xll.\TMX.SECURITY.BOND.MUNI(pvdate, B20, 0.05)</f>
        <v>2666469615968</v>
      </c>
      <c r="N20" s="1" cm="1">
        <f t="array" ref="N20">_xll.\TMX.INSTRUMENT.SECURITY(M20,pvdate)</f>
        <v>2668371626592</v>
      </c>
      <c r="O20" cm="1">
        <f t="array" ref="O20">_xll.TMX.VALUE.PRICE(N20, F20)</f>
        <v>190</v>
      </c>
    </row>
    <row r="21" spans="2:15" x14ac:dyDescent="0.35">
      <c r="B21">
        <v>19</v>
      </c>
      <c r="M21" s="1" cm="1">
        <f t="array" ref="M21">_xll.\TMX.SECURITY.BOND.MUNI(pvdate, B21, 0.05)</f>
        <v>2666469605472</v>
      </c>
      <c r="N21" s="1" cm="1">
        <f t="array" ref="N21">_xll.\TMX.INSTRUMENT.SECURITY(M21,pvdate)</f>
        <v>2668371683792</v>
      </c>
      <c r="O21" cm="1">
        <f t="array" ref="O21">_xll.TMX.VALUE.PRICE(N21, F21)</f>
        <v>195</v>
      </c>
    </row>
    <row r="22" spans="2:15" x14ac:dyDescent="0.35">
      <c r="B22">
        <v>20</v>
      </c>
      <c r="M22" s="1" cm="1">
        <f t="array" ref="M22">_xll.\TMX.SECURITY.BOND.MUNI(pvdate, B22, 0.05)</f>
        <v>2666469615072</v>
      </c>
      <c r="N22" s="1" cm="1">
        <f t="array" ref="N22">_xll.\TMX.INSTRUMENT.SECURITY(M22,pvdate)</f>
        <v>2668371685472</v>
      </c>
      <c r="O22" cm="1">
        <f t="array" ref="O22">_xll.TMX.VALUE.PRICE(N22, F22)</f>
        <v>200</v>
      </c>
    </row>
    <row r="23" spans="2:15" x14ac:dyDescent="0.35">
      <c r="B23">
        <v>21</v>
      </c>
      <c r="M23" s="1" cm="1">
        <f t="array" ref="M23">_xll.\TMX.SECURITY.BOND.MUNI(pvdate, B23, 0.05)</f>
        <v>2666469604320</v>
      </c>
      <c r="N23" s="1" cm="1">
        <f t="array" ref="N23">_xll.\TMX.INSTRUMENT.SECURITY(M23,pvdate)</f>
        <v>2668371623232</v>
      </c>
      <c r="O23" cm="1">
        <f t="array" ref="O23">_xll.TMX.VALUE.PRICE(N23, F23)</f>
        <v>205</v>
      </c>
    </row>
    <row r="24" spans="2:15" x14ac:dyDescent="0.35">
      <c r="B24">
        <v>22</v>
      </c>
      <c r="M24" s="1" cm="1">
        <f t="array" ref="M24">_xll.\TMX.SECURITY.BOND.MUNI(pvdate, B24, 0.05)</f>
        <v>2666469610464</v>
      </c>
      <c r="N24" s="1" cm="1">
        <f t="array" ref="N24">_xll.\TMX.INSTRUMENT.SECURITY(M24,pvdate)</f>
        <v>2668371686992</v>
      </c>
      <c r="O24" cm="1">
        <f t="array" ref="O24">_xll.TMX.VALUE.PRICE(N24, F24)</f>
        <v>210</v>
      </c>
    </row>
    <row r="25" spans="2:15" x14ac:dyDescent="0.35">
      <c r="B25">
        <v>23</v>
      </c>
      <c r="M25" s="1" cm="1">
        <f t="array" ref="M25">_xll.\TMX.SECURITY.BOND.MUNI(pvdate, B25, 0.05)</f>
        <v>2666469609440</v>
      </c>
      <c r="N25" s="1" cm="1">
        <f t="array" ref="N25">_xll.\TMX.INSTRUMENT.SECURITY(M25,pvdate)</f>
        <v>2668371623392</v>
      </c>
      <c r="O25" cm="1">
        <f t="array" ref="O25">_xll.TMX.VALUE.PRICE(N25, F25)</f>
        <v>215</v>
      </c>
    </row>
    <row r="26" spans="2:15" x14ac:dyDescent="0.35">
      <c r="B26">
        <v>24</v>
      </c>
      <c r="M26" s="1" cm="1">
        <f t="array" ref="M26">_xll.\TMX.SECURITY.BOND.MUNI(pvdate, B26, 0.05)</f>
        <v>2666469603680</v>
      </c>
      <c r="N26" s="1" cm="1">
        <f t="array" ref="N26">_xll.\TMX.INSTRUMENT.SECURITY(M26,pvdate)</f>
        <v>2668371624592</v>
      </c>
      <c r="O26" cm="1">
        <f t="array" ref="O26">_xll.TMX.VALUE.PRICE(N26, F26)</f>
        <v>220</v>
      </c>
    </row>
    <row r="27" spans="2:15" x14ac:dyDescent="0.35">
      <c r="B27">
        <v>25</v>
      </c>
      <c r="M27" s="1" cm="1">
        <f t="array" ref="M27">_xll.\TMX.SECURITY.BOND.MUNI(pvdate, B27, 0.05)</f>
        <v>2666469613280</v>
      </c>
      <c r="N27" s="1" cm="1">
        <f t="array" ref="N27">_xll.\TMX.INSTRUMENT.SECURITY(M27,pvdate)</f>
        <v>2668371684512</v>
      </c>
      <c r="O27" cm="1">
        <f t="array" ref="O27">_xll.TMX.VALUE.PRICE(N27, F27)</f>
        <v>225</v>
      </c>
    </row>
    <row r="28" spans="2:15" x14ac:dyDescent="0.35">
      <c r="B28">
        <v>26</v>
      </c>
      <c r="M28" s="1" cm="1">
        <f t="array" ref="M28">_xll.\TMX.SECURITY.BOND.MUNI(pvdate, B28, 0.05)</f>
        <v>2666469603424</v>
      </c>
      <c r="N28" s="1" cm="1">
        <f t="array" ref="N28">_xll.\TMX.INSTRUMENT.SECURITY(M28,pvdate)</f>
        <v>2668371622512</v>
      </c>
      <c r="O28" cm="1">
        <f t="array" ref="O28">_xll.TMX.VALUE.PRICE(N28, F28)</f>
        <v>230</v>
      </c>
    </row>
    <row r="29" spans="2:15" x14ac:dyDescent="0.35">
      <c r="B29">
        <v>27</v>
      </c>
      <c r="M29" s="1" cm="1">
        <f t="array" ref="M29">_xll.\TMX.SECURITY.BOND.MUNI(pvdate, B29, 0.05)</f>
        <v>2666469606112</v>
      </c>
      <c r="N29" s="1" cm="1">
        <f t="array" ref="N29">_xll.\TMX.INSTRUMENT.SECURITY(M29,pvdate)</f>
        <v>2668371625152</v>
      </c>
      <c r="O29" cm="1">
        <f t="array" ref="O29">_xll.TMX.VALUE.PRICE(N29, F29)</f>
        <v>235</v>
      </c>
    </row>
    <row r="30" spans="2:15" x14ac:dyDescent="0.35">
      <c r="B30">
        <v>28</v>
      </c>
      <c r="M30" s="1" cm="1">
        <f t="array" ref="M30">_xll.\TMX.SECURITY.BOND.MUNI(pvdate, B30, 0.05)</f>
        <v>2666469606752</v>
      </c>
      <c r="N30" s="1" cm="1">
        <f t="array" ref="N30">_xll.\TMX.INSTRUMENT.SECURITY(M30,pvdate)</f>
        <v>2668371622272</v>
      </c>
      <c r="O30" cm="1">
        <f t="array" ref="O30">_xll.TMX.VALUE.PRICE(N30, F30)</f>
        <v>240</v>
      </c>
    </row>
    <row r="31" spans="2:15" x14ac:dyDescent="0.35">
      <c r="B31">
        <v>29</v>
      </c>
      <c r="M31" s="1" cm="1">
        <f t="array" ref="M31">_xll.\TMX.SECURITY.BOND.MUNI(pvdate, B31, 0.05)</f>
        <v>2666469609312</v>
      </c>
      <c r="N31" s="1" cm="1">
        <f t="array" ref="N31">_xll.\TMX.INSTRUMENT.SECURITY(M31,pvdate)</f>
        <v>2668371623312</v>
      </c>
      <c r="O31" cm="1">
        <f t="array" ref="O31">_xll.TMX.VALUE.PRICE(N31, F31)</f>
        <v>245</v>
      </c>
    </row>
    <row r="32" spans="2:15" x14ac:dyDescent="0.35">
      <c r="B32">
        <v>30</v>
      </c>
      <c r="M32" s="1" cm="1">
        <f t="array" ref="M32">_xll.\TMX.SECURITY.BOND.MUNI(pvdate, B32, 0.05)</f>
        <v>2666469616608</v>
      </c>
      <c r="N32" s="1" cm="1">
        <f t="array" ref="N32">_xll.\TMX.INSTRUMENT.SECURITY(M32,pvdate)</f>
        <v>2668371687072</v>
      </c>
      <c r="O32" cm="1">
        <f t="array" ref="O32">_xll.TMX.VALUE.PRICE(N32, F32)</f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7481-ADAD-4F2F-A369-03896285D0CA}">
  <dimension ref="B2:K34"/>
  <sheetViews>
    <sheetView workbookViewId="0">
      <selection activeCell="E4" sqref="E4"/>
    </sheetView>
  </sheetViews>
  <sheetFormatPr defaultRowHeight="18" x14ac:dyDescent="0.35"/>
  <cols>
    <col min="3" max="3" width="9.9140625" bestFit="1" customWidth="1"/>
    <col min="4" max="5" width="11.75" bestFit="1" customWidth="1"/>
  </cols>
  <sheetData>
    <row r="2" spans="2:11" x14ac:dyDescent="0.35">
      <c r="B2" t="s">
        <v>5</v>
      </c>
      <c r="C2" s="2">
        <f ca="1">TODAY()-D2</f>
        <v>45638</v>
      </c>
      <c r="D2">
        <v>1</v>
      </c>
    </row>
    <row r="3" spans="2:11" x14ac:dyDescent="0.35">
      <c r="C3" s="1" t="e" cm="1">
        <f t="array" aca="1" ref="C3" ca="1">_xll.\TMX.CURVE.BOOTSTRAP.MUNI(_xlfn.ANCHORARRAY(B5))</f>
        <v>#VALUE!</v>
      </c>
      <c r="D3" s="1" t="e" cm="1">
        <f t="array" aca="1" ref="D3" ca="1">_xll.\TMX.CURVE.BOOTSTRAP.MUNI(_xlfn.ANCHORARRAY(D5))</f>
        <v>#VALUE!</v>
      </c>
      <c r="E3" s="1" t="e" cm="1">
        <f t="array" aca="1" ref="E3" ca="1">_xll.\TMX.CURVE.BOOTSTRAP.MUNI(_xlfn.ANCHORARRAY(E5))</f>
        <v>#VALUE!</v>
      </c>
    </row>
    <row r="4" spans="2:11" x14ac:dyDescent="0.35">
      <c r="C4" t="e" cm="1">
        <f t="array" aca="1" ref="C4" ca="1">_xll.EMMA_BVMB()</f>
        <v>#NAME?</v>
      </c>
      <c r="D4" t="e" cm="1">
        <f t="array" aca="1" ref="D4" ca="1">_xll.EMMA_CAAA()</f>
        <v>#NAME?</v>
      </c>
      <c r="E4" t="e" cm="1">
        <f t="array" aca="1" ref="E4" ca="1">_xll.EMMA_ICE()</f>
        <v>#NAME?</v>
      </c>
      <c r="I4" t="s">
        <v>7</v>
      </c>
      <c r="J4" t="s">
        <v>6</v>
      </c>
      <c r="K4" t="s">
        <v>8</v>
      </c>
    </row>
    <row r="5" spans="2:11" x14ac:dyDescent="0.35">
      <c r="B5" t="e" cm="1">
        <f t="array" aca="1" ref="B5" ca="1">_xll.EMMA(C4,date)</f>
        <v>#NAME?</v>
      </c>
      <c r="D5" t="e" cm="1">
        <f t="array" aca="1" ref="D5" ca="1">INDEX(_xll.EMMA(D4,date),,2)</f>
        <v>#NAME?</v>
      </c>
      <c r="E5" t="e" cm="1">
        <f t="array" aca="1" ref="E5" ca="1">INDEX(_xll.EMMA(E4,date),,2)</f>
        <v>#NAME?</v>
      </c>
      <c r="F5" t="e">
        <f ca="1">D5-E5</f>
        <v>#NAME?</v>
      </c>
      <c r="G5" t="e">
        <f ca="1">C5-D5</f>
        <v>#NAME?</v>
      </c>
      <c r="H5">
        <v>1</v>
      </c>
      <c r="I5" t="e" cm="1">
        <f t="array" aca="1" ref="I5" ca="1">_xll.TMX.CURVE.FORWARD(C3, B5:B34)</f>
        <v>#VALUE!</v>
      </c>
      <c r="J5" t="e" cm="1">
        <f t="array" aca="1" ref="J5" ca="1">_xll.TMX.CURVE.FORWARD(D3, B5:B34)</f>
        <v>#VALUE!</v>
      </c>
      <c r="K5" t="e" cm="1">
        <f t="array" aca="1" ref="K5" ca="1">_xll.TMX.CURVE.FORWARD(E3,B5:B34)</f>
        <v>#VALUE!</v>
      </c>
    </row>
    <row r="6" spans="2:11" x14ac:dyDescent="0.35">
      <c r="F6">
        <f t="shared" ref="F6:F34" si="0">D6-E6</f>
        <v>0</v>
      </c>
      <c r="G6">
        <f t="shared" ref="G6:G34" si="1">C6-D6</f>
        <v>0</v>
      </c>
      <c r="H6">
        <v>2</v>
      </c>
    </row>
    <row r="7" spans="2:11" x14ac:dyDescent="0.35">
      <c r="F7">
        <f t="shared" si="0"/>
        <v>0</v>
      </c>
      <c r="G7">
        <f t="shared" si="1"/>
        <v>0</v>
      </c>
      <c r="H7">
        <v>3</v>
      </c>
    </row>
    <row r="8" spans="2:11" x14ac:dyDescent="0.35">
      <c r="F8">
        <f t="shared" si="0"/>
        <v>0</v>
      </c>
      <c r="G8">
        <f t="shared" si="1"/>
        <v>0</v>
      </c>
      <c r="H8">
        <v>4</v>
      </c>
    </row>
    <row r="9" spans="2:11" x14ac:dyDescent="0.35">
      <c r="F9">
        <f t="shared" si="0"/>
        <v>0</v>
      </c>
      <c r="G9">
        <f t="shared" si="1"/>
        <v>0</v>
      </c>
      <c r="H9">
        <v>5</v>
      </c>
    </row>
    <row r="10" spans="2:11" x14ac:dyDescent="0.35">
      <c r="F10">
        <f t="shared" si="0"/>
        <v>0</v>
      </c>
      <c r="G10">
        <f t="shared" si="1"/>
        <v>0</v>
      </c>
      <c r="H10">
        <v>6</v>
      </c>
    </row>
    <row r="11" spans="2:11" x14ac:dyDescent="0.35">
      <c r="F11">
        <f t="shared" si="0"/>
        <v>0</v>
      </c>
      <c r="G11">
        <f t="shared" si="1"/>
        <v>0</v>
      </c>
      <c r="H11">
        <v>7</v>
      </c>
    </row>
    <row r="12" spans="2:11" x14ac:dyDescent="0.35">
      <c r="F12">
        <f t="shared" si="0"/>
        <v>0</v>
      </c>
      <c r="G12">
        <f t="shared" si="1"/>
        <v>0</v>
      </c>
      <c r="H12">
        <v>8</v>
      </c>
    </row>
    <row r="13" spans="2:11" x14ac:dyDescent="0.35">
      <c r="F13">
        <f t="shared" si="0"/>
        <v>0</v>
      </c>
      <c r="G13">
        <f t="shared" si="1"/>
        <v>0</v>
      </c>
      <c r="H13">
        <v>9</v>
      </c>
    </row>
    <row r="14" spans="2:11" x14ac:dyDescent="0.35">
      <c r="F14">
        <f t="shared" si="0"/>
        <v>0</v>
      </c>
      <c r="G14">
        <f t="shared" si="1"/>
        <v>0</v>
      </c>
      <c r="H14">
        <v>10</v>
      </c>
    </row>
    <row r="15" spans="2:11" x14ac:dyDescent="0.35">
      <c r="F15">
        <f t="shared" si="0"/>
        <v>0</v>
      </c>
      <c r="G15">
        <f t="shared" si="1"/>
        <v>0</v>
      </c>
      <c r="H15">
        <v>11</v>
      </c>
    </row>
    <row r="16" spans="2:11" x14ac:dyDescent="0.35">
      <c r="F16">
        <f t="shared" si="0"/>
        <v>0</v>
      </c>
      <c r="G16">
        <f t="shared" si="1"/>
        <v>0</v>
      </c>
      <c r="H16">
        <v>12</v>
      </c>
    </row>
    <row r="17" spans="6:8" x14ac:dyDescent="0.35">
      <c r="F17">
        <f t="shared" si="0"/>
        <v>0</v>
      </c>
      <c r="G17">
        <f t="shared" si="1"/>
        <v>0</v>
      </c>
      <c r="H17">
        <v>13</v>
      </c>
    </row>
    <row r="18" spans="6:8" x14ac:dyDescent="0.35">
      <c r="F18">
        <f t="shared" si="0"/>
        <v>0</v>
      </c>
      <c r="G18">
        <f t="shared" si="1"/>
        <v>0</v>
      </c>
      <c r="H18">
        <v>14</v>
      </c>
    </row>
    <row r="19" spans="6:8" x14ac:dyDescent="0.35">
      <c r="F19">
        <f t="shared" si="0"/>
        <v>0</v>
      </c>
      <c r="G19">
        <f t="shared" si="1"/>
        <v>0</v>
      </c>
      <c r="H19">
        <v>15</v>
      </c>
    </row>
    <row r="20" spans="6:8" x14ac:dyDescent="0.35">
      <c r="F20">
        <f t="shared" si="0"/>
        <v>0</v>
      </c>
      <c r="G20">
        <f t="shared" si="1"/>
        <v>0</v>
      </c>
      <c r="H20">
        <v>16</v>
      </c>
    </row>
    <row r="21" spans="6:8" x14ac:dyDescent="0.35">
      <c r="F21">
        <f t="shared" si="0"/>
        <v>0</v>
      </c>
      <c r="G21">
        <f t="shared" si="1"/>
        <v>0</v>
      </c>
      <c r="H21">
        <v>17</v>
      </c>
    </row>
    <row r="22" spans="6:8" x14ac:dyDescent="0.35">
      <c r="F22">
        <f t="shared" si="0"/>
        <v>0</v>
      </c>
      <c r="G22">
        <f t="shared" si="1"/>
        <v>0</v>
      </c>
      <c r="H22">
        <v>18</v>
      </c>
    </row>
    <row r="23" spans="6:8" x14ac:dyDescent="0.35">
      <c r="F23">
        <f t="shared" si="0"/>
        <v>0</v>
      </c>
      <c r="G23">
        <f t="shared" si="1"/>
        <v>0</v>
      </c>
      <c r="H23">
        <v>19</v>
      </c>
    </row>
    <row r="24" spans="6:8" x14ac:dyDescent="0.35">
      <c r="F24">
        <f t="shared" si="0"/>
        <v>0</v>
      </c>
      <c r="G24">
        <f t="shared" si="1"/>
        <v>0</v>
      </c>
      <c r="H24">
        <v>20</v>
      </c>
    </row>
    <row r="25" spans="6:8" x14ac:dyDescent="0.35">
      <c r="F25">
        <f t="shared" si="0"/>
        <v>0</v>
      </c>
      <c r="G25">
        <f t="shared" si="1"/>
        <v>0</v>
      </c>
      <c r="H25">
        <v>21</v>
      </c>
    </row>
    <row r="26" spans="6:8" x14ac:dyDescent="0.35">
      <c r="F26">
        <f t="shared" si="0"/>
        <v>0</v>
      </c>
      <c r="G26">
        <f t="shared" si="1"/>
        <v>0</v>
      </c>
      <c r="H26">
        <v>22</v>
      </c>
    </row>
    <row r="27" spans="6:8" x14ac:dyDescent="0.35">
      <c r="F27">
        <f t="shared" si="0"/>
        <v>0</v>
      </c>
      <c r="G27">
        <f t="shared" si="1"/>
        <v>0</v>
      </c>
      <c r="H27">
        <v>23</v>
      </c>
    </row>
    <row r="28" spans="6:8" x14ac:dyDescent="0.35">
      <c r="F28">
        <f t="shared" si="0"/>
        <v>0</v>
      </c>
      <c r="G28">
        <f t="shared" si="1"/>
        <v>0</v>
      </c>
      <c r="H28">
        <v>24</v>
      </c>
    </row>
    <row r="29" spans="6:8" x14ac:dyDescent="0.35">
      <c r="F29">
        <f t="shared" si="0"/>
        <v>0</v>
      </c>
      <c r="G29">
        <f t="shared" si="1"/>
        <v>0</v>
      </c>
      <c r="H29">
        <v>25</v>
      </c>
    </row>
    <row r="30" spans="6:8" x14ac:dyDescent="0.35">
      <c r="F30">
        <f t="shared" si="0"/>
        <v>0</v>
      </c>
      <c r="G30">
        <f t="shared" si="1"/>
        <v>0</v>
      </c>
      <c r="H30">
        <v>26</v>
      </c>
    </row>
    <row r="31" spans="6:8" x14ac:dyDescent="0.35">
      <c r="F31">
        <f t="shared" si="0"/>
        <v>0</v>
      </c>
      <c r="G31">
        <f t="shared" si="1"/>
        <v>0</v>
      </c>
      <c r="H31">
        <v>27</v>
      </c>
    </row>
    <row r="32" spans="6:8" x14ac:dyDescent="0.35">
      <c r="F32">
        <f t="shared" si="0"/>
        <v>0</v>
      </c>
      <c r="G32">
        <f t="shared" si="1"/>
        <v>0</v>
      </c>
      <c r="H32">
        <v>28</v>
      </c>
    </row>
    <row r="33" spans="6:8" x14ac:dyDescent="0.35">
      <c r="F33">
        <f t="shared" si="0"/>
        <v>0</v>
      </c>
      <c r="G33">
        <f t="shared" si="1"/>
        <v>0</v>
      </c>
      <c r="H33">
        <v>29</v>
      </c>
    </row>
    <row r="34" spans="6:8" x14ac:dyDescent="0.35">
      <c r="F34">
        <f t="shared" si="0"/>
        <v>0</v>
      </c>
      <c r="G34">
        <f t="shared" si="1"/>
        <v>0</v>
      </c>
      <c r="H34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56-1041-4057-9E18-CFA382FF1A64}">
  <dimension ref="B2:K14"/>
  <sheetViews>
    <sheetView tabSelected="1" zoomScale="130" zoomScaleNormal="130" workbookViewId="0">
      <selection activeCell="F14" sqref="F14"/>
    </sheetView>
  </sheetViews>
  <sheetFormatPr defaultRowHeight="18" x14ac:dyDescent="0.35"/>
  <cols>
    <col min="1" max="1" width="3.58203125" style="7" customWidth="1"/>
    <col min="2" max="2" width="8.75" style="7" bestFit="1" customWidth="1"/>
    <col min="3" max="3" width="10.25" style="7" bestFit="1" customWidth="1"/>
    <col min="4" max="4" width="3.58203125" style="7" customWidth="1"/>
    <col min="5" max="5" width="9.75" style="7" bestFit="1" customWidth="1"/>
    <col min="6" max="6" width="11.83203125" style="7" bestFit="1" customWidth="1"/>
    <col min="7" max="7" width="2.33203125" style="7" bestFit="1" customWidth="1"/>
    <col min="8" max="8" width="11.83203125" style="7" bestFit="1" customWidth="1"/>
    <col min="9" max="16384" width="8.6640625" style="7"/>
  </cols>
  <sheetData>
    <row r="2" spans="2:11" x14ac:dyDescent="0.35">
      <c r="B2" s="8" t="s">
        <v>13</v>
      </c>
      <c r="C2" s="9">
        <f ca="1">TODAY()</f>
        <v>45639</v>
      </c>
    </row>
    <row r="4" spans="2:11" x14ac:dyDescent="0.35">
      <c r="B4" s="8" t="s">
        <v>15</v>
      </c>
      <c r="C4" s="10" cm="1">
        <f t="array" ref="C4">_xll.\TMX.CURVE.BOOTSTRAP.MUNI(B5:C10)</f>
        <v>2668373637040</v>
      </c>
      <c r="E4" s="8" t="s">
        <v>14</v>
      </c>
      <c r="F4" s="10" cm="1">
        <f t="array" aca="1" ref="F4" ca="1">_xll.\TMX.SECURITY.BOND.MUNI(dated, maturity, coupon, face)</f>
        <v>2666040211776</v>
      </c>
      <c r="H4" s="10" cm="1">
        <f t="array" aca="1" ref="H4" ca="1">_xll.\TMX.SECURITY.BOND.MUNI(H5, H6, H7)</f>
        <v>2666040214592</v>
      </c>
    </row>
    <row r="5" spans="2:11" x14ac:dyDescent="0.35">
      <c r="B5" s="7">
        <v>2</v>
      </c>
      <c r="C5" s="11">
        <v>3.2000000000000001E-2</v>
      </c>
      <c r="E5" s="12" t="s">
        <v>9</v>
      </c>
      <c r="F5" s="13" cm="1">
        <f t="array" aca="1" ref="F5" ca="1">_xll.TMX.DATE.ADDYEAR(today,G5)</f>
        <v>43812</v>
      </c>
      <c r="G5" s="7">
        <v>-5</v>
      </c>
      <c r="H5" s="9">
        <f ca="1">today</f>
        <v>45639</v>
      </c>
      <c r="J5" s="7" cm="1">
        <f t="array" ref="J5:K10">TRANSPOSE(_xll.TMX.CURVE.PWFLAT(C4))</f>
        <v>1.9986721151016105</v>
      </c>
      <c r="K5" s="7">
        <v>3.1746698312645955E-2</v>
      </c>
    </row>
    <row r="6" spans="2:11" x14ac:dyDescent="0.35">
      <c r="B6" s="7">
        <v>5</v>
      </c>
      <c r="C6" s="11">
        <v>3.9700000000000006E-2</v>
      </c>
      <c r="E6" s="12" t="s">
        <v>10</v>
      </c>
      <c r="F6" s="13" cm="1">
        <f t="array" aca="1" ref="F6" ca="1">_xll.TMX.DATE.ADDYEAR(today,G6)</f>
        <v>47465</v>
      </c>
      <c r="G6" s="7">
        <v>5</v>
      </c>
      <c r="H6" s="9">
        <f ca="1">maturity</f>
        <v>47465</v>
      </c>
      <c r="J6" s="7">
        <v>4.9994181947610148</v>
      </c>
      <c r="K6" s="7">
        <v>4.4995019116639258E-2</v>
      </c>
    </row>
    <row r="7" spans="2:11" x14ac:dyDescent="0.35">
      <c r="B7" s="7">
        <v>7</v>
      </c>
      <c r="C7" s="11">
        <v>4.3200000000000002E-2</v>
      </c>
      <c r="E7" s="12" t="s">
        <v>11</v>
      </c>
      <c r="F7" s="14">
        <v>4.2500000000000003E-2</v>
      </c>
      <c r="H7" s="11">
        <v>3.9699999999999999E-2</v>
      </c>
      <c r="J7" s="7">
        <v>6.9980903098626257</v>
      </c>
      <c r="K7" s="7">
        <v>5.2942096852903249E-2</v>
      </c>
    </row>
    <row r="8" spans="2:11" x14ac:dyDescent="0.35">
      <c r="B8" s="7">
        <v>10</v>
      </c>
      <c r="C8" s="11">
        <v>4.6699999999999998E-2</v>
      </c>
      <c r="E8" s="12" t="s">
        <v>12</v>
      </c>
      <c r="F8" s="15">
        <v>100</v>
      </c>
      <c r="J8" s="7">
        <v>9.9988363895220296</v>
      </c>
      <c r="K8" s="7">
        <v>5.6451523104177781E-2</v>
      </c>
    </row>
    <row r="9" spans="2:11" x14ac:dyDescent="0.35">
      <c r="B9" s="7">
        <v>15</v>
      </c>
      <c r="C9" s="11">
        <v>5.0599999999999999E-2</v>
      </c>
      <c r="E9" s="8" t="s">
        <v>16</v>
      </c>
      <c r="F9" s="10" cm="1">
        <f t="array" aca="1" ref="F9" ca="1">_xll.\TMX.INSTRUMENT.SECURITY(F4, today)</f>
        <v>2668375879360</v>
      </c>
      <c r="H9" s="10" cm="1">
        <f t="array" aca="1" ref="H9" ca="1">_xll.\TMX.INSTRUMENT.SECURITY(H4, today)</f>
        <v>2668375881840</v>
      </c>
      <c r="J9" s="7">
        <v>14.998254584283044</v>
      </c>
      <c r="K9" s="7">
        <v>6.1313335968732514E-2</v>
      </c>
    </row>
    <row r="10" spans="2:11" x14ac:dyDescent="0.35">
      <c r="B10" s="7">
        <v>30</v>
      </c>
      <c r="C10" s="11">
        <v>5.33E-2</v>
      </c>
      <c r="E10" s="8" t="s">
        <v>17</v>
      </c>
      <c r="F10" s="16" cm="1">
        <f t="array" aca="1" ref="F10" ca="1">_xll.TMX.VALUE.PRESENT(F9, C4)</f>
        <v>101.23765428265392</v>
      </c>
      <c r="H10" s="16" cm="1">
        <f t="array" aca="1" ref="H10" ca="1">_xll.TMX.VALUE.PRESENT(H9, C4)</f>
        <v>99.970130092415758</v>
      </c>
      <c r="J10" s="7">
        <v>29.999247075573077</v>
      </c>
      <c r="K10" s="7">
        <v>5.8648897467564534E-2</v>
      </c>
    </row>
    <row r="11" spans="2:11" x14ac:dyDescent="0.35">
      <c r="E11" s="8" t="s">
        <v>19</v>
      </c>
      <c r="F11">
        <v>1.1639999999999999</v>
      </c>
    </row>
    <row r="12" spans="2:11" x14ac:dyDescent="0.35">
      <c r="E12" s="8" t="s">
        <v>20</v>
      </c>
      <c r="F12" s="17" cm="1">
        <f t="array" aca="1" ref="F12" ca="1">_xll.TMX.VALUE.OAS(F9, C4, F10-F11)</f>
        <v>2.5393878514916052E-3</v>
      </c>
    </row>
    <row r="13" spans="2:11" x14ac:dyDescent="0.35">
      <c r="E13" s="8" t="s">
        <v>18</v>
      </c>
      <c r="F13" s="1" cm="1">
        <f t="array" aca="1" ref="F13" ca="1">_xll.\TMX.CURVE.SPREAD(C4,OAS)</f>
        <v>2668366716800</v>
      </c>
    </row>
    <row r="14" spans="2:11" x14ac:dyDescent="0.35">
      <c r="E14" s="8" t="s">
        <v>17</v>
      </c>
      <c r="F14" s="16" cm="1">
        <f t="array" aca="1" ref="F14" ca="1">_xll.TMX.VALUE.PRESENT(F9, F13)</f>
        <v>100.07365427787869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Refunding</vt:lpstr>
      <vt:lpstr>AAA</vt:lpstr>
      <vt:lpstr>BondWave</vt:lpstr>
      <vt:lpstr>BVMB</vt:lpstr>
      <vt:lpstr>CAAA</vt:lpstr>
      <vt:lpstr>Refunding!coupon</vt:lpstr>
      <vt:lpstr>date</vt:lpstr>
      <vt:lpstr>Refunding!dated</vt:lpstr>
      <vt:lpstr>Refunding!face</vt:lpstr>
      <vt:lpstr>ICE</vt:lpstr>
      <vt:lpstr>Refunding!maturity</vt:lpstr>
      <vt:lpstr>MBIS</vt:lpstr>
      <vt:lpstr>OAS</vt:lpstr>
      <vt:lpstr>pvdate</vt:lpstr>
      <vt:lpstr>today</vt:lpstr>
      <vt:lpstr>Tradeweb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2024-12-09T20:11:19Z</dcterms:created>
  <dcterms:modified xsi:type="dcterms:W3CDTF">2024-12-13T21:03:34Z</dcterms:modified>
</cp:coreProperties>
</file>