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\source\repos\tmcrossx\bondxll\"/>
    </mc:Choice>
  </mc:AlternateContent>
  <xr:revisionPtr revIDLastSave="0" documentId="13_ncr:1_{57211B26-29E3-47BA-ADF0-EF702F3302D1}" xr6:coauthVersionLast="47" xr6:coauthVersionMax="47" xr10:uidLastSave="{00000000-0000-0000-0000-000000000000}"/>
  <bookViews>
    <workbookView xWindow="2220" yWindow="480" windowWidth="35085" windowHeight="17685" xr2:uid="{B41655E8-20ED-4B49-A343-A4ADF5D922ED}"/>
  </bookViews>
  <sheets>
    <sheet name="ENUM" sheetId="1" r:id="rId1"/>
    <sheet name="INSTRUMENT" sheetId="3" r:id="rId2"/>
    <sheet name="PWFLAT" sheetId="2" r:id="rId3"/>
    <sheet name="BOND" sheetId="4" r:id="rId4"/>
    <sheet name="VALUATION" sheetId="5" r:id="rId5"/>
  </sheets>
  <definedNames>
    <definedName name="bond">VALUATION!$C$8</definedName>
    <definedName name="bond_basic">BOND!$C$8</definedName>
    <definedName name="coupon" localSheetId="4">VALUATION!$C$4</definedName>
    <definedName name="coupon">BOND!$C$4</definedName>
    <definedName name="curve">VALUATION!$G$3</definedName>
    <definedName name="date">ENUM!$E$3</definedName>
    <definedName name="dated" localSheetId="4">VALUATION!$C$2</definedName>
    <definedName name="dated">BOND!$C$2</definedName>
    <definedName name="day_count" localSheetId="3">BOND!$C$6</definedName>
    <definedName name="day_count" localSheetId="4">VALUATION!$C$6</definedName>
    <definedName name="DAY_COUNT">ENUM!$E$2</definedName>
    <definedName name="days">ENUM!$E$4</definedName>
    <definedName name="dcf">ENUM!$E$5</definedName>
    <definedName name="dt" localSheetId="4">VALUATION!$H$4</definedName>
    <definedName name="dt">PWFLAT!$H$2</definedName>
    <definedName name="face" localSheetId="4">VALUATION!$C$7</definedName>
    <definedName name="face">BOND!$C$7</definedName>
    <definedName name="forward">_xlfn.ANCHORARRAY(PWFLAT!$J$3)</definedName>
    <definedName name="forward_dt">_xlfn.ANCHORARRAY(PWFLAT!$M$3)</definedName>
    <definedName name="frequency" localSheetId="4">VALUATION!$C$5</definedName>
    <definedName name="frequency">BOND!$C$5</definedName>
    <definedName name="instrument">VALUATION!$C$9</definedName>
    <definedName name="maturity" localSheetId="4">VALUATION!$C$3</definedName>
    <definedName name="maturity">BOND!$C$3</definedName>
    <definedName name="present">VALUATION!$G$4</definedName>
    <definedName name="pvdate" localSheetId="4">VALUATION!$G$2</definedName>
    <definedName name="pvdate">BOND!$C$9</definedName>
    <definedName name="pwflat">PWFLAT!$F$2</definedName>
    <definedName name="rate">PWFLAT!$C$3:$C$12</definedName>
    <definedName name="spot">_xlfn.ANCHORARRAY(PWFLAT!$K$3)</definedName>
    <definedName name="spot_dt">_xlfn.ANCHORARRAY(PWFLAT!$N$3)</definedName>
    <definedName name="time">PWFLAT!$B$3:$B$12</definedName>
    <definedName name="years">_xlfn.ANCHORARRAY(PWFLAT!$I$3)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C3" i="2" a="1"/>
  <c r="C3" i="2" s="1"/>
  <c r="C2" i="5"/>
  <c r="G2" i="5"/>
  <c r="C2" i="4"/>
  <c r="C9" i="4" s="1"/>
  <c r="C3" i="3" a="1"/>
  <c r="C3" i="3" s="1"/>
  <c r="B3" i="3" a="1"/>
  <c r="B3" i="3" s="1"/>
  <c r="E3" i="1"/>
  <c r="G5" i="4" a="1"/>
  <c r="H5" i="4" a="1"/>
  <c r="K2" i="1" a="1"/>
  <c r="I3" i="2" a="1"/>
  <c r="B3" i="2" a="1"/>
  <c r="G3" i="1" a="1"/>
  <c r="P2" i="1" a="1"/>
  <c r="B3" i="1" a="1"/>
  <c r="L3" i="1" a="1"/>
  <c r="C8" i="5" a="1"/>
  <c r="C3" i="4" a="1"/>
  <c r="O4" i="1" a="1"/>
  <c r="E2" i="3" a="1"/>
  <c r="E5" i="1" a="1"/>
  <c r="O4" i="1" l="1"/>
  <c r="P2" i="1"/>
  <c r="L3" i="1"/>
  <c r="C8" i="5"/>
  <c r="I3" i="2"/>
  <c r="B3" i="2"/>
  <c r="B3" i="1"/>
  <c r="G5" i="4"/>
  <c r="H5" i="4"/>
  <c r="C3" i="4"/>
  <c r="E2" i="3"/>
  <c r="K2" i="1"/>
  <c r="G3" i="1"/>
  <c r="E5" i="1"/>
  <c r="D3" i="2" a="1"/>
  <c r="J3" i="5" a="1"/>
  <c r="C8" i="4" a="1"/>
  <c r="E3" i="3" a="1"/>
  <c r="H2" i="4" a="1"/>
  <c r="C9" i="5" a="1"/>
  <c r="D3" i="2" l="1"/>
  <c r="J3" i="5"/>
  <c r="C9" i="5"/>
  <c r="H2" i="4"/>
  <c r="C8" i="4"/>
  <c r="E3" i="3"/>
  <c r="H3" i="4" a="1"/>
  <c r="G4" i="5" a="1"/>
  <c r="F2" i="2" a="1"/>
  <c r="G7" i="5" a="1"/>
  <c r="C10" i="4" a="1"/>
  <c r="C11" i="5" a="1"/>
  <c r="G8" i="5" a="1"/>
  <c r="K2" i="5" a="1"/>
  <c r="H3" i="3" l="1" a="1"/>
  <c r="H3" i="3" s="1"/>
  <c r="I3" i="3" a="1"/>
  <c r="I3" i="3" s="1"/>
  <c r="C11" i="5"/>
  <c r="G8" i="5"/>
  <c r="G7" i="5"/>
  <c r="G4" i="5"/>
  <c r="H6" i="5" s="1"/>
  <c r="K2" i="5"/>
  <c r="F2" i="2"/>
  <c r="H3" i="4"/>
  <c r="C10" i="4"/>
  <c r="K2" i="4" a="1"/>
  <c r="L2" i="4" a="1"/>
  <c r="J2" i="4" a="1"/>
  <c r="G5" i="5" a="1"/>
  <c r="K3" i="5" a="1"/>
  <c r="C13" i="4" a="1"/>
  <c r="G6" i="5" a="1"/>
  <c r="L3" i="2" a="1"/>
  <c r="E3" i="2" a="1"/>
  <c r="K3" i="2" a="1"/>
  <c r="J3" i="2" a="1"/>
  <c r="N3" i="2" a="1"/>
  <c r="M3" i="2" a="1"/>
  <c r="N3" i="2" l="1"/>
  <c r="M3" i="2"/>
  <c r="G6" i="5"/>
  <c r="G5" i="5"/>
  <c r="L8" i="5"/>
  <c r="L7" i="5"/>
  <c r="L6" i="5"/>
  <c r="L5" i="5"/>
  <c r="L4" i="5"/>
  <c r="K3" i="5"/>
  <c r="L3" i="5" s="1"/>
  <c r="L3" i="2"/>
  <c r="K3" i="2"/>
  <c r="J3" i="2"/>
  <c r="L2" i="4"/>
  <c r="K2" i="4"/>
  <c r="J2" i="4"/>
  <c r="E3" i="2"/>
  <c r="C13" i="4"/>
  <c r="E11" i="5" a="1"/>
  <c r="E13" i="4" a="1"/>
  <c r="E11" i="5" l="1"/>
  <c r="E13" i="4"/>
  <c r="G3" i="2" a="1"/>
  <c r="F13" i="4" a="1"/>
  <c r="G3" i="2" l="1"/>
  <c r="F13" i="4"/>
  <c r="G13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<sst xmlns="http://schemas.openxmlformats.org/spreadsheetml/2006/main" count="65" uniqueCount="47">
  <si>
    <t>TMX_DAY_COUNT_ENUM</t>
  </si>
  <si>
    <t>DAY_COUNT</t>
  </si>
  <si>
    <t>date</t>
  </si>
  <si>
    <t>days</t>
  </si>
  <si>
    <t>dcf</t>
  </si>
  <si>
    <t>TMX_DAY_COUNT_ACTUAL_360</t>
  </si>
  <si>
    <t>TMX_FREQUENCY_ENUM</t>
  </si>
  <si>
    <t>FREQUENCY</t>
  </si>
  <si>
    <t>time</t>
  </si>
  <si>
    <t>rate</t>
  </si>
  <si>
    <t>forward</t>
  </si>
  <si>
    <t>spot</t>
  </si>
  <si>
    <t>discount</t>
  </si>
  <si>
    <t>pwflat</t>
  </si>
  <si>
    <t>years</t>
  </si>
  <si>
    <t>instrument</t>
  </si>
  <si>
    <t>dated</t>
  </si>
  <si>
    <t>maturity</t>
  </si>
  <si>
    <t>coupon</t>
  </si>
  <si>
    <t>frequency</t>
  </si>
  <si>
    <t>day_count</t>
  </si>
  <si>
    <t>bond_basic</t>
  </si>
  <si>
    <t>pvdate</t>
  </si>
  <si>
    <t>bond_basic_instrument</t>
  </si>
  <si>
    <t>aka_bond</t>
  </si>
  <si>
    <t>value</t>
  </si>
  <si>
    <t>face</t>
  </si>
  <si>
    <t>DC_ACT_ACT</t>
  </si>
  <si>
    <t>FREQ_ANNUAL</t>
  </si>
  <si>
    <t>TMX_FREQUENCY_SEMIANNUALLY</t>
  </si>
  <si>
    <t>bond</t>
  </si>
  <si>
    <t>curve</t>
  </si>
  <si>
    <t>cash</t>
  </si>
  <si>
    <t>present</t>
  </si>
  <si>
    <t>yield</t>
  </si>
  <si>
    <t>duration</t>
  </si>
  <si>
    <t>convexity</t>
  </si>
  <si>
    <t>TMX_DAY_COUNT_30_360</t>
  </si>
  <si>
    <t>oas</t>
  </si>
  <si>
    <t>dt</t>
  </si>
  <si>
    <t>forward_dt</t>
  </si>
  <si>
    <t>spot_dt</t>
  </si>
  <si>
    <t>=\TMX.CURVE.CONSTANT(H3+0*RAND())</t>
  </si>
  <si>
    <t>TMX_HOLIDAY_CALENDAR_ENUM</t>
  </si>
  <si>
    <t>CALENDAR</t>
  </si>
  <si>
    <t>TMX_HOLIDAY_CALENDAR_WEEKEND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</si>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</sst>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0x&quot;#"/>
    <numFmt numFmtId="165" formatCode="m/d/yy"/>
    <numFmt numFmtId="166" formatCode="0.0000"/>
    <numFmt numFmtId="167" formatCode="0.000"/>
    <numFmt numFmtId="168" formatCode="0.00000"/>
    <numFmt numFmtId="169" formatCode="#&quot;y&quot;"/>
    <numFmt numFmtId="170" formatCode="#&quot;d&quot;"/>
    <numFmt numFmtId="171" formatCode="m/d/yy;@"/>
  </numFmts>
  <fonts count="21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rgb="FF3F3F76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sz val="8"/>
      <color rgb="FFFF0000"/>
      <name val="Aptos Narrow"/>
      <family val="2"/>
      <scheme val="minor"/>
    </font>
    <font>
      <sz val="14"/>
      <color theme="0" tint="-0.34998626667073579"/>
      <name val="Aptos Narrow"/>
      <family val="2"/>
      <scheme val="minor"/>
    </font>
    <font>
      <b/>
      <sz val="14"/>
      <color theme="0"/>
      <name val="Aptos Narrow"/>
      <family val="2"/>
    </font>
    <font>
      <sz val="14"/>
      <color theme="0" tint="-0.49998474074526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2" fillId="2" borderId="1" applyNumberFormat="0" applyAlignment="0" applyProtection="0"/>
    <xf numFmtId="0" fontId="13" fillId="3" borderId="2" applyNumberFormat="0" applyAlignment="0" applyProtection="0"/>
    <xf numFmtId="0" fontId="19" fillId="4" borderId="4" applyNumberFormat="0" applyAlignment="0" applyProtection="0"/>
  </cellStyleXfs>
  <cellXfs count="51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right"/>
    </xf>
    <xf numFmtId="0" fontId="15" fillId="2" borderId="1" xfId="1" applyFont="1"/>
    <xf numFmtId="14" fontId="15" fillId="2" borderId="1" xfId="1" applyNumberFormat="1" applyFont="1"/>
    <xf numFmtId="0" fontId="16" fillId="3" borderId="2" xfId="2" applyFont="1"/>
    <xf numFmtId="0" fontId="14" fillId="0" borderId="3" xfId="0" applyFont="1" applyBorder="1" applyAlignment="1">
      <alignment horizontal="center"/>
    </xf>
    <xf numFmtId="0" fontId="10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164" fontId="1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/>
    <xf numFmtId="14" fontId="6" fillId="0" borderId="0" xfId="0" applyNumberFormat="1" applyFont="1"/>
    <xf numFmtId="0" fontId="5" fillId="0" borderId="0" xfId="0" applyFont="1" applyAlignment="1">
      <alignment horizontal="right"/>
    </xf>
    <xf numFmtId="0" fontId="18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65" fontId="4" fillId="0" borderId="0" xfId="0" applyNumberFormat="1" applyFont="1"/>
    <xf numFmtId="0" fontId="2" fillId="0" borderId="0" xfId="0" quotePrefix="1" applyFont="1"/>
    <xf numFmtId="0" fontId="19" fillId="4" borderId="4" xfId="3"/>
    <xf numFmtId="14" fontId="20" fillId="0" borderId="0" xfId="0" applyNumberFormat="1" applyFont="1"/>
    <xf numFmtId="0" fontId="20" fillId="0" borderId="0" xfId="0" applyFont="1"/>
    <xf numFmtId="0" fontId="2" fillId="0" borderId="0" xfId="0" applyFont="1"/>
    <xf numFmtId="165" fontId="15" fillId="2" borderId="1" xfId="1" applyNumberFormat="1" applyFont="1"/>
    <xf numFmtId="9" fontId="15" fillId="2" borderId="1" xfId="1" applyNumberFormat="1" applyFont="1"/>
    <xf numFmtId="0" fontId="2" fillId="0" borderId="0" xfId="0" applyFont="1" applyAlignment="1">
      <alignment horizontal="right"/>
    </xf>
    <xf numFmtId="14" fontId="12" fillId="2" borderId="1" xfId="1" applyNumberFormat="1"/>
    <xf numFmtId="0" fontId="15" fillId="2" borderId="1" xfId="1" applyFont="1" applyAlignment="1">
      <alignment horizontal="right"/>
    </xf>
    <xf numFmtId="0" fontId="1" fillId="0" borderId="3" xfId="0" applyFont="1" applyBorder="1" applyAlignment="1">
      <alignment horizontal="center"/>
    </xf>
    <xf numFmtId="169" fontId="15" fillId="2" borderId="1" xfId="1" applyNumberFormat="1" applyFont="1"/>
    <xf numFmtId="170" fontId="15" fillId="2" borderId="1" xfId="1" applyNumberFormat="1" applyFont="1"/>
    <xf numFmtId="165" fontId="1" fillId="0" borderId="0" xfId="0" applyNumberFormat="1" applyFont="1" applyAlignment="1">
      <alignment horizontal="center"/>
    </xf>
    <xf numFmtId="166" fontId="16" fillId="3" borderId="2" xfId="2" applyNumberFormat="1" applyFont="1"/>
    <xf numFmtId="168" fontId="16" fillId="3" borderId="2" xfId="2" applyNumberFormat="1" applyFont="1"/>
    <xf numFmtId="167" fontId="16" fillId="3" borderId="2" xfId="2" applyNumberFormat="1" applyFont="1"/>
    <xf numFmtId="171" fontId="6" fillId="0" borderId="0" xfId="0" applyNumberFormat="1" applyFont="1"/>
    <xf numFmtId="171" fontId="1" fillId="0" borderId="3" xfId="0" applyNumberFormat="1" applyFont="1" applyBorder="1" applyAlignment="1">
      <alignment horizontal="center"/>
    </xf>
    <xf numFmtId="171" fontId="15" fillId="2" borderId="1" xfId="1" applyNumberFormat="1" applyFont="1"/>
    <xf numFmtId="171" fontId="1" fillId="0" borderId="0" xfId="0" applyNumberFormat="1" applyFont="1"/>
    <xf numFmtId="167" fontId="6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  <xf numFmtId="164" fontId="17" fillId="0" borderId="0" xfId="0" quotePrefix="1" applyNumberFormat="1" applyFont="1" applyAlignment="1">
      <alignment horizontal="center" vertical="center"/>
    </xf>
    <xf numFmtId="14" fontId="11" fillId="0" borderId="0" xfId="0" applyNumberFormat="1" applyFont="1"/>
  </cellXfs>
  <cellStyles count="4">
    <cellStyle name="Check Cell" xfId="3" builtinId="23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 Walk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PWFLAT!$J$2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[0]!years</c:f>
              <c:numCache>
                <c:formatCode>General</c:formatCode>
                <c:ptCount val="2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10.100000000000001</c:v>
                </c:pt>
                <c:pt idx="102">
                  <c:v>10.200000000000001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10.600000000000001</c:v>
                </c:pt>
                <c:pt idx="107">
                  <c:v>10.700000000000001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11.100000000000001</c:v>
                </c:pt>
                <c:pt idx="112">
                  <c:v>11.200000000000001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11.600000000000001</c:v>
                </c:pt>
                <c:pt idx="117">
                  <c:v>11.700000000000001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12.100000000000001</c:v>
                </c:pt>
                <c:pt idx="122">
                  <c:v>12.200000000000001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12.600000000000001</c:v>
                </c:pt>
                <c:pt idx="127">
                  <c:v>12.700000000000001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13.100000000000001</c:v>
                </c:pt>
                <c:pt idx="132">
                  <c:v>13.200000000000001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13.600000000000001</c:v>
                </c:pt>
                <c:pt idx="137">
                  <c:v>13.700000000000001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14.100000000000001</c:v>
                </c:pt>
                <c:pt idx="142">
                  <c:v>14.200000000000001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14.600000000000001</c:v>
                </c:pt>
                <c:pt idx="147">
                  <c:v>14.700000000000001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15.100000000000001</c:v>
                </c:pt>
                <c:pt idx="152">
                  <c:v>15.200000000000001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15.600000000000001</c:v>
                </c:pt>
                <c:pt idx="157">
                  <c:v>15.700000000000001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16.400000000000002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16.900000000000002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17.400000000000002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17.900000000000002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18.400000000000002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18.900000000000002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19.400000000000002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19.900000000000002</c:v>
                </c:pt>
                <c:pt idx="200">
                  <c:v>20</c:v>
                </c:pt>
              </c:numCache>
            </c:numRef>
          </c:xVal>
          <c:yVal>
            <c:numRef>
              <c:f>[0]!forward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-0.62572029928679762</c:v>
                </c:pt>
                <c:pt idx="12">
                  <c:v>-0.62572029928679762</c:v>
                </c:pt>
                <c:pt idx="13">
                  <c:v>-0.62572029928679762</c:v>
                </c:pt>
                <c:pt idx="14">
                  <c:v>-0.62572029928679762</c:v>
                </c:pt>
                <c:pt idx="15">
                  <c:v>-0.62572029928679762</c:v>
                </c:pt>
                <c:pt idx="16">
                  <c:v>-0.62572029928679762</c:v>
                </c:pt>
                <c:pt idx="17">
                  <c:v>-0.62572029928679762</c:v>
                </c:pt>
                <c:pt idx="18">
                  <c:v>-0.62572029928679762</c:v>
                </c:pt>
                <c:pt idx="19">
                  <c:v>-0.62572029928679762</c:v>
                </c:pt>
                <c:pt idx="20">
                  <c:v>-0.62572029928679762</c:v>
                </c:pt>
                <c:pt idx="21">
                  <c:v>-0.90128863571772744</c:v>
                </c:pt>
                <c:pt idx="22">
                  <c:v>-0.90128863571772744</c:v>
                </c:pt>
                <c:pt idx="23">
                  <c:v>-0.90128863571772744</c:v>
                </c:pt>
                <c:pt idx="24">
                  <c:v>-0.90128863571772744</c:v>
                </c:pt>
                <c:pt idx="25">
                  <c:v>-0.90128863571772744</c:v>
                </c:pt>
                <c:pt idx="26">
                  <c:v>-0.90128863571772744</c:v>
                </c:pt>
                <c:pt idx="27">
                  <c:v>-0.90128863571772744</c:v>
                </c:pt>
                <c:pt idx="28">
                  <c:v>-0.90128863571772744</c:v>
                </c:pt>
                <c:pt idx="29">
                  <c:v>-0.90128863571772744</c:v>
                </c:pt>
                <c:pt idx="30">
                  <c:v>-0.90128863571772744</c:v>
                </c:pt>
                <c:pt idx="31">
                  <c:v>-0.32681357065648653</c:v>
                </c:pt>
                <c:pt idx="32">
                  <c:v>-0.32681357065648653</c:v>
                </c:pt>
                <c:pt idx="33">
                  <c:v>-0.32681357065648653</c:v>
                </c:pt>
                <c:pt idx="34">
                  <c:v>-0.32681357065648653</c:v>
                </c:pt>
                <c:pt idx="35">
                  <c:v>-0.32681357065648653</c:v>
                </c:pt>
                <c:pt idx="36">
                  <c:v>-0.32681357065648653</c:v>
                </c:pt>
                <c:pt idx="37">
                  <c:v>-0.32681357065648653</c:v>
                </c:pt>
                <c:pt idx="38">
                  <c:v>-0.32681357065648653</c:v>
                </c:pt>
                <c:pt idx="39">
                  <c:v>-0.32681357065648653</c:v>
                </c:pt>
                <c:pt idx="40">
                  <c:v>-0.32681357065648653</c:v>
                </c:pt>
                <c:pt idx="41">
                  <c:v>0.4250645686125778</c:v>
                </c:pt>
                <c:pt idx="42">
                  <c:v>0.4250645686125778</c:v>
                </c:pt>
                <c:pt idx="43">
                  <c:v>0.4250645686125778</c:v>
                </c:pt>
                <c:pt idx="44">
                  <c:v>0.4250645686125778</c:v>
                </c:pt>
                <c:pt idx="45">
                  <c:v>0.4250645686125778</c:v>
                </c:pt>
                <c:pt idx="46">
                  <c:v>0.4250645686125778</c:v>
                </c:pt>
                <c:pt idx="47">
                  <c:v>0.4250645686125778</c:v>
                </c:pt>
                <c:pt idx="48">
                  <c:v>0.4250645686125778</c:v>
                </c:pt>
                <c:pt idx="49">
                  <c:v>0.4250645686125778</c:v>
                </c:pt>
                <c:pt idx="50">
                  <c:v>0.4250645686125778</c:v>
                </c:pt>
                <c:pt idx="51">
                  <c:v>-0.39230120073564079</c:v>
                </c:pt>
                <c:pt idx="52">
                  <c:v>-0.39230120073564079</c:v>
                </c:pt>
                <c:pt idx="53">
                  <c:v>-0.39230120073564079</c:v>
                </c:pt>
                <c:pt idx="54">
                  <c:v>-0.39230120073564079</c:v>
                </c:pt>
                <c:pt idx="55">
                  <c:v>-0.39230120073564079</c:v>
                </c:pt>
                <c:pt idx="56">
                  <c:v>-0.39230120073564079</c:v>
                </c:pt>
                <c:pt idx="57">
                  <c:v>-0.39230120073564079</c:v>
                </c:pt>
                <c:pt idx="58">
                  <c:v>-0.39230120073564079</c:v>
                </c:pt>
                <c:pt idx="59">
                  <c:v>-0.39230120073564079</c:v>
                </c:pt>
                <c:pt idx="60">
                  <c:v>-0.39230120073564079</c:v>
                </c:pt>
                <c:pt idx="61">
                  <c:v>-1.1617462274074928</c:v>
                </c:pt>
                <c:pt idx="62">
                  <c:v>-1.1617462274074928</c:v>
                </c:pt>
                <c:pt idx="63">
                  <c:v>-1.1617462274074928</c:v>
                </c:pt>
                <c:pt idx="64">
                  <c:v>-1.1617462274074928</c:v>
                </c:pt>
                <c:pt idx="65">
                  <c:v>-1.1617462274074928</c:v>
                </c:pt>
                <c:pt idx="66">
                  <c:v>-1.1617462274074928</c:v>
                </c:pt>
                <c:pt idx="67">
                  <c:v>-1.1617462274074928</c:v>
                </c:pt>
                <c:pt idx="68">
                  <c:v>-1.1617462274074928</c:v>
                </c:pt>
                <c:pt idx="69">
                  <c:v>-1.1617462274074928</c:v>
                </c:pt>
                <c:pt idx="70">
                  <c:v>-1.1617462274074928</c:v>
                </c:pt>
                <c:pt idx="71">
                  <c:v>-0.43950248239178769</c:v>
                </c:pt>
                <c:pt idx="72">
                  <c:v>-0.43950248239178769</c:v>
                </c:pt>
                <c:pt idx="73">
                  <c:v>-0.43950248239178769</c:v>
                </c:pt>
                <c:pt idx="74">
                  <c:v>-0.43950248239178769</c:v>
                </c:pt>
                <c:pt idx="75">
                  <c:v>-0.43950248239178769</c:v>
                </c:pt>
                <c:pt idx="76">
                  <c:v>-0.43950248239178769</c:v>
                </c:pt>
                <c:pt idx="77">
                  <c:v>-0.43950248239178769</c:v>
                </c:pt>
                <c:pt idx="78">
                  <c:v>-0.43950248239178769</c:v>
                </c:pt>
                <c:pt idx="79">
                  <c:v>-0.43950248239178769</c:v>
                </c:pt>
                <c:pt idx="80">
                  <c:v>-0.43950248239178769</c:v>
                </c:pt>
                <c:pt idx="81">
                  <c:v>-0.89439631502269767</c:v>
                </c:pt>
                <c:pt idx="82">
                  <c:v>-0.89439631502269767</c:v>
                </c:pt>
                <c:pt idx="83">
                  <c:v>-0.89439631502269767</c:v>
                </c:pt>
                <c:pt idx="84">
                  <c:v>-0.89439631502269767</c:v>
                </c:pt>
                <c:pt idx="85">
                  <c:v>-0.89439631502269767</c:v>
                </c:pt>
                <c:pt idx="86">
                  <c:v>-0.89439631502269767</c:v>
                </c:pt>
                <c:pt idx="87">
                  <c:v>-0.89439631502269767</c:v>
                </c:pt>
                <c:pt idx="88">
                  <c:v>-0.89439631502269767</c:v>
                </c:pt>
                <c:pt idx="89">
                  <c:v>-0.89439631502269767</c:v>
                </c:pt>
                <c:pt idx="90">
                  <c:v>-0.89439631502269767</c:v>
                </c:pt>
                <c:pt idx="91">
                  <c:v>-0.8184245584907397</c:v>
                </c:pt>
                <c:pt idx="92">
                  <c:v>-0.8184245584907397</c:v>
                </c:pt>
                <c:pt idx="93">
                  <c:v>-0.8184245584907397</c:v>
                </c:pt>
                <c:pt idx="94">
                  <c:v>-0.8184245584907397</c:v>
                </c:pt>
                <c:pt idx="95">
                  <c:v>-0.8184245584907397</c:v>
                </c:pt>
                <c:pt idx="96">
                  <c:v>-0.8184245584907397</c:v>
                </c:pt>
                <c:pt idx="97">
                  <c:v>-0.8184245584907397</c:v>
                </c:pt>
                <c:pt idx="98">
                  <c:v>-0.8184245584907397</c:v>
                </c:pt>
                <c:pt idx="99">
                  <c:v>-0.8184245584907397</c:v>
                </c:pt>
                <c:pt idx="100">
                  <c:v>-0.8184245584907397</c:v>
                </c:pt>
                <c:pt idx="101">
                  <c:v>-0.88392596333836781</c:v>
                </c:pt>
                <c:pt idx="102">
                  <c:v>-0.88392596333836781</c:v>
                </c:pt>
                <c:pt idx="103">
                  <c:v>-0.88392596333836781</c:v>
                </c:pt>
                <c:pt idx="104">
                  <c:v>-0.88392596333836781</c:v>
                </c:pt>
                <c:pt idx="105">
                  <c:v>-0.88392596333836781</c:v>
                </c:pt>
                <c:pt idx="106">
                  <c:v>-0.88392596333836781</c:v>
                </c:pt>
                <c:pt idx="107">
                  <c:v>-0.88392596333836781</c:v>
                </c:pt>
                <c:pt idx="108">
                  <c:v>-0.88392596333836781</c:v>
                </c:pt>
                <c:pt idx="109">
                  <c:v>-0.88392596333836781</c:v>
                </c:pt>
                <c:pt idx="110">
                  <c:v>-0.88392596333836781</c:v>
                </c:pt>
                <c:pt idx="111">
                  <c:v>-0.72921726064475179</c:v>
                </c:pt>
                <c:pt idx="112">
                  <c:v>-0.72921726064475179</c:v>
                </c:pt>
                <c:pt idx="113">
                  <c:v>-0.72921726064475179</c:v>
                </c:pt>
                <c:pt idx="114">
                  <c:v>-0.72921726064475179</c:v>
                </c:pt>
                <c:pt idx="115">
                  <c:v>-0.72921726064475179</c:v>
                </c:pt>
                <c:pt idx="116">
                  <c:v>-0.72921726064475179</c:v>
                </c:pt>
                <c:pt idx="117">
                  <c:v>-0.72921726064475179</c:v>
                </c:pt>
                <c:pt idx="118">
                  <c:v>-0.72921726064475179</c:v>
                </c:pt>
                <c:pt idx="119">
                  <c:v>-0.72921726064475179</c:v>
                </c:pt>
                <c:pt idx="120">
                  <c:v>-0.72921726064475179</c:v>
                </c:pt>
                <c:pt idx="121">
                  <c:v>-1.0664946807433038</c:v>
                </c:pt>
                <c:pt idx="122">
                  <c:v>-1.0664946807433038</c:v>
                </c:pt>
                <c:pt idx="123">
                  <c:v>-1.0664946807433038</c:v>
                </c:pt>
                <c:pt idx="124">
                  <c:v>-1.0664946807433038</c:v>
                </c:pt>
                <c:pt idx="125">
                  <c:v>-1.0664946807433038</c:v>
                </c:pt>
                <c:pt idx="126">
                  <c:v>-1.0664946807433038</c:v>
                </c:pt>
                <c:pt idx="127">
                  <c:v>-1.0664946807433038</c:v>
                </c:pt>
                <c:pt idx="128">
                  <c:v>-1.0664946807433038</c:v>
                </c:pt>
                <c:pt idx="129">
                  <c:v>-1.0664946807433038</c:v>
                </c:pt>
                <c:pt idx="130">
                  <c:v>-1.0664946807433038</c:v>
                </c:pt>
                <c:pt idx="131">
                  <c:v>-1.2427548720316743</c:v>
                </c:pt>
                <c:pt idx="132">
                  <c:v>-1.2427548720316743</c:v>
                </c:pt>
                <c:pt idx="133">
                  <c:v>-1.2427548720316743</c:v>
                </c:pt>
                <c:pt idx="134">
                  <c:v>-1.2427548720316743</c:v>
                </c:pt>
                <c:pt idx="135">
                  <c:v>-1.2427548720316743</c:v>
                </c:pt>
                <c:pt idx="136">
                  <c:v>-1.2427548720316743</c:v>
                </c:pt>
                <c:pt idx="137">
                  <c:v>-1.2427548720316743</c:v>
                </c:pt>
                <c:pt idx="138">
                  <c:v>-1.2427548720316743</c:v>
                </c:pt>
                <c:pt idx="139">
                  <c:v>-1.2427548720316743</c:v>
                </c:pt>
                <c:pt idx="140">
                  <c:v>-1.2427548720316743</c:v>
                </c:pt>
                <c:pt idx="141">
                  <c:v>-2.1577306677911183</c:v>
                </c:pt>
                <c:pt idx="142">
                  <c:v>-2.1577306677911183</c:v>
                </c:pt>
                <c:pt idx="143">
                  <c:v>-2.1577306677911183</c:v>
                </c:pt>
                <c:pt idx="144">
                  <c:v>-2.1577306677911183</c:v>
                </c:pt>
                <c:pt idx="145">
                  <c:v>-2.1577306677911183</c:v>
                </c:pt>
                <c:pt idx="146">
                  <c:v>-2.1577306677911183</c:v>
                </c:pt>
                <c:pt idx="147">
                  <c:v>-2.1577306677911183</c:v>
                </c:pt>
                <c:pt idx="148">
                  <c:v>-2.1577306677911183</c:v>
                </c:pt>
                <c:pt idx="149">
                  <c:v>-2.1577306677911183</c:v>
                </c:pt>
                <c:pt idx="150">
                  <c:v>-2.1577306677911183</c:v>
                </c:pt>
                <c:pt idx="151">
                  <c:v>-2.7092278887247003</c:v>
                </c:pt>
                <c:pt idx="152">
                  <c:v>-2.7092278887247003</c:v>
                </c:pt>
                <c:pt idx="153">
                  <c:v>-2.7092278887247003</c:v>
                </c:pt>
                <c:pt idx="154">
                  <c:v>-2.7092278887247003</c:v>
                </c:pt>
                <c:pt idx="155">
                  <c:v>-2.7092278887247003</c:v>
                </c:pt>
                <c:pt idx="156">
                  <c:v>-2.7092278887247003</c:v>
                </c:pt>
                <c:pt idx="157">
                  <c:v>-2.7092278887247003</c:v>
                </c:pt>
                <c:pt idx="158">
                  <c:v>-2.7092278887247003</c:v>
                </c:pt>
                <c:pt idx="159">
                  <c:v>-2.7092278887247003</c:v>
                </c:pt>
                <c:pt idx="160">
                  <c:v>-2.7092278887247003</c:v>
                </c:pt>
                <c:pt idx="161">
                  <c:v>-2.8728954921763323</c:v>
                </c:pt>
                <c:pt idx="162">
                  <c:v>-2.8728954921763323</c:v>
                </c:pt>
                <c:pt idx="163">
                  <c:v>-2.8728954921763323</c:v>
                </c:pt>
                <c:pt idx="164">
                  <c:v>-2.8728954921763323</c:v>
                </c:pt>
                <c:pt idx="165">
                  <c:v>-2.8728954921763323</c:v>
                </c:pt>
                <c:pt idx="166">
                  <c:v>-2.8728954921763323</c:v>
                </c:pt>
                <c:pt idx="167">
                  <c:v>-2.8728954921763323</c:v>
                </c:pt>
                <c:pt idx="168">
                  <c:v>-2.8728954921763323</c:v>
                </c:pt>
                <c:pt idx="169">
                  <c:v>-2.8728954921763323</c:v>
                </c:pt>
                <c:pt idx="170">
                  <c:v>-2.8728954921763323</c:v>
                </c:pt>
                <c:pt idx="171">
                  <c:v>-3.803601781060971</c:v>
                </c:pt>
                <c:pt idx="172">
                  <c:v>-3.803601781060971</c:v>
                </c:pt>
                <c:pt idx="173">
                  <c:v>-3.803601781060971</c:v>
                </c:pt>
                <c:pt idx="174">
                  <c:v>-3.803601781060971</c:v>
                </c:pt>
                <c:pt idx="175">
                  <c:v>-3.803601781060971</c:v>
                </c:pt>
                <c:pt idx="176">
                  <c:v>-3.803601781060971</c:v>
                </c:pt>
                <c:pt idx="177">
                  <c:v>-3.803601781060971</c:v>
                </c:pt>
                <c:pt idx="178">
                  <c:v>-3.803601781060971</c:v>
                </c:pt>
                <c:pt idx="179">
                  <c:v>-3.803601781060971</c:v>
                </c:pt>
                <c:pt idx="180">
                  <c:v>-3.803601781060971</c:v>
                </c:pt>
                <c:pt idx="181">
                  <c:v>-4.3964628221928406</c:v>
                </c:pt>
                <c:pt idx="182">
                  <c:v>-4.3964628221928406</c:v>
                </c:pt>
                <c:pt idx="183">
                  <c:v>-4.3964628221928406</c:v>
                </c:pt>
                <c:pt idx="184">
                  <c:v>-4.3964628221928406</c:v>
                </c:pt>
                <c:pt idx="185">
                  <c:v>-4.3964628221928406</c:v>
                </c:pt>
                <c:pt idx="186">
                  <c:v>-4.3964628221928406</c:v>
                </c:pt>
                <c:pt idx="187">
                  <c:v>-4.3964628221928406</c:v>
                </c:pt>
                <c:pt idx="188">
                  <c:v>-4.3964628221928406</c:v>
                </c:pt>
                <c:pt idx="189">
                  <c:v>-4.3964628221928406</c:v>
                </c:pt>
                <c:pt idx="190">
                  <c:v>-4.3964628221928406</c:v>
                </c:pt>
                <c:pt idx="191">
                  <c:v>-5.1230144774997015</c:v>
                </c:pt>
                <c:pt idx="192">
                  <c:v>-5.1230144774997015</c:v>
                </c:pt>
                <c:pt idx="193">
                  <c:v>-5.1230144774997015</c:v>
                </c:pt>
                <c:pt idx="194">
                  <c:v>-5.1230144774997015</c:v>
                </c:pt>
                <c:pt idx="195">
                  <c:v>-5.1230144774997015</c:v>
                </c:pt>
                <c:pt idx="196">
                  <c:v>-5.1230144774997015</c:v>
                </c:pt>
                <c:pt idx="197">
                  <c:v>-5.1230144774997015</c:v>
                </c:pt>
                <c:pt idx="198">
                  <c:v>-5.1230144774997015</c:v>
                </c:pt>
                <c:pt idx="199">
                  <c:v>-5.1230144774997015</c:v>
                </c:pt>
                <c:pt idx="200">
                  <c:v>-5.1230144774997015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63-4AE5-B51D-033A042789E9}"/>
            </c:ext>
          </c:extLst>
        </c:ser>
        <c:ser>
          <c:idx val="1"/>
          <c:order val="1"/>
          <c:tx>
            <c:strRef>
              <c:f>PWFLAT!$K$2</c:f>
              <c:strCache>
                <c:ptCount val="1"/>
                <c:pt idx="0">
                  <c:v>spot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[0]!years</c:f>
              <c:numCache>
                <c:formatCode>General</c:formatCode>
                <c:ptCount val="2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10.100000000000001</c:v>
                </c:pt>
                <c:pt idx="102">
                  <c:v>10.200000000000001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10.600000000000001</c:v>
                </c:pt>
                <c:pt idx="107">
                  <c:v>10.700000000000001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11.100000000000001</c:v>
                </c:pt>
                <c:pt idx="112">
                  <c:v>11.200000000000001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11.600000000000001</c:v>
                </c:pt>
                <c:pt idx="117">
                  <c:v>11.700000000000001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12.100000000000001</c:v>
                </c:pt>
                <c:pt idx="122">
                  <c:v>12.200000000000001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12.600000000000001</c:v>
                </c:pt>
                <c:pt idx="127">
                  <c:v>12.700000000000001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13.100000000000001</c:v>
                </c:pt>
                <c:pt idx="132">
                  <c:v>13.200000000000001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13.600000000000001</c:v>
                </c:pt>
                <c:pt idx="137">
                  <c:v>13.700000000000001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14.100000000000001</c:v>
                </c:pt>
                <c:pt idx="142">
                  <c:v>14.200000000000001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14.600000000000001</c:v>
                </c:pt>
                <c:pt idx="147">
                  <c:v>14.700000000000001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15.100000000000001</c:v>
                </c:pt>
                <c:pt idx="152">
                  <c:v>15.200000000000001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15.600000000000001</c:v>
                </c:pt>
                <c:pt idx="157">
                  <c:v>15.700000000000001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16.400000000000002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16.900000000000002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17.400000000000002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17.900000000000002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18.400000000000002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18.900000000000002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19.400000000000002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19.900000000000002</c:v>
                </c:pt>
                <c:pt idx="200">
                  <c:v>20</c:v>
                </c:pt>
              </c:numCache>
            </c:numRef>
          </c:xVal>
          <c:yVal>
            <c:numRef>
              <c:f>[0]!spot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-5.6883663571527097E-2</c:v>
                </c:pt>
                <c:pt idx="12">
                  <c:v>-0.10428671654779968</c:v>
                </c:pt>
                <c:pt idx="13">
                  <c:v>-0.14439699214310717</c:v>
                </c:pt>
                <c:pt idx="14">
                  <c:v>-0.17877722836765653</c:v>
                </c:pt>
                <c:pt idx="15">
                  <c:v>-0.2085734330955992</c:v>
                </c:pt>
                <c:pt idx="16">
                  <c:v>-0.23464511223254914</c:v>
                </c:pt>
                <c:pt idx="17">
                  <c:v>-0.25764953500044613</c:v>
                </c:pt>
                <c:pt idx="18">
                  <c:v>-0.27809791079413226</c:v>
                </c:pt>
                <c:pt idx="19">
                  <c:v>-0.29639382597795677</c:v>
                </c:pt>
                <c:pt idx="20">
                  <c:v>-0.31286014964339881</c:v>
                </c:pt>
                <c:pt idx="21">
                  <c:v>-0.34088055374217641</c:v>
                </c:pt>
                <c:pt idx="22">
                  <c:v>-0.36635364837742873</c:v>
                </c:pt>
                <c:pt idx="23">
                  <c:v>-0.38961169130526779</c:v>
                </c:pt>
                <c:pt idx="24">
                  <c:v>-0.41093156398912034</c:v>
                </c:pt>
                <c:pt idx="25">
                  <c:v>-0.43054584685826452</c:v>
                </c:pt>
                <c:pt idx="26">
                  <c:v>-0.4486513387374747</c:v>
                </c:pt>
                <c:pt idx="27">
                  <c:v>-0.46541568307007664</c:v>
                </c:pt>
                <c:pt idx="28">
                  <c:v>-0.48098257423606416</c:v>
                </c:pt>
                <c:pt idx="29">
                  <c:v>-0.49547588670094911</c:v>
                </c:pt>
                <c:pt idx="30">
                  <c:v>-0.50900297833484165</c:v>
                </c:pt>
                <c:pt idx="31">
                  <c:v>-0.50312590066779805</c:v>
                </c:pt>
                <c:pt idx="32">
                  <c:v>-0.4976161403549445</c:v>
                </c:pt>
                <c:pt idx="33">
                  <c:v>-0.49244030490953666</c:v>
                </c:pt>
                <c:pt idx="34">
                  <c:v>-0.48756893037268223</c:v>
                </c:pt>
                <c:pt idx="35">
                  <c:v>-0.48297592009507667</c:v>
                </c:pt>
                <c:pt idx="36">
                  <c:v>-0.47863807705511585</c:v>
                </c:pt>
                <c:pt idx="37">
                  <c:v>-0.47453471201731501</c:v>
                </c:pt>
                <c:pt idx="38">
                  <c:v>-0.47064731356045109</c:v>
                </c:pt>
                <c:pt idx="39">
                  <c:v>-0.46695926887060585</c:v>
                </c:pt>
                <c:pt idx="40">
                  <c:v>-0.4634556264152529</c:v>
                </c:pt>
                <c:pt idx="41">
                  <c:v>-0.44178440214628129</c:v>
                </c:pt>
                <c:pt idx="42">
                  <c:v>-0.42114514093773708</c:v>
                </c:pt>
                <c:pt idx="43">
                  <c:v>-0.40146584536679963</c:v>
                </c:pt>
                <c:pt idx="44">
                  <c:v>-0.38268106323090462</c:v>
                </c:pt>
                <c:pt idx="45">
                  <c:v>-0.36473116030104946</c:v>
                </c:pt>
                <c:pt idx="46">
                  <c:v>-0.34756168793336184</c:v>
                </c:pt>
                <c:pt idx="47">
                  <c:v>-0.33112283141110788</c:v>
                </c:pt>
                <c:pt idx="48">
                  <c:v>-0.31536892724394766</c:v>
                </c:pt>
                <c:pt idx="49">
                  <c:v>-0.30025803957340641</c:v>
                </c:pt>
                <c:pt idx="50">
                  <c:v>-0.28575158740968676</c:v>
                </c:pt>
                <c:pt idx="51">
                  <c:v>-0.28784079551411723</c:v>
                </c:pt>
                <c:pt idx="52">
                  <c:v>-0.28984964946068498</c:v>
                </c:pt>
                <c:pt idx="53">
                  <c:v>-0.29178269759794834</c:v>
                </c:pt>
                <c:pt idx="54">
                  <c:v>-0.29364415135975747</c:v>
                </c:pt>
                <c:pt idx="55">
                  <c:v>-0.29543791589386442</c:v>
                </c:pt>
                <c:pt idx="56">
                  <c:v>-0.29716761740889613</c:v>
                </c:pt>
                <c:pt idx="57">
                  <c:v>-0.29883662764269864</c:v>
                </c:pt>
                <c:pt idx="58">
                  <c:v>-0.30044808579947352</c:v>
                </c:pt>
                <c:pt idx="59">
                  <c:v>-0.30200491825601877</c:v>
                </c:pt>
                <c:pt idx="60">
                  <c:v>-0.30350985629734578</c:v>
                </c:pt>
                <c:pt idx="61">
                  <c:v>-0.31757930500406956</c:v>
                </c:pt>
                <c:pt idx="62">
                  <c:v>-0.33119490052670536</c:v>
                </c:pt>
                <c:pt idx="63">
                  <c:v>-0.34437825492163859</c:v>
                </c:pt>
                <c:pt idx="64">
                  <c:v>-0.35714962949172996</c:v>
                </c:pt>
                <c:pt idx="65">
                  <c:v>-0.36952803869043405</c:v>
                </c:pt>
                <c:pt idx="66">
                  <c:v>-0.38153134458008647</c:v>
                </c:pt>
                <c:pt idx="67">
                  <c:v>-0.3931763428312417</c:v>
                </c:pt>
                <c:pt idx="68">
                  <c:v>-0.40447884113383376</c:v>
                </c:pt>
                <c:pt idx="69">
                  <c:v>-0.41545373078997366</c:v>
                </c:pt>
                <c:pt idx="70">
                  <c:v>-0.42611505217022394</c:v>
                </c:pt>
                <c:pt idx="71">
                  <c:v>-0.42630360752545726</c:v>
                </c:pt>
                <c:pt idx="72">
                  <c:v>-0.42648692523193399</c:v>
                </c:pt>
                <c:pt idx="73">
                  <c:v>-0.42666522053549366</c:v>
                </c:pt>
                <c:pt idx="74">
                  <c:v>-0.42683869704706523</c:v>
                </c:pt>
                <c:pt idx="75">
                  <c:v>-0.4270075475183282</c:v>
                </c:pt>
                <c:pt idx="76">
                  <c:v>-0.42717195455613682</c:v>
                </c:pt>
                <c:pt idx="77">
                  <c:v>-0.42733209128127519</c:v>
                </c:pt>
                <c:pt idx="78">
                  <c:v>-0.42748812193653818</c:v>
                </c:pt>
                <c:pt idx="79">
                  <c:v>-0.42764020244862994</c:v>
                </c:pt>
                <c:pt idx="80">
                  <c:v>-0.42778848094791944</c:v>
                </c:pt>
                <c:pt idx="81">
                  <c:v>-0.43354907149205252</c:v>
                </c:pt>
                <c:pt idx="82">
                  <c:v>-0.43916915982779214</c:v>
                </c:pt>
                <c:pt idx="83">
                  <c:v>-0.44465382434821266</c:v>
                </c:pt>
                <c:pt idx="84">
                  <c:v>-0.45000790161814702</c:v>
                </c:pt>
                <c:pt idx="85">
                  <c:v>-0.45523600059937702</c:v>
                </c:pt>
                <c:pt idx="86">
                  <c:v>-0.46034251588336905</c:v>
                </c:pt>
                <c:pt idx="87">
                  <c:v>-0.46533164001140737</c:v>
                </c:pt>
                <c:pt idx="88">
                  <c:v>-0.47020737495471748</c:v>
                </c:pt>
                <c:pt idx="89">
                  <c:v>-0.47497354282064985</c:v>
                </c:pt>
                <c:pt idx="90">
                  <c:v>-0.47963379584511695</c:v>
                </c:pt>
                <c:pt idx="91">
                  <c:v>-0.48335677125880516</c:v>
                </c:pt>
                <c:pt idx="92">
                  <c:v>-0.48699881242436971</c:v>
                </c:pt>
                <c:pt idx="93">
                  <c:v>-0.49056253012400802</c:v>
                </c:pt>
                <c:pt idx="94">
                  <c:v>-0.49405042404280303</c:v>
                </c:pt>
                <c:pt idx="95">
                  <c:v>-0.49746488861593924</c:v>
                </c:pt>
                <c:pt idx="96">
                  <c:v>-0.50080821851046842</c:v>
                </c:pt>
                <c:pt idx="97">
                  <c:v>-0.50408261376799701</c:v>
                </c:pt>
                <c:pt idx="98">
                  <c:v>-0.50729018463251474</c:v>
                </c:pt>
                <c:pt idx="99">
                  <c:v>-0.51043295608562811</c:v>
                </c:pt>
                <c:pt idx="100">
                  <c:v>-0.51351287210967933</c:v>
                </c:pt>
                <c:pt idx="101">
                  <c:v>-0.51718032845847828</c:v>
                </c:pt>
                <c:pt idx="102">
                  <c:v>-0.52077587389847713</c:v>
                </c:pt>
                <c:pt idx="103">
                  <c:v>-0.52430160292216532</c:v>
                </c:pt>
                <c:pt idx="104">
                  <c:v>-0.52775952946462878</c:v>
                </c:pt>
                <c:pt idx="105">
                  <c:v>-0.53115159073961682</c:v>
                </c:pt>
                <c:pt idx="106">
                  <c:v>-0.53447965085847304</c:v>
                </c:pt>
                <c:pt idx="107">
                  <c:v>-0.53774550424613554</c:v>
                </c:pt>
                <c:pt idx="108">
                  <c:v>-0.54095087886735993</c:v>
                </c:pt>
                <c:pt idx="109">
                  <c:v>-0.54409743927535081</c:v>
                </c:pt>
                <c:pt idx="110">
                  <c:v>-0.54718678949410549</c:v>
                </c:pt>
                <c:pt idx="111">
                  <c:v>-0.54882670364861585</c:v>
                </c:pt>
                <c:pt idx="112">
                  <c:v>-0.5504373336217957</c:v>
                </c:pt>
                <c:pt idx="113">
                  <c:v>-0.55201945686978637</c:v>
                </c:pt>
                <c:pt idx="114">
                  <c:v>-0.55357382356956675</c:v>
                </c:pt>
                <c:pt idx="115">
                  <c:v>-0.55510115780500324</c:v>
                </c:pt>
                <c:pt idx="116">
                  <c:v>-0.55660215869155272</c:v>
                </c:pt>
                <c:pt idx="117">
                  <c:v>-0.55807750144328949</c:v>
                </c:pt>
                <c:pt idx="118">
                  <c:v>-0.55952783838567477</c:v>
                </c:pt>
                <c:pt idx="119">
                  <c:v>-0.56095379991726368</c:v>
                </c:pt>
                <c:pt idx="120">
                  <c:v>-0.56235599542332604</c:v>
                </c:pt>
                <c:pt idx="121">
                  <c:v>-0.56652243083919362</c:v>
                </c:pt>
                <c:pt idx="122">
                  <c:v>-0.57062056403512895</c:v>
                </c:pt>
                <c:pt idx="123">
                  <c:v>-0.57465206091893528</c:v>
                </c:pt>
                <c:pt idx="124">
                  <c:v>-0.57861853365945426</c:v>
                </c:pt>
                <c:pt idx="125">
                  <c:v>-0.58252154283612512</c:v>
                </c:pt>
                <c:pt idx="126">
                  <c:v>-0.58636259948618219</c:v>
                </c:pt>
                <c:pt idx="127">
                  <c:v>-0.59014316705513581</c:v>
                </c:pt>
                <c:pt idx="128">
                  <c:v>-0.59386466325582465</c:v>
                </c:pt>
                <c:pt idx="129">
                  <c:v>-0.59752846184099884</c:v>
                </c:pt>
                <c:pt idx="130">
                  <c:v>-0.60113589429409353</c:v>
                </c:pt>
                <c:pt idx="131">
                  <c:v>-0.60603374908598351</c:v>
                </c:pt>
                <c:pt idx="132">
                  <c:v>-0.61085739395678429</c:v>
                </c:pt>
                <c:pt idx="133">
                  <c:v>-0.61560850281449009</c:v>
                </c:pt>
                <c:pt idx="134">
                  <c:v>-0.62028869959969302</c:v>
                </c:pt>
                <c:pt idx="135">
                  <c:v>-0.62489956013622616</c:v>
                </c:pt>
                <c:pt idx="136">
                  <c:v>-0.62944261390016343</c:v>
                </c:pt>
                <c:pt idx="137">
                  <c:v>-0.63391934571134234</c:v>
                </c:pt>
                <c:pt idx="138">
                  <c:v>-0.63833119735134458</c:v>
                </c:pt>
                <c:pt idx="139">
                  <c:v>-0.64267956911163482</c:v>
                </c:pt>
                <c:pt idx="140">
                  <c:v>-0.64696582127534941</c:v>
                </c:pt>
                <c:pt idx="141">
                  <c:v>-0.65768046557687976</c:v>
                </c:pt>
                <c:pt idx="142">
                  <c:v>-0.6682441993952899</c:v>
                </c:pt>
                <c:pt idx="143">
                  <c:v>-0.67866018868477118</c:v>
                </c:pt>
                <c:pt idx="144">
                  <c:v>-0.68893151145634302</c:v>
                </c:pt>
                <c:pt idx="145">
                  <c:v>-0.69906116081037584</c:v>
                </c:pt>
                <c:pt idx="146">
                  <c:v>-0.70905204784449072</c:v>
                </c:pt>
                <c:pt idx="147">
                  <c:v>-0.71890700444276701</c:v>
                </c:pt>
                <c:pt idx="148">
                  <c:v>-0.72862878595187752</c:v>
                </c:pt>
                <c:pt idx="149">
                  <c:v>-0.7382200737494562</c:v>
                </c:pt>
                <c:pt idx="150">
                  <c:v>-0.74768347770973398</c:v>
                </c:pt>
                <c:pt idx="151">
                  <c:v>-0.7606738380475816</c:v>
                </c:pt>
                <c:pt idx="152">
                  <c:v>-0.77349327259151013</c:v>
                </c:pt>
                <c:pt idx="153">
                  <c:v>-0.78614513282767462</c:v>
                </c:pt>
                <c:pt idx="154">
                  <c:v>-0.79863268319064229</c:v>
                </c:pt>
                <c:pt idx="155">
                  <c:v>-0.81095910387150716</c:v>
                </c:pt>
                <c:pt idx="156">
                  <c:v>-0.82312749351800218</c:v>
                </c:pt>
                <c:pt idx="157">
                  <c:v>-0.83514087183142049</c:v>
                </c:pt>
                <c:pt idx="158">
                  <c:v>-0.84700218206492228</c:v>
                </c:pt>
                <c:pt idx="159">
                  <c:v>-0.85871429342756234</c:v>
                </c:pt>
                <c:pt idx="160">
                  <c:v>-0.87028000339816947</c:v>
                </c:pt>
                <c:pt idx="161">
                  <c:v>-0.88271860891853093</c:v>
                </c:pt>
                <c:pt idx="162">
                  <c:v>-0.89500365140777638</c:v>
                </c:pt>
                <c:pt idx="163">
                  <c:v>-0.90713795717936274</c:v>
                </c:pt>
                <c:pt idx="164">
                  <c:v>-0.91912428361227128</c:v>
                </c:pt>
                <c:pt idx="165">
                  <c:v>-0.93096532123993203</c:v>
                </c:pt>
                <c:pt idx="166">
                  <c:v>-0.94266369576364539</c:v>
                </c:pt>
                <c:pt idx="167">
                  <c:v>-0.95422196999366116</c:v>
                </c:pt>
                <c:pt idx="168">
                  <c:v>-0.96564264572093916</c:v>
                </c:pt>
                <c:pt idx="169">
                  <c:v>-0.97692816552245054</c:v>
                </c:pt>
                <c:pt idx="170">
                  <c:v>-0.98808091450276736</c:v>
                </c:pt>
                <c:pt idx="171">
                  <c:v>-1.0045459488101254</c:v>
                </c:pt>
                <c:pt idx="172">
                  <c:v>-1.0208195292301883</c:v>
                </c:pt>
                <c:pt idx="173">
                  <c:v>-1.036904975772563</c:v>
                </c:pt>
                <c:pt idx="174">
                  <c:v>-1.0528055321247953</c:v>
                </c:pt>
                <c:pt idx="175">
                  <c:v>-1.0685243678330016</c:v>
                </c:pt>
                <c:pt idx="176">
                  <c:v>-1.0840645804081608</c:v>
                </c:pt>
                <c:pt idx="177">
                  <c:v>-1.0994291973610013</c:v>
                </c:pt>
                <c:pt idx="178">
                  <c:v>-1.1146211781683046</c:v>
                </c:pt>
                <c:pt idx="179">
                  <c:v>-1.1296434161732918</c:v>
                </c:pt>
                <c:pt idx="180">
                  <c:v>-1.1444987404226674</c:v>
                </c:pt>
                <c:pt idx="181">
                  <c:v>-1.1624653928081383</c:v>
                </c:pt>
                <c:pt idx="182">
                  <c:v>-1.1802346094531089</c:v>
                </c:pt>
                <c:pt idx="183">
                  <c:v>-1.1978096270090637</c:v>
                </c:pt>
                <c:pt idx="184">
                  <c:v>-1.2151936117654978</c:v>
                </c:pt>
                <c:pt idx="185">
                  <c:v>-1.232389661551591</c:v>
                </c:pt>
                <c:pt idx="186">
                  <c:v>-1.2494008075765444</c:v>
                </c:pt>
                <c:pt idx="187">
                  <c:v>-1.2662300162108557</c:v>
                </c:pt>
                <c:pt idx="188">
                  <c:v>-1.2828801907107601</c:v>
                </c:pt>
                <c:pt idx="189">
                  <c:v>-1.2993541728879141</c:v>
                </c:pt>
                <c:pt idx="190">
                  <c:v>-1.3156547447263609</c:v>
                </c:pt>
                <c:pt idx="191">
                  <c:v>-1.3355885653167974</c:v>
                </c:pt>
                <c:pt idx="192">
                  <c:v>-1.3553147419427505</c:v>
                </c:pt>
                <c:pt idx="193">
                  <c:v>-1.3748365022306099</c:v>
                </c:pt>
                <c:pt idx="194">
                  <c:v>-1.3941570072577703</c:v>
                </c:pt>
                <c:pt idx="195">
                  <c:v>-1.4132793532590107</c:v>
                </c:pt>
                <c:pt idx="196">
                  <c:v>-1.432206573280647</c:v>
                </c:pt>
                <c:pt idx="197">
                  <c:v>-1.4509416387842973</c:v>
                </c:pt>
                <c:pt idx="198">
                  <c:v>-1.4694874612020516</c:v>
                </c:pt>
                <c:pt idx="199">
                  <c:v>-1.4878468934447535</c:v>
                </c:pt>
                <c:pt idx="200">
                  <c:v>-1.5060227313650278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63-4AE5-B51D-033A042789E9}"/>
            </c:ext>
          </c:extLst>
        </c:ser>
        <c:ser>
          <c:idx val="2"/>
          <c:order val="2"/>
          <c:tx>
            <c:strRef>
              <c:f>PWFLAT!$M$2</c:f>
              <c:strCache>
                <c:ptCount val="1"/>
                <c:pt idx="0">
                  <c:v>forward_dt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[0]!years</c:f>
              <c:numCache>
                <c:formatCode>General</c:formatCode>
                <c:ptCount val="2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10.100000000000001</c:v>
                </c:pt>
                <c:pt idx="102">
                  <c:v>10.200000000000001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10.600000000000001</c:v>
                </c:pt>
                <c:pt idx="107">
                  <c:v>10.700000000000001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11.100000000000001</c:v>
                </c:pt>
                <c:pt idx="112">
                  <c:v>11.200000000000001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11.600000000000001</c:v>
                </c:pt>
                <c:pt idx="117">
                  <c:v>11.700000000000001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12.100000000000001</c:v>
                </c:pt>
                <c:pt idx="122">
                  <c:v>12.200000000000001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12.600000000000001</c:v>
                </c:pt>
                <c:pt idx="127">
                  <c:v>12.700000000000001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13.100000000000001</c:v>
                </c:pt>
                <c:pt idx="132">
                  <c:v>13.200000000000001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13.600000000000001</c:v>
                </c:pt>
                <c:pt idx="137">
                  <c:v>13.700000000000001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14.100000000000001</c:v>
                </c:pt>
                <c:pt idx="142">
                  <c:v>14.200000000000001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14.600000000000001</c:v>
                </c:pt>
                <c:pt idx="147">
                  <c:v>14.700000000000001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15.100000000000001</c:v>
                </c:pt>
                <c:pt idx="152">
                  <c:v>15.200000000000001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15.600000000000001</c:v>
                </c:pt>
                <c:pt idx="157">
                  <c:v>15.700000000000001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16.400000000000002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16.900000000000002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17.400000000000002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17.900000000000002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18.400000000000002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18.900000000000002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19.400000000000002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19.900000000000002</c:v>
                </c:pt>
                <c:pt idx="200">
                  <c:v>20</c:v>
                </c:pt>
              </c:numCache>
            </c:numRef>
          </c:xVal>
          <c:yVal>
            <c:numRef>
              <c:f>[0]!forward_dt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A4-4CF6-97D3-D9E7F2EDB40A}"/>
            </c:ext>
          </c:extLst>
        </c:ser>
        <c:ser>
          <c:idx val="3"/>
          <c:order val="3"/>
          <c:tx>
            <c:strRef>
              <c:f>PWFLAT!$N$2</c:f>
              <c:strCache>
                <c:ptCount val="1"/>
                <c:pt idx="0">
                  <c:v>spot_dt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[0]!years</c:f>
              <c:numCache>
                <c:formatCode>General</c:formatCode>
                <c:ptCount val="2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10.100000000000001</c:v>
                </c:pt>
                <c:pt idx="102">
                  <c:v>10.200000000000001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10.600000000000001</c:v>
                </c:pt>
                <c:pt idx="107">
                  <c:v>10.700000000000001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11.100000000000001</c:v>
                </c:pt>
                <c:pt idx="112">
                  <c:v>11.200000000000001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11.600000000000001</c:v>
                </c:pt>
                <c:pt idx="117">
                  <c:v>11.700000000000001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12.100000000000001</c:v>
                </c:pt>
                <c:pt idx="122">
                  <c:v>12.200000000000001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12.600000000000001</c:v>
                </c:pt>
                <c:pt idx="127">
                  <c:v>12.700000000000001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13.100000000000001</c:v>
                </c:pt>
                <c:pt idx="132">
                  <c:v>13.200000000000001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13.600000000000001</c:v>
                </c:pt>
                <c:pt idx="137">
                  <c:v>13.700000000000001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14.100000000000001</c:v>
                </c:pt>
                <c:pt idx="142">
                  <c:v>14.200000000000001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14.600000000000001</c:v>
                </c:pt>
                <c:pt idx="147">
                  <c:v>14.700000000000001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15.100000000000001</c:v>
                </c:pt>
                <c:pt idx="152">
                  <c:v>15.200000000000001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15.600000000000001</c:v>
                </c:pt>
                <c:pt idx="157">
                  <c:v>15.700000000000001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16.400000000000002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16.900000000000002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17.400000000000002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17.900000000000002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18.400000000000002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18.900000000000002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19.400000000000002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19.900000000000002</c:v>
                </c:pt>
                <c:pt idx="200">
                  <c:v>20</c:v>
                </c:pt>
              </c:numCache>
            </c:numRef>
          </c:xVal>
          <c:yVal>
            <c:numRef>
              <c:f>[0]!spot_dt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A4-4CF6-97D3-D9E7F2EDB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3020672"/>
        <c:axId val="1903008192"/>
      </c:scatterChart>
      <c:valAx>
        <c:axId val="1903020672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008192"/>
        <c:crosses val="autoZero"/>
        <c:crossBetween val="midCat"/>
      </c:valAx>
      <c:valAx>
        <c:axId val="190300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02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513396</xdr:colOff>
      <xdr:row>1</xdr:row>
      <xdr:rowOff>223836</xdr:rowOff>
    </xdr:from>
    <xdr:to>
      <xdr:col>24</xdr:col>
      <xdr:colOff>312419</xdr:colOff>
      <xdr:row>19</xdr:row>
      <xdr:rowOff>83819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D28D46-80BD-3BA2-E0D3-8C3D1990E8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A502-D294-49DE-A9D7-C71F5820CCB0}">
  <dimension ref="B2:P7"/>
  <sheetViews>
    <sheetView tabSelected="1" topLeftCell="C1" workbookViewId="0">
      <selection activeCell="P2" sqref="P2"/>
    </sheetView>
  </sheetViews>
  <sheetFormatPr defaultColWidth="9.140625" defaultRowHeight="18.75" x14ac:dyDescent="0.3"/>
  <cols>
    <col min="1" max="1" width="3.7109375" style="1" customWidth="1"/>
    <col min="2" max="2" width="41.42578125" style="1" bestFit="1" customWidth="1"/>
    <col min="3" max="3" width="3.7109375" style="1" customWidth="1"/>
    <col min="4" max="4" width="15.140625" style="1" bestFit="1" customWidth="1"/>
    <col min="5" max="5" width="41.42578125" style="1" bestFit="1" customWidth="1"/>
    <col min="6" max="6" width="3.7109375" style="1" customWidth="1"/>
    <col min="7" max="7" width="40.5703125" style="1" bestFit="1" customWidth="1"/>
    <col min="8" max="8" width="3.7109375" style="1" customWidth="1"/>
    <col min="9" max="9" width="15.42578125" style="1" bestFit="1" customWidth="1"/>
    <col min="10" max="10" width="40.5703125" style="1" bestFit="1" customWidth="1"/>
    <col min="11" max="11" width="3.7109375" style="1" customWidth="1"/>
    <col min="12" max="12" width="44" style="1" bestFit="1" customWidth="1"/>
    <col min="13" max="13" width="3.7109375" style="1" customWidth="1"/>
    <col min="14" max="14" width="9.140625" style="1"/>
    <col min="15" max="15" width="44" style="1" bestFit="1" customWidth="1"/>
    <col min="16" max="16" width="17.140625" style="1" bestFit="1" customWidth="1"/>
    <col min="17" max="16384" width="9.140625" style="1"/>
  </cols>
  <sheetData>
    <row r="2" spans="2:16" x14ac:dyDescent="0.3">
      <c r="B2" s="6" t="s">
        <v>0</v>
      </c>
      <c r="D2" s="2" t="s">
        <v>1</v>
      </c>
      <c r="E2" s="3" t="s">
        <v>5</v>
      </c>
      <c r="G2" s="6" t="s">
        <v>6</v>
      </c>
      <c r="I2" s="7" t="s">
        <v>7</v>
      </c>
      <c r="J2" s="3" t="s">
        <v>29</v>
      </c>
      <c r="K2" s="1" cm="1">
        <f t="array" ref="K2">_xll.ENUM(J2)</f>
        <v>2</v>
      </c>
      <c r="L2" s="6" t="s">
        <v>43</v>
      </c>
      <c r="N2" s="48" t="s">
        <v>44</v>
      </c>
      <c r="O2" s="3" t="s">
        <v>45</v>
      </c>
      <c r="P2" s="11" cm="1">
        <f t="array" ref="P2">_xll.ENUM(O2)</f>
        <v>140723895201456</v>
      </c>
    </row>
    <row r="3" spans="2:16" x14ac:dyDescent="0.3">
      <c r="B3" s="1" t="str" cm="1">
        <f t="array" ref="B3:B7">TRANSPOSE(_xll.ENUM(B2))</f>
        <v>TMX_DAY_COUNT_30_360</v>
      </c>
      <c r="D3" s="2" t="s">
        <v>2</v>
      </c>
      <c r="E3" s="4">
        <f ca="1">TODAY()</f>
        <v>45423</v>
      </c>
      <c r="G3" s="1" t="str" cm="1">
        <f t="array" ref="G3:G6">TRANSPOSE(_xll.ENUM(G2))</f>
        <v>TMX_FREQUENCY_ANNUALLY</v>
      </c>
      <c r="L3" s="1" t="str" cm="1">
        <f t="array" ref="L3:L7">TRANSPOSE(_xll.ENUM(L2))</f>
        <v>TMX_HOLIDAY_CALENDAR_DEFAULT</v>
      </c>
      <c r="N3" s="48" t="s">
        <v>2</v>
      </c>
      <c r="O3" s="50">
        <f ca="1">TODAY()</f>
        <v>45423</v>
      </c>
    </row>
    <row r="4" spans="2:16" x14ac:dyDescent="0.3">
      <c r="B4" s="1" t="str">
        <v>TMX_DAY_COUNT_30E_360</v>
      </c>
      <c r="D4" s="2" t="s">
        <v>3</v>
      </c>
      <c r="E4" s="3">
        <v>180</v>
      </c>
      <c r="G4" s="1" t="str">
        <v>TMX_FREQUENCY_SEMIANNUALLY</v>
      </c>
      <c r="L4" s="1" t="str">
        <v>TMX_HOLIDAY_CALENDAR_NONE</v>
      </c>
      <c r="N4" s="47" t="s">
        <v>46</v>
      </c>
      <c r="O4" s="5" t="b" cm="1">
        <f t="array" aca="1" ref="O4" ca="1">_xll.TMX.DATE.HOLIDAY.CALENDAR(_xll.ENUM(O2),O3)</f>
        <v>0</v>
      </c>
    </row>
    <row r="5" spans="2:16" x14ac:dyDescent="0.3">
      <c r="B5" s="1" t="str">
        <v>TMX_DAY_COUNT_ACTUAL_ACTUAL</v>
      </c>
      <c r="D5" s="2" t="s">
        <v>4</v>
      </c>
      <c r="E5" s="5" cm="1">
        <f t="array" aca="1" ref="E5" ca="1">_xll.TMX.DATE.DAY_COUNT(date,date+days,_xll.ENUM(DAY_COUNT))</f>
        <v>0.5</v>
      </c>
      <c r="G5" s="1" t="str">
        <v>TMX_FREQUENCY_QUARTERLY</v>
      </c>
      <c r="L5" s="1" t="str">
        <v>TMX_HOLIDAY_CALENDAR_WEEKEND</v>
      </c>
    </row>
    <row r="6" spans="2:16" x14ac:dyDescent="0.3">
      <c r="B6" s="1" t="str">
        <v>TMX_DAY_COUNT_ACTUAL_360</v>
      </c>
      <c r="G6" s="1" t="str">
        <v>TMX_FREQUENCY_MONTHLY</v>
      </c>
      <c r="L6" s="1" t="str">
        <v>TMX_HOLIDAY_CALENDAR_SIFMA</v>
      </c>
    </row>
    <row r="7" spans="2:16" x14ac:dyDescent="0.3">
      <c r="B7" s="1" t="str">
        <v>TMX_DAY_COUNT_ACTUAL_365</v>
      </c>
      <c r="L7" s="1" t="str">
        <v>TMX_HOLIDAY_CALENDAR_NYSE</v>
      </c>
    </row>
  </sheetData>
  <dataValidations count="3">
    <dataValidation type="list" allowBlank="1" showInputMessage="1" showErrorMessage="1" sqref="E2" xr:uid="{020A661B-D0A7-4D9A-9D97-5C89B8254AB2}">
      <formula1>_xlfn.ANCHORARRAY($B$3)</formula1>
    </dataValidation>
    <dataValidation type="list" allowBlank="1" showInputMessage="1" showErrorMessage="1" sqref="J2" xr:uid="{2ECFD487-718F-4483-AAC1-E734D307F002}">
      <formula1>_xlfn.ANCHORARRAY($G$3)</formula1>
    </dataValidation>
    <dataValidation type="list" allowBlank="1" showInputMessage="1" showErrorMessage="1" sqref="O2" xr:uid="{D13625C8-E685-4748-8DB8-A3ABF091FDE3}">
      <formula1>_xlfn.ANCHORARRAY($L$3)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35DD-ADD1-43A6-94D0-1926D9A51F0B}">
  <dimension ref="B2:I15"/>
  <sheetViews>
    <sheetView workbookViewId="0">
      <selection activeCell="E2" sqref="E2"/>
    </sheetView>
  </sheetViews>
  <sheetFormatPr defaultColWidth="9.140625" defaultRowHeight="18.75" x14ac:dyDescent="0.3"/>
  <cols>
    <col min="1" max="1" width="3.7109375" style="13" customWidth="1"/>
    <col min="2" max="3" width="9.28515625" style="13" bestFit="1" customWidth="1"/>
    <col min="4" max="4" width="3.7109375" style="13" customWidth="1"/>
    <col min="5" max="5" width="13.7109375" style="13" bestFit="1" customWidth="1"/>
    <col min="6" max="6" width="9.28515625" style="13" bestFit="1" customWidth="1"/>
    <col min="7" max="7" width="9.140625" style="13"/>
    <col min="10" max="16384" width="9.140625" style="13"/>
  </cols>
  <sheetData>
    <row r="2" spans="2:9" x14ac:dyDescent="0.3">
      <c r="B2" s="3">
        <v>10</v>
      </c>
      <c r="D2" s="14" t="s">
        <v>15</v>
      </c>
      <c r="E2" s="11" cm="1">
        <f t="array" aca="1" ref="E2" ca="1">_xll.\TMX.INSTRUMENT(_xlfn.ANCHORARRAY(B3),_xlfn.ANCHORARRAY(C3))</f>
        <v>2476940460400</v>
      </c>
    </row>
    <row r="3" spans="2:9" x14ac:dyDescent="0.3">
      <c r="B3" s="13" cm="1">
        <f t="array" ref="B3:B12">_xlfn.SEQUENCE(B2,1,1)</f>
        <v>1</v>
      </c>
      <c r="C3" s="13" cm="1">
        <f t="array" aca="1" ref="C3:C12" ca="1">_xlfn.RANDARRAY(B2,1)</f>
        <v>0.67424106598266587</v>
      </c>
      <c r="E3" s="13" cm="1">
        <f t="array" aca="1" ref="E3:F12" ca="1">_xll.TMX.INSTRUMENT(E2)</f>
        <v>1</v>
      </c>
      <c r="F3" s="13">
        <f ca="1"/>
        <v>0.67424106598266587</v>
      </c>
      <c r="G3"/>
      <c r="H3" cm="1">
        <f t="array" aca="1" ref="H3:H12" ca="1">_xlfn.TAKE(_xlfn.ANCHORARRAY(B3),,1)-_xlfn.TAKE(_xlfn.ANCHORARRAY(E3),,1)</f>
        <v>0</v>
      </c>
      <c r="I3" cm="1">
        <f t="array" aca="1" ref="I3:I12" ca="1">_xlfn.TAKE(_xlfn.ANCHORARRAY(B3),,1)-_xlfn.TAKE(_xlfn.ANCHORARRAY(E3),,1)</f>
        <v>0</v>
      </c>
    </row>
    <row r="4" spans="2:9" x14ac:dyDescent="0.3">
      <c r="B4" s="13">
        <v>2</v>
      </c>
      <c r="C4" s="13">
        <f ca="1"/>
        <v>0.2684789681897819</v>
      </c>
      <c r="E4" s="13">
        <f ca="1"/>
        <v>2</v>
      </c>
      <c r="F4" s="13">
        <f ca="1"/>
        <v>0.2684789681897819</v>
      </c>
      <c r="G4"/>
      <c r="H4">
        <f ca="1"/>
        <v>0</v>
      </c>
      <c r="I4">
        <f ca="1"/>
        <v>0</v>
      </c>
    </row>
    <row r="5" spans="2:9" x14ac:dyDescent="0.3">
      <c r="B5" s="13">
        <v>3</v>
      </c>
      <c r="C5" s="13">
        <f ca="1"/>
        <v>0.47846743083685483</v>
      </c>
      <c r="E5" s="13">
        <f ca="1"/>
        <v>3</v>
      </c>
      <c r="F5" s="13">
        <f ca="1"/>
        <v>0.47846743083685483</v>
      </c>
      <c r="G5"/>
      <c r="H5">
        <f ca="1"/>
        <v>0</v>
      </c>
      <c r="I5">
        <f ca="1"/>
        <v>0</v>
      </c>
    </row>
    <row r="6" spans="2:9" x14ac:dyDescent="0.3">
      <c r="B6" s="13">
        <v>4</v>
      </c>
      <c r="C6" s="13">
        <f ca="1"/>
        <v>0.84194273467913638</v>
      </c>
      <c r="E6" s="13">
        <f ca="1"/>
        <v>4</v>
      </c>
      <c r="F6" s="13">
        <f ca="1"/>
        <v>0.84194273467913638</v>
      </c>
      <c r="G6"/>
      <c r="H6">
        <f ca="1"/>
        <v>0</v>
      </c>
      <c r="I6">
        <f ca="1"/>
        <v>0</v>
      </c>
    </row>
    <row r="7" spans="2:9" x14ac:dyDescent="0.3">
      <c r="B7" s="13">
        <v>5</v>
      </c>
      <c r="C7" s="13">
        <f ca="1"/>
        <v>7.5869388515470426E-2</v>
      </c>
      <c r="E7" s="13">
        <f ca="1"/>
        <v>5</v>
      </c>
      <c r="F7" s="13">
        <f ca="1"/>
        <v>7.5869388515470426E-2</v>
      </c>
      <c r="G7"/>
      <c r="H7">
        <f ca="1"/>
        <v>0</v>
      </c>
      <c r="I7">
        <f ca="1"/>
        <v>0</v>
      </c>
    </row>
    <row r="8" spans="2:9" x14ac:dyDescent="0.3">
      <c r="B8" s="13">
        <v>6</v>
      </c>
      <c r="C8" s="13">
        <f ca="1"/>
        <v>8.5802042745341867E-2</v>
      </c>
      <c r="E8" s="13">
        <f ca="1"/>
        <v>6</v>
      </c>
      <c r="F8" s="13">
        <f ca="1"/>
        <v>8.5802042745341867E-2</v>
      </c>
      <c r="G8"/>
      <c r="H8">
        <f ca="1"/>
        <v>0</v>
      </c>
      <c r="I8">
        <f ca="1"/>
        <v>0</v>
      </c>
    </row>
    <row r="9" spans="2:9" x14ac:dyDescent="0.3">
      <c r="B9" s="13">
        <v>7</v>
      </c>
      <c r="C9" s="13">
        <f ca="1"/>
        <v>0.54559923781212527</v>
      </c>
      <c r="E9" s="13">
        <f ca="1"/>
        <v>7</v>
      </c>
      <c r="F9" s="13">
        <f ca="1"/>
        <v>0.54559923781212527</v>
      </c>
      <c r="G9"/>
      <c r="H9">
        <f ca="1"/>
        <v>0</v>
      </c>
      <c r="I9">
        <f ca="1"/>
        <v>0</v>
      </c>
    </row>
    <row r="10" spans="2:9" x14ac:dyDescent="0.3">
      <c r="B10" s="13">
        <v>8</v>
      </c>
      <c r="C10" s="13">
        <f ca="1"/>
        <v>0.45366088766980384</v>
      </c>
      <c r="E10" s="13">
        <f ca="1"/>
        <v>8</v>
      </c>
      <c r="F10" s="13">
        <f ca="1"/>
        <v>0.45366088766980384</v>
      </c>
      <c r="G10"/>
      <c r="H10">
        <f ca="1"/>
        <v>0</v>
      </c>
      <c r="I10">
        <f ca="1"/>
        <v>0</v>
      </c>
    </row>
    <row r="11" spans="2:9" x14ac:dyDescent="0.3">
      <c r="B11" s="13">
        <v>9</v>
      </c>
      <c r="C11" s="13">
        <f ca="1"/>
        <v>0.11468740016165824</v>
      </c>
      <c r="E11" s="13">
        <f ca="1"/>
        <v>9</v>
      </c>
      <c r="F11" s="13">
        <f ca="1"/>
        <v>0.11468740016165824</v>
      </c>
      <c r="G11"/>
      <c r="H11">
        <f ca="1"/>
        <v>0</v>
      </c>
      <c r="I11">
        <f ca="1"/>
        <v>0</v>
      </c>
    </row>
    <row r="12" spans="2:9" x14ac:dyDescent="0.3">
      <c r="B12" s="13">
        <v>10</v>
      </c>
      <c r="C12" s="13">
        <f ca="1"/>
        <v>0.66990694952502339</v>
      </c>
      <c r="E12" s="13">
        <f ca="1"/>
        <v>10</v>
      </c>
      <c r="F12" s="13">
        <f ca="1"/>
        <v>0.66990694952502339</v>
      </c>
      <c r="G12"/>
      <c r="H12">
        <f ca="1"/>
        <v>0</v>
      </c>
      <c r="I12">
        <f ca="1"/>
        <v>0</v>
      </c>
    </row>
    <row r="13" spans="2:9" x14ac:dyDescent="0.3">
      <c r="G13"/>
    </row>
    <row r="14" spans="2:9" x14ac:dyDescent="0.3">
      <c r="G14"/>
    </row>
    <row r="15" spans="2:9" x14ac:dyDescent="0.3">
      <c r="G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0266-91BE-4B2E-A8BC-1082BDC425C0}">
  <dimension ref="A1:N203"/>
  <sheetViews>
    <sheetView workbookViewId="0">
      <selection activeCell="I3" sqref="I3"/>
    </sheetView>
  </sheetViews>
  <sheetFormatPr defaultColWidth="9.140625" defaultRowHeight="18.75" x14ac:dyDescent="0.3"/>
  <cols>
    <col min="1" max="1" width="3.7109375" style="8" customWidth="1"/>
    <col min="2" max="3" width="9.140625" style="8"/>
    <col min="4" max="4" width="8.140625" style="28" customWidth="1"/>
    <col min="5" max="5" width="9.85546875" style="28" bestFit="1" customWidth="1"/>
    <col min="6" max="6" width="9.140625" style="28" customWidth="1"/>
    <col min="7" max="7" width="9.85546875" style="28" bestFit="1" customWidth="1"/>
    <col min="8" max="12" width="9.140625" style="8"/>
    <col min="13" max="13" width="9.140625" style="19" customWidth="1"/>
    <col min="14" max="14" width="10.42578125" style="8" bestFit="1" customWidth="1"/>
    <col min="15" max="16384" width="9.140625" style="8"/>
  </cols>
  <sheetData>
    <row r="1" spans="1:14" x14ac:dyDescent="0.3">
      <c r="A1" s="8">
        <v>5</v>
      </c>
      <c r="D1" s="8"/>
      <c r="E1" s="8"/>
      <c r="F1" s="8"/>
      <c r="G1" s="8"/>
    </row>
    <row r="2" spans="1:14" x14ac:dyDescent="0.3">
      <c r="B2" s="9" t="s">
        <v>8</v>
      </c>
      <c r="C2" s="9" t="s">
        <v>9</v>
      </c>
      <c r="D2" s="3">
        <v>20</v>
      </c>
      <c r="E2" s="10" t="s">
        <v>13</v>
      </c>
      <c r="F2" s="11" cm="1">
        <f t="array" aca="1" ref="F2" ca="1">_xll.\TMX.CURVE.PWFLAT(_xlfn.ANCHORARRAY(B3),_xlfn.ANCHORARRAY(C3))</f>
        <v>2476940454480</v>
      </c>
      <c r="G2" s="48" t="s">
        <v>39</v>
      </c>
      <c r="H2" s="10">
        <v>2.1</v>
      </c>
      <c r="I2" s="12" t="s">
        <v>14</v>
      </c>
      <c r="J2" s="9" t="s">
        <v>10</v>
      </c>
      <c r="K2" s="9" t="s">
        <v>11</v>
      </c>
      <c r="L2" s="9" t="s">
        <v>12</v>
      </c>
      <c r="M2" s="47" t="s">
        <v>40</v>
      </c>
      <c r="N2" s="47" t="s">
        <v>41</v>
      </c>
    </row>
    <row r="3" spans="1:14" x14ac:dyDescent="0.3">
      <c r="B3" s="8" cm="1">
        <f t="array" ref="B3:B22">_xll.ARRAY.SEQUENCE(1,D2)</f>
        <v>1</v>
      </c>
      <c r="C3" s="8" cm="1">
        <f t="array" aca="1" ref="C3:C22" ca="1">_xlfn.VSTACK(0,_xlfn.SCAN(0,_xlfn.RANDARRAY(D2-1,1,-1,1),_xlfn.LAMBDA(_xlpm.a,_xlpm.b,_xlpm.a+_xlpm.b)))</f>
        <v>0</v>
      </c>
      <c r="D3" s="11" cm="1">
        <f t="array" ref="D3">_xll.\TMX.CURVE.PWFLAT(_xlfn.TAKE(_xlfn.ANCHORARRAY(B3),,1),_xlfn.TAKE(_xlfn.ANCHORARRAY(B3),,2))</f>
        <v>2203323720144</v>
      </c>
      <c r="E3" s="28" cm="1">
        <f t="array" aca="1" ref="E3:F23" ca="1">TRANSPOSE(_xll.TMX.CURVE.PWFLAT(F2))</f>
        <v>1</v>
      </c>
      <c r="F3" s="28">
        <f ca="1"/>
        <v>0</v>
      </c>
      <c r="G3" s="28" cm="1">
        <f t="array" ref="G3:H23">TRANSPOSE(_xll.TMX.CURVE.PWFLAT(D3))</f>
        <v>1</v>
      </c>
      <c r="H3" s="28">
        <v>1</v>
      </c>
      <c r="I3" s="8" cm="1">
        <f t="array" ref="I3:I203">_xll.ARRAY.SEQUENCE(0,D2,0.1)</f>
        <v>0</v>
      </c>
      <c r="J3" s="8" cm="1">
        <f t="array" aca="1" ref="J3:J203" ca="1">_xlfn.MAP(_xlfn.ANCHORARRAY($I3),_xlfn.LAMBDA(_xlpm.t,_xll.TMX.CURVE.FORWARD(pwflat,_xlpm.t)))</f>
        <v>0</v>
      </c>
      <c r="K3" s="8" cm="1">
        <f t="array" aca="1" ref="K3:K203" ca="1">_xlfn.MAP(_xlfn.ANCHORARRAY($I3),_xlfn.LAMBDA(_xlpm.t,_xll.TMX.CURVE.SPOT(pwflat,_xlpm.t)))</f>
        <v>0</v>
      </c>
      <c r="L3" s="8" cm="1">
        <f t="array" aca="1" ref="L3:L203" ca="1">_xlfn.MAP(_xlfn.ANCHORARRAY($I3),_xlfn.LAMBDA(_xlpm.t,_xll.TMX.CURVE.DISCOUNT(pwflat,_xlpm.t)))</f>
        <v>1</v>
      </c>
      <c r="M3" s="8" cm="1">
        <f t="array" aca="1" ref="M3:M203" ca="1">_xlfn.VSTACK(0*_xlfn._xlws.FILTER(years, years&lt;dt),_xlfn.MAP(_xlfn._xlws.FILTER(years,years&gt;=dt),_xlfn.LAMBDA(_xlpm.t,_xll.TMX.CURVE.FORWARD(pwflat,_xlpm.t,dt))))</f>
        <v>0</v>
      </c>
      <c r="N3" s="8" cm="1">
        <f t="array" aca="1" ref="N3:N203" ca="1">_xlfn.VSTACK(0*_xlfn._xlws.FILTER(years, years&lt;dt),_xlfn.MAP(_xlfn._xlws.FILTER(years,years&gt;=dt),_xlfn.LAMBDA(_xlpm.t,_xll.TMX.CURVE.SPOT(pwflat,_xlpm.t,dt))))</f>
        <v>0</v>
      </c>
    </row>
    <row r="4" spans="1:14" x14ac:dyDescent="0.3">
      <c r="B4" s="8">
        <v>2</v>
      </c>
      <c r="C4" s="8">
        <f ca="1"/>
        <v>-0.62572029928679762</v>
      </c>
      <c r="E4" s="28">
        <f ca="1"/>
        <v>2</v>
      </c>
      <c r="F4" s="28">
        <f ca="1"/>
        <v>-0.62572029928679762</v>
      </c>
      <c r="G4" s="28">
        <v>2</v>
      </c>
      <c r="H4" s="28">
        <v>2</v>
      </c>
      <c r="I4" s="8">
        <v>0.1</v>
      </c>
      <c r="J4" s="8">
        <f ca="1"/>
        <v>0</v>
      </c>
      <c r="K4" s="8">
        <f ca="1"/>
        <v>0</v>
      </c>
      <c r="L4" s="8">
        <f ca="1"/>
        <v>1</v>
      </c>
      <c r="M4" s="19">
        <f ca="1"/>
        <v>0</v>
      </c>
      <c r="N4" s="8">
        <f ca="1"/>
        <v>0</v>
      </c>
    </row>
    <row r="5" spans="1:14" x14ac:dyDescent="0.3">
      <c r="B5" s="8">
        <v>3</v>
      </c>
      <c r="C5" s="8">
        <f ca="1"/>
        <v>-0.90128863571772744</v>
      </c>
      <c r="E5" s="28">
        <f ca="1"/>
        <v>3</v>
      </c>
      <c r="F5" s="28">
        <f ca="1"/>
        <v>-0.90128863571772744</v>
      </c>
      <c r="G5" s="28">
        <v>3</v>
      </c>
      <c r="H5" s="28">
        <v>3</v>
      </c>
      <c r="I5" s="8">
        <v>0.2</v>
      </c>
      <c r="J5" s="8">
        <f ca="1"/>
        <v>0</v>
      </c>
      <c r="K5" s="8">
        <f ca="1"/>
        <v>0</v>
      </c>
      <c r="L5" s="8">
        <f ca="1"/>
        <v>1</v>
      </c>
      <c r="M5" s="19">
        <f ca="1"/>
        <v>0</v>
      </c>
      <c r="N5" s="8">
        <f ca="1"/>
        <v>0</v>
      </c>
    </row>
    <row r="6" spans="1:14" x14ac:dyDescent="0.3">
      <c r="B6" s="8">
        <v>4</v>
      </c>
      <c r="C6" s="8">
        <f ca="1"/>
        <v>-0.32681357065648653</v>
      </c>
      <c r="E6" s="28">
        <f ca="1"/>
        <v>4</v>
      </c>
      <c r="F6" s="28">
        <f ca="1"/>
        <v>-0.32681357065648653</v>
      </c>
      <c r="G6" s="28">
        <v>4</v>
      </c>
      <c r="H6" s="28">
        <v>4</v>
      </c>
      <c r="I6" s="8">
        <v>0.30000000000000004</v>
      </c>
      <c r="J6" s="8">
        <f ca="1"/>
        <v>0</v>
      </c>
      <c r="K6" s="8">
        <f ca="1"/>
        <v>0</v>
      </c>
      <c r="L6" s="8">
        <f ca="1"/>
        <v>1</v>
      </c>
      <c r="M6" s="19">
        <f ca="1"/>
        <v>0</v>
      </c>
      <c r="N6" s="8">
        <f ca="1"/>
        <v>0</v>
      </c>
    </row>
    <row r="7" spans="1:14" x14ac:dyDescent="0.3">
      <c r="B7" s="8">
        <v>5</v>
      </c>
      <c r="C7" s="8">
        <f ca="1"/>
        <v>0.4250645686125778</v>
      </c>
      <c r="E7" s="28">
        <f ca="1"/>
        <v>5</v>
      </c>
      <c r="F7" s="28">
        <f ca="1"/>
        <v>0.4250645686125778</v>
      </c>
      <c r="G7" s="28">
        <v>5</v>
      </c>
      <c r="H7" s="28">
        <v>5</v>
      </c>
      <c r="I7" s="8">
        <v>0.4</v>
      </c>
      <c r="J7" s="8">
        <f ca="1"/>
        <v>0</v>
      </c>
      <c r="K7" s="8">
        <f ca="1"/>
        <v>0</v>
      </c>
      <c r="L7" s="8">
        <f ca="1"/>
        <v>1</v>
      </c>
      <c r="M7" s="19">
        <f ca="1"/>
        <v>0</v>
      </c>
      <c r="N7" s="8">
        <f ca="1"/>
        <v>0</v>
      </c>
    </row>
    <row r="8" spans="1:14" x14ac:dyDescent="0.3">
      <c r="B8" s="8">
        <v>6</v>
      </c>
      <c r="C8" s="8">
        <f ca="1"/>
        <v>-0.39230120073564079</v>
      </c>
      <c r="E8" s="28">
        <f ca="1"/>
        <v>6</v>
      </c>
      <c r="F8" s="28">
        <f ca="1"/>
        <v>-0.39230120073564079</v>
      </c>
      <c r="G8" s="28">
        <v>6</v>
      </c>
      <c r="H8" s="28">
        <v>6</v>
      </c>
      <c r="I8" s="8">
        <v>0.5</v>
      </c>
      <c r="J8" s="8">
        <f ca="1"/>
        <v>0</v>
      </c>
      <c r="K8" s="8">
        <f ca="1"/>
        <v>0</v>
      </c>
      <c r="L8" s="8">
        <f ca="1"/>
        <v>1</v>
      </c>
      <c r="M8" s="19">
        <f ca="1"/>
        <v>0</v>
      </c>
      <c r="N8" s="8">
        <f ca="1"/>
        <v>0</v>
      </c>
    </row>
    <row r="9" spans="1:14" x14ac:dyDescent="0.3">
      <c r="B9" s="8">
        <v>7</v>
      </c>
      <c r="C9" s="8">
        <f ca="1"/>
        <v>-1.1617462274074928</v>
      </c>
      <c r="E9" s="28">
        <f ca="1"/>
        <v>7</v>
      </c>
      <c r="F9" s="28">
        <f ca="1"/>
        <v>-1.1617462274074928</v>
      </c>
      <c r="G9" s="28">
        <v>7</v>
      </c>
      <c r="H9" s="28">
        <v>7</v>
      </c>
      <c r="I9" s="8">
        <v>0.60000000000000009</v>
      </c>
      <c r="J9" s="8">
        <f ca="1"/>
        <v>0</v>
      </c>
      <c r="K9" s="8">
        <f ca="1"/>
        <v>0</v>
      </c>
      <c r="L9" s="8">
        <f ca="1"/>
        <v>1</v>
      </c>
      <c r="M9" s="19">
        <f ca="1"/>
        <v>0</v>
      </c>
      <c r="N9" s="8">
        <f ca="1"/>
        <v>0</v>
      </c>
    </row>
    <row r="10" spans="1:14" x14ac:dyDescent="0.3">
      <c r="B10" s="8">
        <v>8</v>
      </c>
      <c r="C10" s="8">
        <f ca="1"/>
        <v>-0.43950248239178769</v>
      </c>
      <c r="E10" s="28">
        <f ca="1"/>
        <v>8</v>
      </c>
      <c r="F10" s="28">
        <f ca="1"/>
        <v>-0.43950248239178769</v>
      </c>
      <c r="G10" s="28">
        <v>8</v>
      </c>
      <c r="H10" s="28">
        <v>8</v>
      </c>
      <c r="I10" s="8">
        <v>0.70000000000000007</v>
      </c>
      <c r="J10" s="8">
        <f ca="1"/>
        <v>0</v>
      </c>
      <c r="K10" s="8">
        <f ca="1"/>
        <v>0</v>
      </c>
      <c r="L10" s="8">
        <f ca="1"/>
        <v>1</v>
      </c>
      <c r="M10" s="19">
        <f ca="1"/>
        <v>0</v>
      </c>
      <c r="N10" s="8">
        <f ca="1"/>
        <v>0</v>
      </c>
    </row>
    <row r="11" spans="1:14" x14ac:dyDescent="0.3">
      <c r="B11" s="8">
        <v>9</v>
      </c>
      <c r="C11" s="8">
        <f ca="1"/>
        <v>-0.89439631502269767</v>
      </c>
      <c r="E11" s="28">
        <f ca="1"/>
        <v>9</v>
      </c>
      <c r="F11" s="28">
        <f ca="1"/>
        <v>-0.89439631502269767</v>
      </c>
      <c r="G11" s="28">
        <v>9</v>
      </c>
      <c r="H11" s="28">
        <v>9</v>
      </c>
      <c r="I11" s="8">
        <v>0.8</v>
      </c>
      <c r="J11" s="8">
        <f ca="1"/>
        <v>0</v>
      </c>
      <c r="K11" s="8">
        <f ca="1"/>
        <v>0</v>
      </c>
      <c r="L11" s="8">
        <f ca="1"/>
        <v>1</v>
      </c>
      <c r="M11" s="19">
        <f ca="1"/>
        <v>0</v>
      </c>
      <c r="N11" s="8">
        <f ca="1"/>
        <v>0</v>
      </c>
    </row>
    <row r="12" spans="1:14" x14ac:dyDescent="0.3">
      <c r="B12" s="8">
        <v>10</v>
      </c>
      <c r="C12" s="8">
        <f ca="1"/>
        <v>-0.8184245584907397</v>
      </c>
      <c r="E12" s="28">
        <f ca="1"/>
        <v>10</v>
      </c>
      <c r="F12" s="28">
        <f ca="1"/>
        <v>-0.8184245584907397</v>
      </c>
      <c r="G12" s="28">
        <v>10</v>
      </c>
      <c r="H12" s="28">
        <v>10</v>
      </c>
      <c r="I12" s="8">
        <v>0.9</v>
      </c>
      <c r="J12" s="8">
        <f ca="1"/>
        <v>0</v>
      </c>
      <c r="K12" s="8">
        <f ca="1"/>
        <v>0</v>
      </c>
      <c r="L12" s="8">
        <f ca="1"/>
        <v>1</v>
      </c>
      <c r="M12" s="19">
        <f ca="1"/>
        <v>0</v>
      </c>
      <c r="N12" s="8">
        <f ca="1"/>
        <v>0</v>
      </c>
    </row>
    <row r="13" spans="1:14" x14ac:dyDescent="0.3">
      <c r="B13" s="8">
        <v>11</v>
      </c>
      <c r="C13" s="8">
        <f ca="1"/>
        <v>-0.88392596333836781</v>
      </c>
      <c r="E13" s="28">
        <f ca="1"/>
        <v>11</v>
      </c>
      <c r="F13" s="28">
        <f ca="1"/>
        <v>-0.88392596333836781</v>
      </c>
      <c r="G13" s="28">
        <v>11</v>
      </c>
      <c r="H13" s="28">
        <v>11</v>
      </c>
      <c r="I13" s="8">
        <v>1</v>
      </c>
      <c r="J13" s="8">
        <f ca="1"/>
        <v>0</v>
      </c>
      <c r="K13" s="8">
        <f ca="1"/>
        <v>0</v>
      </c>
      <c r="L13" s="8">
        <f ca="1"/>
        <v>1</v>
      </c>
      <c r="M13" s="19">
        <f ca="1"/>
        <v>0</v>
      </c>
      <c r="N13" s="8">
        <f ca="1"/>
        <v>0</v>
      </c>
    </row>
    <row r="14" spans="1:14" x14ac:dyDescent="0.3">
      <c r="B14" s="8">
        <v>12</v>
      </c>
      <c r="C14" s="8">
        <f ca="1"/>
        <v>-0.72921726064475179</v>
      </c>
      <c r="E14" s="28">
        <f ca="1"/>
        <v>12</v>
      </c>
      <c r="F14" s="28">
        <f ca="1"/>
        <v>-0.72921726064475179</v>
      </c>
      <c r="G14" s="28">
        <v>12</v>
      </c>
      <c r="H14" s="28">
        <v>12</v>
      </c>
      <c r="I14" s="8">
        <v>1.1000000000000001</v>
      </c>
      <c r="J14" s="8">
        <f ca="1"/>
        <v>-0.62572029928679762</v>
      </c>
      <c r="K14" s="8">
        <f ca="1"/>
        <v>-5.6883663571527097E-2</v>
      </c>
      <c r="L14" s="8">
        <f ca="1"/>
        <v>1.0645711370552364</v>
      </c>
      <c r="M14" s="19">
        <f ca="1"/>
        <v>0</v>
      </c>
      <c r="N14" s="8">
        <f ca="1"/>
        <v>0</v>
      </c>
    </row>
    <row r="15" spans="1:14" x14ac:dyDescent="0.3">
      <c r="B15" s="8">
        <v>13</v>
      </c>
      <c r="C15" s="8">
        <f ca="1"/>
        <v>-1.0664946807433038</v>
      </c>
      <c r="E15" s="28">
        <f ca="1"/>
        <v>13</v>
      </c>
      <c r="F15" s="28">
        <f ca="1"/>
        <v>-1.0664946807433038</v>
      </c>
      <c r="G15" s="28">
        <v>13</v>
      </c>
      <c r="H15" s="28">
        <v>13</v>
      </c>
      <c r="I15" s="8">
        <v>1.2000000000000002</v>
      </c>
      <c r="J15" s="8">
        <f ca="1"/>
        <v>-0.62572029928679762</v>
      </c>
      <c r="K15" s="8">
        <f ca="1"/>
        <v>-0.10428671654779968</v>
      </c>
      <c r="L15" s="8">
        <f ca="1"/>
        <v>1.13331170593327</v>
      </c>
      <c r="M15" s="19">
        <f ca="1"/>
        <v>0</v>
      </c>
      <c r="N15" s="8">
        <f ca="1"/>
        <v>0</v>
      </c>
    </row>
    <row r="16" spans="1:14" x14ac:dyDescent="0.3">
      <c r="B16" s="8">
        <v>14</v>
      </c>
      <c r="C16" s="8">
        <f ca="1"/>
        <v>-1.2427548720316743</v>
      </c>
      <c r="E16" s="28">
        <f ca="1"/>
        <v>14</v>
      </c>
      <c r="F16" s="28">
        <f ca="1"/>
        <v>-1.2427548720316743</v>
      </c>
      <c r="G16" s="28">
        <v>14</v>
      </c>
      <c r="H16" s="28">
        <v>14</v>
      </c>
      <c r="I16" s="8">
        <v>1.3</v>
      </c>
      <c r="J16" s="8">
        <f ca="1"/>
        <v>-0.62572029928679762</v>
      </c>
      <c r="K16" s="8">
        <f ca="1"/>
        <v>-0.14439699214310717</v>
      </c>
      <c r="L16" s="8">
        <f ca="1"/>
        <v>1.2064909315828078</v>
      </c>
      <c r="M16" s="19">
        <f ca="1"/>
        <v>0</v>
      </c>
      <c r="N16" s="8">
        <f ca="1"/>
        <v>0</v>
      </c>
    </row>
    <row r="17" spans="2:14" x14ac:dyDescent="0.3">
      <c r="B17" s="8">
        <v>15</v>
      </c>
      <c r="C17" s="8">
        <f ca="1"/>
        <v>-2.1577306677911183</v>
      </c>
      <c r="E17" s="28">
        <f ca="1"/>
        <v>15</v>
      </c>
      <c r="F17" s="28">
        <f ca="1"/>
        <v>-2.1577306677911183</v>
      </c>
      <c r="G17" s="28">
        <v>15</v>
      </c>
      <c r="H17" s="28">
        <v>15</v>
      </c>
      <c r="I17" s="8">
        <v>1.4000000000000001</v>
      </c>
      <c r="J17" s="8">
        <f ca="1"/>
        <v>-0.62572029928679762</v>
      </c>
      <c r="K17" s="8">
        <f ca="1"/>
        <v>-0.17877722836765653</v>
      </c>
      <c r="L17" s="8">
        <f ca="1"/>
        <v>1.2843954226321508</v>
      </c>
      <c r="M17" s="19">
        <f ca="1"/>
        <v>0</v>
      </c>
      <c r="N17" s="8">
        <f ca="1"/>
        <v>0</v>
      </c>
    </row>
    <row r="18" spans="2:14" x14ac:dyDescent="0.3">
      <c r="B18" s="8">
        <v>16</v>
      </c>
      <c r="C18" s="8">
        <f ca="1"/>
        <v>-2.7092278887247003</v>
      </c>
      <c r="E18" s="28">
        <f ca="1"/>
        <v>16</v>
      </c>
      <c r="F18" s="28">
        <f ca="1"/>
        <v>-2.7092278887247003</v>
      </c>
      <c r="G18" s="28">
        <v>16</v>
      </c>
      <c r="H18" s="28">
        <v>16</v>
      </c>
      <c r="I18" s="8">
        <v>1.5</v>
      </c>
      <c r="J18" s="8">
        <f ca="1"/>
        <v>-0.62572029928679762</v>
      </c>
      <c r="K18" s="8">
        <f ca="1"/>
        <v>-0.2085734330955992</v>
      </c>
      <c r="L18" s="8">
        <f ca="1"/>
        <v>1.3673302959445977</v>
      </c>
      <c r="M18" s="19">
        <f ca="1"/>
        <v>0</v>
      </c>
      <c r="N18" s="8">
        <f ca="1"/>
        <v>0</v>
      </c>
    </row>
    <row r="19" spans="2:14" x14ac:dyDescent="0.3">
      <c r="B19" s="8">
        <v>17</v>
      </c>
      <c r="C19" s="8">
        <f ca="1"/>
        <v>-2.8728954921763323</v>
      </c>
      <c r="E19" s="28">
        <f ca="1"/>
        <v>17</v>
      </c>
      <c r="F19" s="28">
        <f ca="1"/>
        <v>-2.8728954921763323</v>
      </c>
      <c r="G19" s="28">
        <v>17</v>
      </c>
      <c r="H19" s="28">
        <v>17</v>
      </c>
      <c r="I19" s="8">
        <v>1.6</v>
      </c>
      <c r="J19" s="8">
        <f ca="1"/>
        <v>-0.62572029928679762</v>
      </c>
      <c r="K19" s="8">
        <f ca="1"/>
        <v>-0.23464511223254914</v>
      </c>
      <c r="L19" s="8">
        <f ca="1"/>
        <v>1.4556203676615707</v>
      </c>
      <c r="M19" s="19">
        <f ca="1"/>
        <v>0</v>
      </c>
      <c r="N19" s="8">
        <f ca="1"/>
        <v>0</v>
      </c>
    </row>
    <row r="20" spans="2:14" x14ac:dyDescent="0.3">
      <c r="B20" s="8">
        <v>18</v>
      </c>
      <c r="C20" s="8">
        <f ca="1"/>
        <v>-3.803601781060971</v>
      </c>
      <c r="E20" s="28">
        <f ca="1"/>
        <v>18</v>
      </c>
      <c r="F20" s="28">
        <f ca="1"/>
        <v>-3.803601781060971</v>
      </c>
      <c r="G20" s="28">
        <v>18</v>
      </c>
      <c r="H20" s="28">
        <v>18</v>
      </c>
      <c r="I20" s="8">
        <v>1.7000000000000002</v>
      </c>
      <c r="J20" s="8">
        <f ca="1"/>
        <v>-0.62572029928679762</v>
      </c>
      <c r="K20" s="8">
        <f ca="1"/>
        <v>-0.25764953500044613</v>
      </c>
      <c r="L20" s="8">
        <f ca="1"/>
        <v>1.5496114304216941</v>
      </c>
      <c r="M20" s="19">
        <f ca="1"/>
        <v>0</v>
      </c>
      <c r="N20" s="8">
        <f ca="1"/>
        <v>0</v>
      </c>
    </row>
    <row r="21" spans="2:14" x14ac:dyDescent="0.3">
      <c r="B21" s="8">
        <v>19</v>
      </c>
      <c r="C21" s="8">
        <f ca="1"/>
        <v>-4.3964628221928406</v>
      </c>
      <c r="E21" s="28">
        <f ca="1"/>
        <v>19</v>
      </c>
      <c r="F21" s="28">
        <f ca="1"/>
        <v>-4.3964628221928406</v>
      </c>
      <c r="G21" s="28">
        <v>19</v>
      </c>
      <c r="H21" s="28">
        <v>19</v>
      </c>
      <c r="I21" s="8">
        <v>1.8</v>
      </c>
      <c r="J21" s="8">
        <f ca="1"/>
        <v>-0.62572029928679762</v>
      </c>
      <c r="K21" s="8">
        <f ca="1"/>
        <v>-0.27809791079413226</v>
      </c>
      <c r="L21" s="8">
        <f ca="1"/>
        <v>1.6496716024023856</v>
      </c>
      <c r="M21" s="19">
        <f ca="1"/>
        <v>0</v>
      </c>
      <c r="N21" s="8">
        <f ca="1"/>
        <v>0</v>
      </c>
    </row>
    <row r="22" spans="2:14" x14ac:dyDescent="0.3">
      <c r="B22" s="8">
        <v>20</v>
      </c>
      <c r="C22" s="8">
        <f ca="1"/>
        <v>-5.1230144774997015</v>
      </c>
      <c r="E22" s="28">
        <f ca="1"/>
        <v>20</v>
      </c>
      <c r="F22" s="28">
        <f ca="1"/>
        <v>-5.1230144774997015</v>
      </c>
      <c r="G22" s="28">
        <v>20</v>
      </c>
      <c r="H22" s="28">
        <v>20</v>
      </c>
      <c r="I22" s="8">
        <v>1.9000000000000001</v>
      </c>
      <c r="J22" s="8">
        <f ca="1"/>
        <v>-0.62572029928679762</v>
      </c>
      <c r="K22" s="8">
        <f ca="1"/>
        <v>-0.29639382597795677</v>
      </c>
      <c r="L22" s="8">
        <f ca="1"/>
        <v>1.7561927739320871</v>
      </c>
      <c r="M22" s="19">
        <f ca="1"/>
        <v>0</v>
      </c>
      <c r="N22" s="8">
        <f ca="1"/>
        <v>0</v>
      </c>
    </row>
    <row r="23" spans="2:14" x14ac:dyDescent="0.3">
      <c r="E23" s="28">
        <f ca="1"/>
        <v>20</v>
      </c>
      <c r="F23" s="28" t="e">
        <f ca="1"/>
        <v>#NUM!</v>
      </c>
      <c r="G23" s="28">
        <v>20</v>
      </c>
      <c r="H23" s="28" t="e">
        <v>#NUM!</v>
      </c>
      <c r="I23" s="8">
        <v>2</v>
      </c>
      <c r="J23" s="8">
        <f ca="1"/>
        <v>-0.62572029928679762</v>
      </c>
      <c r="K23" s="8">
        <f ca="1"/>
        <v>-0.31286014964339881</v>
      </c>
      <c r="L23" s="8">
        <f ca="1"/>
        <v>1.8695921382792073</v>
      </c>
      <c r="M23" s="19">
        <f ca="1"/>
        <v>0</v>
      </c>
      <c r="N23" s="8">
        <f ca="1"/>
        <v>0</v>
      </c>
    </row>
    <row r="24" spans="2:14" x14ac:dyDescent="0.3">
      <c r="I24" s="8">
        <v>2.1</v>
      </c>
      <c r="J24" s="8">
        <f ca="1"/>
        <v>-0.90128863571772744</v>
      </c>
      <c r="K24" s="8">
        <f ca="1"/>
        <v>-0.34088055374217641</v>
      </c>
      <c r="L24" s="8">
        <f ca="1"/>
        <v>2.0459232662086539</v>
      </c>
      <c r="M24" s="19" t="e">
        <f ca="1"/>
        <v>#VALUE!</v>
      </c>
      <c r="N24" s="8" t="e">
        <f ca="1"/>
        <v>#VALUE!</v>
      </c>
    </row>
    <row r="25" spans="2:14" x14ac:dyDescent="0.3">
      <c r="I25" s="8">
        <v>2.2000000000000002</v>
      </c>
      <c r="J25" s="8">
        <f ca="1"/>
        <v>-0.90128863571772744</v>
      </c>
      <c r="K25" s="8">
        <f ca="1"/>
        <v>-0.36635364837742873</v>
      </c>
      <c r="L25" s="8">
        <f ca="1"/>
        <v>2.238885117034155</v>
      </c>
      <c r="M25" s="19" t="e">
        <f ca="1"/>
        <v>#VALUE!</v>
      </c>
      <c r="N25" s="8" t="e">
        <f ca="1"/>
        <v>#VALUE!</v>
      </c>
    </row>
    <row r="26" spans="2:14" x14ac:dyDescent="0.3">
      <c r="I26" s="8">
        <v>2.3000000000000003</v>
      </c>
      <c r="J26" s="8">
        <f ca="1"/>
        <v>-0.90128863571772744</v>
      </c>
      <c r="K26" s="8">
        <f ca="1"/>
        <v>-0.38961169130526779</v>
      </c>
      <c r="L26" s="8">
        <f ca="1"/>
        <v>2.4500462201764717</v>
      </c>
      <c r="M26" s="19" t="e">
        <f ca="1"/>
        <v>#VALUE!</v>
      </c>
      <c r="N26" s="8" t="e">
        <f ca="1"/>
        <v>#VALUE!</v>
      </c>
    </row>
    <row r="27" spans="2:14" x14ac:dyDescent="0.3">
      <c r="I27" s="8">
        <v>2.4000000000000004</v>
      </c>
      <c r="J27" s="8">
        <f ca="1"/>
        <v>-0.90128863571772744</v>
      </c>
      <c r="K27" s="8">
        <f ca="1"/>
        <v>-0.41093156398912034</v>
      </c>
      <c r="L27" s="8">
        <f ca="1"/>
        <v>2.681123045351399</v>
      </c>
      <c r="M27" s="19" t="e">
        <f ca="1"/>
        <v>#VALUE!</v>
      </c>
      <c r="N27" s="8" t="e">
        <f ca="1"/>
        <v>#VALUE!</v>
      </c>
    </row>
    <row r="28" spans="2:14" x14ac:dyDescent="0.3">
      <c r="I28" s="8">
        <v>2.5</v>
      </c>
      <c r="J28" s="8">
        <f ca="1"/>
        <v>-0.90128863571772744</v>
      </c>
      <c r="K28" s="8">
        <f ca="1"/>
        <v>-0.43054584685826452</v>
      </c>
      <c r="L28" s="8">
        <f ca="1"/>
        <v>2.9339939479581889</v>
      </c>
      <c r="M28" s="19" t="e">
        <f ca="1"/>
        <v>#VALUE!</v>
      </c>
      <c r="N28" s="8" t="e">
        <f ca="1"/>
        <v>#VALUE!</v>
      </c>
    </row>
    <row r="29" spans="2:14" x14ac:dyDescent="0.3">
      <c r="I29" s="8">
        <v>2.6</v>
      </c>
      <c r="J29" s="8">
        <f ca="1"/>
        <v>-0.90128863571772744</v>
      </c>
      <c r="K29" s="8">
        <f ca="1"/>
        <v>-0.4486513387374747</v>
      </c>
      <c r="L29" s="8">
        <f ca="1"/>
        <v>3.210714443075541</v>
      </c>
      <c r="M29" s="19" t="e">
        <f ca="1"/>
        <v>#VALUE!</v>
      </c>
      <c r="N29" s="8" t="e">
        <f ca="1"/>
        <v>#VALUE!</v>
      </c>
    </row>
    <row r="30" spans="2:14" x14ac:dyDescent="0.3">
      <c r="I30" s="8">
        <v>2.7</v>
      </c>
      <c r="J30" s="8">
        <f ca="1"/>
        <v>-0.90128863571772744</v>
      </c>
      <c r="K30" s="8">
        <f ca="1"/>
        <v>-0.46541568307007664</v>
      </c>
      <c r="L30" s="8">
        <f ca="1"/>
        <v>3.5135339144047699</v>
      </c>
      <c r="M30" s="19" t="e">
        <f ca="1"/>
        <v>#VALUE!</v>
      </c>
      <c r="N30" s="8" t="e">
        <f ca="1"/>
        <v>#VALUE!</v>
      </c>
    </row>
    <row r="31" spans="2:14" x14ac:dyDescent="0.3">
      <c r="I31" s="8">
        <v>2.8000000000000003</v>
      </c>
      <c r="J31" s="8">
        <f ca="1"/>
        <v>-0.90128863571772744</v>
      </c>
      <c r="K31" s="8">
        <f ca="1"/>
        <v>-0.48098257423606416</v>
      </c>
      <c r="L31" s="8">
        <f ca="1"/>
        <v>3.844913891004444</v>
      </c>
      <c r="M31" s="19" t="e">
        <f ca="1"/>
        <v>#VALUE!</v>
      </c>
      <c r="N31" s="8" t="e">
        <f ca="1"/>
        <v>#VALUE!</v>
      </c>
    </row>
    <row r="32" spans="2:14" x14ac:dyDescent="0.3">
      <c r="I32" s="8">
        <v>2.9000000000000004</v>
      </c>
      <c r="J32" s="8">
        <f ca="1"/>
        <v>-0.90128863571772744</v>
      </c>
      <c r="K32" s="8">
        <f ca="1"/>
        <v>-0.49547588670094911</v>
      </c>
      <c r="L32" s="8">
        <f ca="1"/>
        <v>4.2075480680339536</v>
      </c>
      <c r="M32" s="19" t="e">
        <f ca="1"/>
        <v>#VALUE!</v>
      </c>
      <c r="N32" s="8" t="e">
        <f ca="1"/>
        <v>#VALUE!</v>
      </c>
    </row>
    <row r="33" spans="9:14" x14ac:dyDescent="0.3">
      <c r="I33" s="8">
        <v>3</v>
      </c>
      <c r="J33" s="8">
        <f ca="1"/>
        <v>-0.90128863571772744</v>
      </c>
      <c r="K33" s="8">
        <f ca="1"/>
        <v>-0.50900297833484165</v>
      </c>
      <c r="L33" s="8">
        <f ca="1"/>
        <v>4.6043841923886566</v>
      </c>
      <c r="M33" s="19" t="e">
        <f ca="1"/>
        <v>#VALUE!</v>
      </c>
      <c r="N33" s="8" t="e">
        <f ca="1"/>
        <v>#VALUE!</v>
      </c>
    </row>
    <row r="34" spans="9:14" x14ac:dyDescent="0.3">
      <c r="I34" s="8">
        <v>3.1</v>
      </c>
      <c r="J34" s="8">
        <f ca="1"/>
        <v>-0.32681357065648653</v>
      </c>
      <c r="K34" s="8">
        <f ca="1"/>
        <v>-0.50312590066779805</v>
      </c>
      <c r="L34" s="8">
        <f ca="1"/>
        <v>4.7573476280029654</v>
      </c>
      <c r="M34" s="19" t="e">
        <f ca="1"/>
        <v>#VALUE!</v>
      </c>
      <c r="N34" s="8" t="e">
        <f ca="1"/>
        <v>#VALUE!</v>
      </c>
    </row>
    <row r="35" spans="9:14" x14ac:dyDescent="0.3">
      <c r="I35" s="8">
        <v>3.2</v>
      </c>
      <c r="J35" s="8">
        <f ca="1"/>
        <v>-0.32681357065648653</v>
      </c>
      <c r="K35" s="8">
        <f ca="1"/>
        <v>-0.4976161403549445</v>
      </c>
      <c r="L35" s="8">
        <f ca="1"/>
        <v>4.9153927013394831</v>
      </c>
      <c r="M35" s="19" t="e">
        <f ca="1"/>
        <v>#VALUE!</v>
      </c>
      <c r="N35" s="8" t="e">
        <f ca="1"/>
        <v>#VALUE!</v>
      </c>
    </row>
    <row r="36" spans="9:14" x14ac:dyDescent="0.3">
      <c r="I36" s="8">
        <v>3.3000000000000003</v>
      </c>
      <c r="J36" s="8">
        <f ca="1"/>
        <v>-0.32681357065648653</v>
      </c>
      <c r="K36" s="8">
        <f ca="1"/>
        <v>-0.49244030490953666</v>
      </c>
      <c r="L36" s="8">
        <f ca="1"/>
        <v>5.0786882307791901</v>
      </c>
      <c r="M36" s="19" t="e">
        <f ca="1"/>
        <v>#VALUE!</v>
      </c>
      <c r="N36" s="8" t="e">
        <f ca="1"/>
        <v>#VALUE!</v>
      </c>
    </row>
    <row r="37" spans="9:14" x14ac:dyDescent="0.3">
      <c r="I37" s="8">
        <v>3.4000000000000004</v>
      </c>
      <c r="J37" s="8">
        <f ca="1"/>
        <v>-0.32681357065648653</v>
      </c>
      <c r="K37" s="8">
        <f ca="1"/>
        <v>-0.48756893037268223</v>
      </c>
      <c r="L37" s="8">
        <f ca="1"/>
        <v>5.2474086430571907</v>
      </c>
      <c r="M37" s="19" t="e">
        <f ca="1"/>
        <v>#VALUE!</v>
      </c>
      <c r="N37" s="8" t="e">
        <f ca="1"/>
        <v>#VALUE!</v>
      </c>
    </row>
    <row r="38" spans="9:14" x14ac:dyDescent="0.3">
      <c r="I38" s="8">
        <v>3.5</v>
      </c>
      <c r="J38" s="8">
        <f ca="1"/>
        <v>-0.32681357065648653</v>
      </c>
      <c r="K38" s="8">
        <f ca="1"/>
        <v>-0.48297592009507667</v>
      </c>
      <c r="L38" s="8">
        <f ca="1"/>
        <v>5.4217341615890406</v>
      </c>
      <c r="M38" s="19" t="e">
        <f ca="1"/>
        <v>#VALUE!</v>
      </c>
      <c r="N38" s="8" t="e">
        <f ca="1"/>
        <v>#VALUE!</v>
      </c>
    </row>
    <row r="39" spans="9:14" x14ac:dyDescent="0.3">
      <c r="I39" s="8">
        <v>3.6</v>
      </c>
      <c r="J39" s="8">
        <f ca="1"/>
        <v>-0.32681357065648653</v>
      </c>
      <c r="K39" s="8">
        <f ca="1"/>
        <v>-0.47863807705511585</v>
      </c>
      <c r="L39" s="8">
        <f ca="1"/>
        <v>5.6018509916007373</v>
      </c>
      <c r="M39" s="19" t="e">
        <f ca="1"/>
        <v>#VALUE!</v>
      </c>
      <c r="N39" s="8" t="e">
        <f ca="1"/>
        <v>#VALUE!</v>
      </c>
    </row>
    <row r="40" spans="9:14" x14ac:dyDescent="0.3">
      <c r="I40" s="8">
        <v>3.7</v>
      </c>
      <c r="J40" s="8">
        <f ca="1"/>
        <v>-0.32681357065648653</v>
      </c>
      <c r="K40" s="8">
        <f ca="1"/>
        <v>-0.47453471201731501</v>
      </c>
      <c r="L40" s="8">
        <f ca="1"/>
        <v>5.7879515292901837</v>
      </c>
      <c r="M40" s="19" t="e">
        <f ca="1"/>
        <v>#VALUE!</v>
      </c>
      <c r="N40" s="8" t="e">
        <f ca="1"/>
        <v>#VALUE!</v>
      </c>
    </row>
    <row r="41" spans="9:14" x14ac:dyDescent="0.3">
      <c r="I41" s="8">
        <v>3.8000000000000003</v>
      </c>
      <c r="J41" s="8">
        <f ca="1"/>
        <v>-0.32681357065648653</v>
      </c>
      <c r="K41" s="8">
        <f ca="1"/>
        <v>-0.47064731356045109</v>
      </c>
      <c r="L41" s="8">
        <f ca="1"/>
        <v>5.9802345609470509</v>
      </c>
      <c r="M41" s="19" t="e">
        <f ca="1"/>
        <v>#VALUE!</v>
      </c>
      <c r="N41" s="8" t="e">
        <f ca="1"/>
        <v>#VALUE!</v>
      </c>
    </row>
    <row r="42" spans="9:14" x14ac:dyDescent="0.3">
      <c r="I42" s="8">
        <v>3.9000000000000004</v>
      </c>
      <c r="J42" s="8">
        <f ca="1"/>
        <v>-0.32681357065648653</v>
      </c>
      <c r="K42" s="8">
        <f ca="1"/>
        <v>-0.46695926887060585</v>
      </c>
      <c r="L42" s="8">
        <f ca="1"/>
        <v>6.1789054767895815</v>
      </c>
      <c r="M42" s="19" t="e">
        <f ca="1"/>
        <v>#VALUE!</v>
      </c>
      <c r="N42" s="8" t="e">
        <f ca="1"/>
        <v>#VALUE!</v>
      </c>
    </row>
    <row r="43" spans="9:14" x14ac:dyDescent="0.3">
      <c r="I43" s="8">
        <v>4</v>
      </c>
      <c r="J43" s="8">
        <f ca="1"/>
        <v>-0.32681357065648653</v>
      </c>
      <c r="K43" s="8">
        <f ca="1"/>
        <v>-0.4634556264152529</v>
      </c>
      <c r="L43" s="8">
        <f ca="1"/>
        <v>6.3841764903548439</v>
      </c>
      <c r="M43" s="19" t="e">
        <f ca="1"/>
        <v>#VALUE!</v>
      </c>
      <c r="N43" s="8" t="e">
        <f ca="1"/>
        <v>#VALUE!</v>
      </c>
    </row>
    <row r="44" spans="9:14" x14ac:dyDescent="0.3">
      <c r="I44" s="8">
        <v>4.1000000000000005</v>
      </c>
      <c r="J44" s="8">
        <f ca="1"/>
        <v>0.4250645686125778</v>
      </c>
      <c r="K44" s="8">
        <f ca="1"/>
        <v>-0.44178440214628129</v>
      </c>
      <c r="L44" s="8">
        <f ca="1"/>
        <v>6.1184943724442</v>
      </c>
      <c r="M44" s="19" t="e">
        <f ca="1"/>
        <v>#VALUE!</v>
      </c>
      <c r="N44" s="8" t="e">
        <f ca="1"/>
        <v>#VALUE!</v>
      </c>
    </row>
    <row r="45" spans="9:14" x14ac:dyDescent="0.3">
      <c r="I45" s="8">
        <v>4.2</v>
      </c>
      <c r="J45" s="8">
        <f ca="1"/>
        <v>0.4250645686125778</v>
      </c>
      <c r="K45" s="8">
        <f ca="1"/>
        <v>-0.42114514093773708</v>
      </c>
      <c r="L45" s="8">
        <f ca="1"/>
        <v>5.863868807782854</v>
      </c>
      <c r="M45" s="19" t="e">
        <f ca="1"/>
        <v>#VALUE!</v>
      </c>
      <c r="N45" s="8" t="e">
        <f ca="1"/>
        <v>#VALUE!</v>
      </c>
    </row>
    <row r="46" spans="9:14" x14ac:dyDescent="0.3">
      <c r="I46" s="8">
        <v>4.3</v>
      </c>
      <c r="J46" s="8">
        <f ca="1"/>
        <v>0.4250645686125778</v>
      </c>
      <c r="K46" s="8">
        <f ca="1"/>
        <v>-0.40146584536679963</v>
      </c>
      <c r="L46" s="8">
        <f ca="1"/>
        <v>5.6198396699409114</v>
      </c>
      <c r="M46" s="19" t="e">
        <f ca="1"/>
        <v>#VALUE!</v>
      </c>
      <c r="N46" s="8" t="e">
        <f ca="1"/>
        <v>#VALUE!</v>
      </c>
    </row>
    <row r="47" spans="9:14" x14ac:dyDescent="0.3">
      <c r="I47" s="8">
        <v>4.4000000000000004</v>
      </c>
      <c r="J47" s="8">
        <f ca="1"/>
        <v>0.4250645686125778</v>
      </c>
      <c r="K47" s="8">
        <f ca="1"/>
        <v>-0.38268106323090462</v>
      </c>
      <c r="L47" s="8">
        <f ca="1"/>
        <v>5.3859659809760352</v>
      </c>
      <c r="M47" s="19" t="e">
        <f ca="1"/>
        <v>#VALUE!</v>
      </c>
      <c r="N47" s="8" t="e">
        <f ca="1"/>
        <v>#VALUE!</v>
      </c>
    </row>
    <row r="48" spans="9:14" x14ac:dyDescent="0.3">
      <c r="I48" s="8">
        <v>4.5</v>
      </c>
      <c r="J48" s="8">
        <f ca="1"/>
        <v>0.4250645686125778</v>
      </c>
      <c r="K48" s="8">
        <f ca="1"/>
        <v>-0.36473116030104946</v>
      </c>
      <c r="L48" s="8">
        <f ca="1"/>
        <v>5.1618251132648476</v>
      </c>
      <c r="M48" s="19" t="e">
        <f ca="1"/>
        <v>#VALUE!</v>
      </c>
      <c r="N48" s="8" t="e">
        <f ca="1"/>
        <v>#VALUE!</v>
      </c>
    </row>
    <row r="49" spans="9:14" x14ac:dyDescent="0.3">
      <c r="I49" s="8">
        <v>4.6000000000000005</v>
      </c>
      <c r="J49" s="8">
        <f ca="1"/>
        <v>0.4250645686125778</v>
      </c>
      <c r="K49" s="8">
        <f ca="1"/>
        <v>-0.34756168793336184</v>
      </c>
      <c r="L49" s="8">
        <f ca="1"/>
        <v>4.9470120313772146</v>
      </c>
      <c r="M49" s="19" t="e">
        <f ca="1"/>
        <v>#VALUE!</v>
      </c>
      <c r="N49" s="8" t="e">
        <f ca="1"/>
        <v>#VALUE!</v>
      </c>
    </row>
    <row r="50" spans="9:14" x14ac:dyDescent="0.3">
      <c r="I50" s="8">
        <v>4.7</v>
      </c>
      <c r="J50" s="8">
        <f ca="1"/>
        <v>0.4250645686125778</v>
      </c>
      <c r="K50" s="8">
        <f ca="1"/>
        <v>-0.33112283141110788</v>
      </c>
      <c r="L50" s="8">
        <f ca="1"/>
        <v>4.7411385510000441</v>
      </c>
      <c r="M50" s="19" t="e">
        <f ca="1"/>
        <v>#VALUE!</v>
      </c>
      <c r="N50" s="8" t="e">
        <f ca="1"/>
        <v>#VALUE!</v>
      </c>
    </row>
    <row r="51" spans="9:14" x14ac:dyDescent="0.3">
      <c r="I51" s="8">
        <v>4.8000000000000007</v>
      </c>
      <c r="J51" s="8">
        <f ca="1"/>
        <v>0.4250645686125778</v>
      </c>
      <c r="K51" s="8">
        <f ca="1"/>
        <v>-0.31536892724394766</v>
      </c>
      <c r="L51" s="8">
        <f ca="1"/>
        <v>4.5438326441939294</v>
      </c>
      <c r="M51" s="19" t="e">
        <f ca="1"/>
        <v>#VALUE!</v>
      </c>
      <c r="N51" s="8" t="e">
        <f ca="1"/>
        <v>#VALUE!</v>
      </c>
    </row>
    <row r="52" spans="9:14" x14ac:dyDescent="0.3">
      <c r="I52" s="8">
        <v>4.9000000000000004</v>
      </c>
      <c r="J52" s="8">
        <f ca="1"/>
        <v>0.4250645686125778</v>
      </c>
      <c r="K52" s="8">
        <f ca="1"/>
        <v>-0.30025803957340641</v>
      </c>
      <c r="L52" s="8">
        <f ca="1"/>
        <v>4.354737765220503</v>
      </c>
      <c r="M52" s="19" t="e">
        <f ca="1"/>
        <v>#VALUE!</v>
      </c>
      <c r="N52" s="8" t="e">
        <f ca="1"/>
        <v>#VALUE!</v>
      </c>
    </row>
    <row r="53" spans="9:14" x14ac:dyDescent="0.3">
      <c r="I53" s="8">
        <v>5</v>
      </c>
      <c r="J53" s="8">
        <f ca="1"/>
        <v>0.4250645686125778</v>
      </c>
      <c r="K53" s="8">
        <f ca="1"/>
        <v>-0.28575158740968676</v>
      </c>
      <c r="L53" s="8">
        <f ca="1"/>
        <v>4.1735122062422025</v>
      </c>
      <c r="M53" s="19" t="e">
        <f ca="1"/>
        <v>#VALUE!</v>
      </c>
      <c r="N53" s="8" t="e">
        <f ca="1"/>
        <v>#VALUE!</v>
      </c>
    </row>
    <row r="54" spans="9:14" x14ac:dyDescent="0.3">
      <c r="I54" s="8">
        <v>5.1000000000000005</v>
      </c>
      <c r="J54" s="8">
        <f ca="1"/>
        <v>-0.39230120073564079</v>
      </c>
      <c r="K54" s="8">
        <f ca="1"/>
        <v>-0.28784079551411723</v>
      </c>
      <c r="L54" s="8">
        <f ca="1"/>
        <v>4.3404935248940175</v>
      </c>
      <c r="M54" s="19" t="e">
        <f ca="1"/>
        <v>#VALUE!</v>
      </c>
      <c r="N54" s="8" t="e">
        <f ca="1"/>
        <v>#VALUE!</v>
      </c>
    </row>
    <row r="55" spans="9:14" x14ac:dyDescent="0.3">
      <c r="I55" s="8">
        <v>5.2</v>
      </c>
      <c r="J55" s="8">
        <f ca="1"/>
        <v>-0.39230120073564079</v>
      </c>
      <c r="K55" s="8">
        <f ca="1"/>
        <v>-0.28984964946068498</v>
      </c>
      <c r="L55" s="8">
        <f ca="1"/>
        <v>4.5141557298733774</v>
      </c>
      <c r="M55" s="19" t="e">
        <f ca="1"/>
        <v>#VALUE!</v>
      </c>
      <c r="N55" s="8" t="e">
        <f ca="1"/>
        <v>#VALUE!</v>
      </c>
    </row>
    <row r="56" spans="9:14" x14ac:dyDescent="0.3">
      <c r="I56" s="8">
        <v>5.3000000000000007</v>
      </c>
      <c r="J56" s="8">
        <f ca="1"/>
        <v>-0.39230120073564079</v>
      </c>
      <c r="K56" s="8">
        <f ca="1"/>
        <v>-0.29178269759794834</v>
      </c>
      <c r="L56" s="8">
        <f ca="1"/>
        <v>4.6947661219788657</v>
      </c>
      <c r="M56" s="19" t="e">
        <f ca="1"/>
        <v>#VALUE!</v>
      </c>
      <c r="N56" s="8" t="e">
        <f ca="1"/>
        <v>#VALUE!</v>
      </c>
    </row>
    <row r="57" spans="9:14" x14ac:dyDescent="0.3">
      <c r="I57" s="8">
        <v>5.4</v>
      </c>
      <c r="J57" s="8">
        <f ca="1"/>
        <v>-0.39230120073564079</v>
      </c>
      <c r="K57" s="8">
        <f ca="1"/>
        <v>-0.29364415135975747</v>
      </c>
      <c r="L57" s="8">
        <f ca="1"/>
        <v>4.8826026966504887</v>
      </c>
      <c r="M57" s="19" t="e">
        <f ca="1"/>
        <v>#VALUE!</v>
      </c>
      <c r="N57" s="8" t="e">
        <f ca="1"/>
        <v>#VALUE!</v>
      </c>
    </row>
    <row r="58" spans="9:14" x14ac:dyDescent="0.3">
      <c r="I58" s="8">
        <v>5.5</v>
      </c>
      <c r="J58" s="8">
        <f ca="1"/>
        <v>-0.39230120073564079</v>
      </c>
      <c r="K58" s="8">
        <f ca="1"/>
        <v>-0.29543791589386442</v>
      </c>
      <c r="L58" s="8">
        <f ca="1"/>
        <v>5.0779545718581582</v>
      </c>
      <c r="M58" s="19" t="e">
        <f ca="1"/>
        <v>#VALUE!</v>
      </c>
      <c r="N58" s="8" t="e">
        <f ca="1"/>
        <v>#VALUE!</v>
      </c>
    </row>
    <row r="59" spans="9:14" x14ac:dyDescent="0.3">
      <c r="I59" s="8">
        <v>5.6000000000000005</v>
      </c>
      <c r="J59" s="8">
        <f ca="1"/>
        <v>-0.39230120073564079</v>
      </c>
      <c r="K59" s="8">
        <f ca="1"/>
        <v>-0.29716761740889613</v>
      </c>
      <c r="L59" s="8">
        <f ca="1"/>
        <v>5.2811224331093483</v>
      </c>
      <c r="M59" s="19" t="e">
        <f ca="1"/>
        <v>#VALUE!</v>
      </c>
      <c r="N59" s="8" t="e">
        <f ca="1"/>
        <v>#VALUE!</v>
      </c>
    </row>
    <row r="60" spans="9:14" x14ac:dyDescent="0.3">
      <c r="I60" s="8">
        <v>5.7</v>
      </c>
      <c r="J60" s="8">
        <f ca="1"/>
        <v>-0.39230120073564079</v>
      </c>
      <c r="K60" s="8">
        <f ca="1"/>
        <v>-0.29883662764269864</v>
      </c>
      <c r="L60" s="8">
        <f ca="1"/>
        <v>5.4924189985156779</v>
      </c>
      <c r="M60" s="19" t="e">
        <f ca="1"/>
        <v>#VALUE!</v>
      </c>
      <c r="N60" s="8" t="e">
        <f ca="1"/>
        <v>#VALUE!</v>
      </c>
    </row>
    <row r="61" spans="9:14" x14ac:dyDescent="0.3">
      <c r="I61" s="8">
        <v>5.8000000000000007</v>
      </c>
      <c r="J61" s="8">
        <f ca="1"/>
        <v>-0.39230120073564079</v>
      </c>
      <c r="K61" s="8">
        <f ca="1"/>
        <v>-0.30044808579947352</v>
      </c>
      <c r="L61" s="8">
        <f ca="1"/>
        <v>5.7121694920191368</v>
      </c>
      <c r="M61" s="19" t="e">
        <f ca="1"/>
        <v>#VALUE!</v>
      </c>
      <c r="N61" s="8" t="e">
        <f ca="1"/>
        <v>#VALUE!</v>
      </c>
    </row>
    <row r="62" spans="9:14" x14ac:dyDescent="0.3">
      <c r="I62" s="8">
        <v>5.9</v>
      </c>
      <c r="J62" s="8">
        <f ca="1"/>
        <v>-0.39230120073564079</v>
      </c>
      <c r="K62" s="8">
        <f ca="1"/>
        <v>-0.30200491825601877</v>
      </c>
      <c r="L62" s="8">
        <f ca="1"/>
        <v>5.9407121550920774</v>
      </c>
      <c r="M62" s="19" t="e">
        <f ca="1"/>
        <v>#VALUE!</v>
      </c>
      <c r="N62" s="8" t="e">
        <f ca="1"/>
        <v>#VALUE!</v>
      </c>
    </row>
    <row r="63" spans="9:14" x14ac:dyDescent="0.3">
      <c r="I63" s="8">
        <v>6</v>
      </c>
      <c r="J63" s="8">
        <f ca="1"/>
        <v>-0.39230120073564079</v>
      </c>
      <c r="K63" s="8">
        <f ca="1"/>
        <v>-0.30350985629734578</v>
      </c>
      <c r="L63" s="8">
        <f ca="1"/>
        <v>6.1783987605174477</v>
      </c>
      <c r="M63" s="19" t="e">
        <f ca="1"/>
        <v>#VALUE!</v>
      </c>
      <c r="N63" s="8" t="e">
        <f ca="1"/>
        <v>#VALUE!</v>
      </c>
    </row>
    <row r="64" spans="9:14" x14ac:dyDescent="0.3">
      <c r="I64" s="8">
        <v>6.1000000000000005</v>
      </c>
      <c r="J64" s="8">
        <f ca="1"/>
        <v>-1.1617462274074928</v>
      </c>
      <c r="K64" s="8">
        <f ca="1"/>
        <v>-0.31757930500406956</v>
      </c>
      <c r="L64" s="8">
        <f ca="1"/>
        <v>6.9395279986939657</v>
      </c>
      <c r="M64" s="19" t="e">
        <f ca="1"/>
        <v>#VALUE!</v>
      </c>
      <c r="N64" s="8" t="e">
        <f ca="1"/>
        <v>#VALUE!</v>
      </c>
    </row>
    <row r="65" spans="9:14" x14ac:dyDescent="0.3">
      <c r="I65" s="8">
        <v>6.2</v>
      </c>
      <c r="J65" s="8">
        <f ca="1"/>
        <v>-1.1617462274074928</v>
      </c>
      <c r="K65" s="8">
        <f ca="1"/>
        <v>-0.33119490052670536</v>
      </c>
      <c r="L65" s="8">
        <f ca="1"/>
        <v>7.7944222612522411</v>
      </c>
      <c r="M65" s="19" t="e">
        <f ca="1"/>
        <v>#VALUE!</v>
      </c>
      <c r="N65" s="8" t="e">
        <f ca="1"/>
        <v>#VALUE!</v>
      </c>
    </row>
    <row r="66" spans="9:14" x14ac:dyDescent="0.3">
      <c r="I66" s="8">
        <v>6.3000000000000007</v>
      </c>
      <c r="J66" s="8">
        <f ca="1"/>
        <v>-1.1617462274074928</v>
      </c>
      <c r="K66" s="8">
        <f ca="1"/>
        <v>-0.34437825492163859</v>
      </c>
      <c r="L66" s="8">
        <f ca="1"/>
        <v>8.7546326485878865</v>
      </c>
      <c r="M66" s="19" t="e">
        <f ca="1"/>
        <v>#VALUE!</v>
      </c>
      <c r="N66" s="8" t="e">
        <f ca="1"/>
        <v>#VALUE!</v>
      </c>
    </row>
    <row r="67" spans="9:14" x14ac:dyDescent="0.3">
      <c r="I67" s="8">
        <v>6.4</v>
      </c>
      <c r="J67" s="8">
        <f ca="1"/>
        <v>-1.1617462274074928</v>
      </c>
      <c r="K67" s="8">
        <f ca="1"/>
        <v>-0.35714962949172996</v>
      </c>
      <c r="L67" s="8">
        <f ca="1"/>
        <v>9.8331332665365085</v>
      </c>
      <c r="M67" s="19" t="e">
        <f ca="1"/>
        <v>#VALUE!</v>
      </c>
      <c r="N67" s="8" t="e">
        <f ca="1"/>
        <v>#VALUE!</v>
      </c>
    </row>
    <row r="68" spans="9:14" x14ac:dyDescent="0.3">
      <c r="I68" s="8">
        <v>6.5</v>
      </c>
      <c r="J68" s="8">
        <f ca="1"/>
        <v>-1.1617462274074928</v>
      </c>
      <c r="K68" s="8">
        <f ca="1"/>
        <v>-0.36952803869043405</v>
      </c>
      <c r="L68" s="8">
        <f ca="1"/>
        <v>11.044496519641832</v>
      </c>
      <c r="M68" s="19" t="e">
        <f ca="1"/>
        <v>#VALUE!</v>
      </c>
      <c r="N68" s="8" t="e">
        <f ca="1"/>
        <v>#VALUE!</v>
      </c>
    </row>
    <row r="69" spans="9:14" x14ac:dyDescent="0.3">
      <c r="I69" s="8">
        <v>6.6000000000000005</v>
      </c>
      <c r="J69" s="8">
        <f ca="1"/>
        <v>-1.1617462274074928</v>
      </c>
      <c r="K69" s="8">
        <f ca="1"/>
        <v>-0.38153134458008647</v>
      </c>
      <c r="L69" s="8">
        <f ca="1"/>
        <v>12.40509002407164</v>
      </c>
      <c r="M69" s="19" t="e">
        <f ca="1"/>
        <v>#VALUE!</v>
      </c>
      <c r="N69" s="8" t="e">
        <f ca="1"/>
        <v>#VALUE!</v>
      </c>
    </row>
    <row r="70" spans="9:14" x14ac:dyDescent="0.3">
      <c r="I70" s="8">
        <v>6.7</v>
      </c>
      <c r="J70" s="8">
        <f ca="1"/>
        <v>-1.1617462274074928</v>
      </c>
      <c r="K70" s="8">
        <f ca="1"/>
        <v>-0.3931763428312417</v>
      </c>
      <c r="L70" s="8">
        <f ca="1"/>
        <v>13.933297748202644</v>
      </c>
      <c r="M70" s="19" t="e">
        <f ca="1"/>
        <v>#VALUE!</v>
      </c>
      <c r="N70" s="8" t="e">
        <f ca="1"/>
        <v>#VALUE!</v>
      </c>
    </row>
    <row r="71" spans="9:14" x14ac:dyDescent="0.3">
      <c r="I71" s="8">
        <v>6.8000000000000007</v>
      </c>
      <c r="J71" s="8">
        <f ca="1"/>
        <v>-1.1617462274074928</v>
      </c>
      <c r="K71" s="8">
        <f ca="1"/>
        <v>-0.40447884113383376</v>
      </c>
      <c r="L71" s="8">
        <f ca="1"/>
        <v>15.649768422217607</v>
      </c>
      <c r="M71" s="19" t="e">
        <f ca="1"/>
        <v>#VALUE!</v>
      </c>
      <c r="N71" s="8" t="e">
        <f ca="1"/>
        <v>#VALUE!</v>
      </c>
    </row>
    <row r="72" spans="9:14" x14ac:dyDescent="0.3">
      <c r="I72" s="8">
        <v>6.9</v>
      </c>
      <c r="J72" s="8">
        <f ca="1"/>
        <v>-1.1617462274074928</v>
      </c>
      <c r="K72" s="8">
        <f ca="1"/>
        <v>-0.41545373078997366</v>
      </c>
      <c r="L72" s="8">
        <f ca="1"/>
        <v>17.577694536922873</v>
      </c>
      <c r="M72" s="19" t="e">
        <f ca="1"/>
        <v>#VALUE!</v>
      </c>
      <c r="N72" s="8" t="e">
        <f ca="1"/>
        <v>#VALUE!</v>
      </c>
    </row>
    <row r="73" spans="9:14" x14ac:dyDescent="0.3">
      <c r="I73" s="8">
        <v>7</v>
      </c>
      <c r="J73" s="8">
        <f ca="1"/>
        <v>-1.1617462274074928</v>
      </c>
      <c r="K73" s="8">
        <f ca="1"/>
        <v>-0.42611505217022394</v>
      </c>
      <c r="L73" s="8">
        <f ca="1"/>
        <v>19.743125703570747</v>
      </c>
      <c r="M73" s="19" t="e">
        <f ca="1"/>
        <v>#VALUE!</v>
      </c>
      <c r="N73" s="8" t="e">
        <f ca="1"/>
        <v>#VALUE!</v>
      </c>
    </row>
    <row r="74" spans="9:14" x14ac:dyDescent="0.3">
      <c r="I74" s="8">
        <v>7.1000000000000005</v>
      </c>
      <c r="J74" s="8">
        <f ca="1"/>
        <v>-0.43950248239178769</v>
      </c>
      <c r="K74" s="8">
        <f ca="1"/>
        <v>-0.42630360752545726</v>
      </c>
      <c r="L74" s="8">
        <f ca="1"/>
        <v>20.630191576242801</v>
      </c>
      <c r="M74" s="19" t="e">
        <f ca="1"/>
        <v>#VALUE!</v>
      </c>
      <c r="N74" s="8" t="e">
        <f ca="1"/>
        <v>#VALUE!</v>
      </c>
    </row>
    <row r="75" spans="9:14" x14ac:dyDescent="0.3">
      <c r="I75" s="8">
        <v>7.2</v>
      </c>
      <c r="J75" s="8">
        <f ca="1"/>
        <v>-0.43950248239178769</v>
      </c>
      <c r="K75" s="8">
        <f ca="1"/>
        <v>-0.42648692523193399</v>
      </c>
      <c r="L75" s="8">
        <f ca="1"/>
        <v>21.557113643515777</v>
      </c>
      <c r="M75" s="19" t="e">
        <f ca="1"/>
        <v>#VALUE!</v>
      </c>
      <c r="N75" s="8" t="e">
        <f ca="1"/>
        <v>#VALUE!</v>
      </c>
    </row>
    <row r="76" spans="9:14" x14ac:dyDescent="0.3">
      <c r="I76" s="8">
        <v>7.3000000000000007</v>
      </c>
      <c r="J76" s="8">
        <f ca="1"/>
        <v>-0.43950248239178769</v>
      </c>
      <c r="K76" s="8">
        <f ca="1"/>
        <v>-0.42666522053549366</v>
      </c>
      <c r="L76" s="8">
        <f ca="1"/>
        <v>22.525682661811967</v>
      </c>
      <c r="M76" s="19" t="e">
        <f ca="1"/>
        <v>#VALUE!</v>
      </c>
      <c r="N76" s="8" t="e">
        <f ca="1"/>
        <v>#VALUE!</v>
      </c>
    </row>
    <row r="77" spans="9:14" x14ac:dyDescent="0.3">
      <c r="I77" s="8">
        <v>7.4</v>
      </c>
      <c r="J77" s="8">
        <f ca="1"/>
        <v>-0.43950248239178769</v>
      </c>
      <c r="K77" s="8">
        <f ca="1"/>
        <v>-0.42683869704706523</v>
      </c>
      <c r="L77" s="8">
        <f ca="1"/>
        <v>23.53776983862625</v>
      </c>
      <c r="M77" s="19" t="e">
        <f ca="1"/>
        <v>#VALUE!</v>
      </c>
      <c r="N77" s="8" t="e">
        <f ca="1"/>
        <v>#VALUE!</v>
      </c>
    </row>
    <row r="78" spans="9:14" x14ac:dyDescent="0.3">
      <c r="I78" s="8">
        <v>7.5</v>
      </c>
      <c r="J78" s="8">
        <f ca="1"/>
        <v>-0.43950248239178769</v>
      </c>
      <c r="K78" s="8">
        <f ca="1"/>
        <v>-0.4270075475183282</v>
      </c>
      <c r="L78" s="8">
        <f ca="1"/>
        <v>24.595330463143473</v>
      </c>
      <c r="M78" s="19" t="e">
        <f ca="1"/>
        <v>#VALUE!</v>
      </c>
      <c r="N78" s="8" t="e">
        <f ca="1"/>
        <v>#VALUE!</v>
      </c>
    </row>
    <row r="79" spans="9:14" x14ac:dyDescent="0.3">
      <c r="I79" s="8">
        <v>7.6000000000000005</v>
      </c>
      <c r="J79" s="8">
        <f ca="1"/>
        <v>-0.43950248239178769</v>
      </c>
      <c r="K79" s="8">
        <f ca="1"/>
        <v>-0.42717195455613682</v>
      </c>
      <c r="L79" s="8">
        <f ca="1"/>
        <v>25.700407674018408</v>
      </c>
      <c r="M79" s="19" t="e">
        <f ca="1"/>
        <v>#VALUE!</v>
      </c>
      <c r="N79" s="8" t="e">
        <f ca="1"/>
        <v>#VALUE!</v>
      </c>
    </row>
    <row r="80" spans="9:14" x14ac:dyDescent="0.3">
      <c r="I80" s="8">
        <v>7.7</v>
      </c>
      <c r="J80" s="8">
        <f ca="1"/>
        <v>-0.43950248239178769</v>
      </c>
      <c r="K80" s="8">
        <f ca="1"/>
        <v>-0.42733209128127519</v>
      </c>
      <c r="L80" s="8">
        <f ca="1"/>
        <v>26.855136408870141</v>
      </c>
      <c r="M80" s="19" t="e">
        <f ca="1"/>
        <v>#VALUE!</v>
      </c>
      <c r="N80" s="8" t="e">
        <f ca="1"/>
        <v>#VALUE!</v>
      </c>
    </row>
    <row r="81" spans="9:14" x14ac:dyDescent="0.3">
      <c r="I81" s="8">
        <v>7.8000000000000007</v>
      </c>
      <c r="J81" s="8">
        <f ca="1"/>
        <v>-0.43950248239178769</v>
      </c>
      <c r="K81" s="8">
        <f ca="1"/>
        <v>-0.42748812193653818</v>
      </c>
      <c r="L81" s="8">
        <f ca="1"/>
        <v>28.061747528842002</v>
      </c>
      <c r="M81" s="19" t="e">
        <f ca="1"/>
        <v>#VALUE!</v>
      </c>
      <c r="N81" s="8" t="e">
        <f ca="1"/>
        <v>#VALUE!</v>
      </c>
    </row>
    <row r="82" spans="9:14" x14ac:dyDescent="0.3">
      <c r="I82" s="8">
        <v>7.9</v>
      </c>
      <c r="J82" s="8">
        <f ca="1"/>
        <v>-0.43950248239178769</v>
      </c>
      <c r="K82" s="8">
        <f ca="1"/>
        <v>-0.42764020244862994</v>
      </c>
      <c r="L82" s="8">
        <f ca="1"/>
        <v>29.322572130959429</v>
      </c>
      <c r="M82" s="19" t="e">
        <f ca="1"/>
        <v>#VALUE!</v>
      </c>
      <c r="N82" s="8" t="e">
        <f ca="1"/>
        <v>#VALUE!</v>
      </c>
    </row>
    <row r="83" spans="9:14" x14ac:dyDescent="0.3">
      <c r="I83" s="8">
        <v>8</v>
      </c>
      <c r="J83" s="8">
        <f ca="1"/>
        <v>-0.43950248239178769</v>
      </c>
      <c r="K83" s="8">
        <f ca="1"/>
        <v>-0.42778848094791944</v>
      </c>
      <c r="L83" s="8">
        <f ca="1"/>
        <v>30.640046042504704</v>
      </c>
      <c r="M83" s="19" t="e">
        <f ca="1"/>
        <v>#VALUE!</v>
      </c>
      <c r="N83" s="8" t="e">
        <f ca="1"/>
        <v>#VALUE!</v>
      </c>
    </row>
    <row r="84" spans="9:14" x14ac:dyDescent="0.3">
      <c r="I84" s="8">
        <v>8.1</v>
      </c>
      <c r="J84" s="8">
        <f ca="1"/>
        <v>-0.89439631502269767</v>
      </c>
      <c r="K84" s="8">
        <f ca="1"/>
        <v>-0.43354907149205252</v>
      </c>
      <c r="L84" s="8">
        <f ca="1"/>
        <v>33.506769031262444</v>
      </c>
      <c r="M84" s="19" t="e">
        <f ca="1"/>
        <v>#VALUE!</v>
      </c>
      <c r="N84" s="8" t="e">
        <f ca="1"/>
        <v>#VALUE!</v>
      </c>
    </row>
    <row r="85" spans="9:14" x14ac:dyDescent="0.3">
      <c r="I85" s="8">
        <v>8.2000000000000011</v>
      </c>
      <c r="J85" s="8">
        <f ca="1"/>
        <v>-0.89439631502269767</v>
      </c>
      <c r="K85" s="8">
        <f ca="1"/>
        <v>-0.43916915982779214</v>
      </c>
      <c r="L85" s="8">
        <f ca="1"/>
        <v>36.641706391346794</v>
      </c>
      <c r="M85" s="19" t="e">
        <f ca="1"/>
        <v>#VALUE!</v>
      </c>
      <c r="N85" s="8" t="e">
        <f ca="1"/>
        <v>#VALUE!</v>
      </c>
    </row>
    <row r="86" spans="9:14" x14ac:dyDescent="0.3">
      <c r="I86" s="8">
        <v>8.3000000000000007</v>
      </c>
      <c r="J86" s="8">
        <f ca="1"/>
        <v>-0.89439631502269767</v>
      </c>
      <c r="K86" s="8">
        <f ca="1"/>
        <v>-0.44465382434821266</v>
      </c>
      <c r="L86" s="8">
        <f ca="1"/>
        <v>40.06995261442907</v>
      </c>
      <c r="M86" s="19" t="e">
        <f ca="1"/>
        <v>#VALUE!</v>
      </c>
      <c r="N86" s="8" t="e">
        <f ca="1"/>
        <v>#VALUE!</v>
      </c>
    </row>
    <row r="87" spans="9:14" x14ac:dyDescent="0.3">
      <c r="I87" s="8">
        <v>8.4</v>
      </c>
      <c r="J87" s="8">
        <f ca="1"/>
        <v>-0.89439631502269767</v>
      </c>
      <c r="K87" s="8">
        <f ca="1"/>
        <v>-0.45000790161814702</v>
      </c>
      <c r="L87" s="8">
        <f ca="1"/>
        <v>43.818950059308463</v>
      </c>
      <c r="M87" s="19" t="e">
        <f ca="1"/>
        <v>#VALUE!</v>
      </c>
      <c r="N87" s="8" t="e">
        <f ca="1"/>
        <v>#VALUE!</v>
      </c>
    </row>
    <row r="88" spans="9:14" x14ac:dyDescent="0.3">
      <c r="I88" s="8">
        <v>8.5</v>
      </c>
      <c r="J88" s="8">
        <f ca="1"/>
        <v>-0.89439631502269767</v>
      </c>
      <c r="K88" s="8">
        <f ca="1"/>
        <v>-0.45523600059937702</v>
      </c>
      <c r="L88" s="8">
        <f ca="1"/>
        <v>47.918708633586711</v>
      </c>
      <c r="M88" s="19" t="e">
        <f ca="1"/>
        <v>#VALUE!</v>
      </c>
      <c r="N88" s="8" t="e">
        <f ca="1"/>
        <v>#VALUE!</v>
      </c>
    </row>
    <row r="89" spans="9:14" x14ac:dyDescent="0.3">
      <c r="I89" s="8">
        <v>8.6</v>
      </c>
      <c r="J89" s="8">
        <f ca="1"/>
        <v>-0.89439631502269767</v>
      </c>
      <c r="K89" s="8">
        <f ca="1"/>
        <v>-0.46034251588336905</v>
      </c>
      <c r="L89" s="8">
        <f ca="1"/>
        <v>52.402046009522842</v>
      </c>
      <c r="M89" s="19" t="e">
        <f ca="1"/>
        <v>#VALUE!</v>
      </c>
      <c r="N89" s="8" t="e">
        <f ca="1"/>
        <v>#VALUE!</v>
      </c>
    </row>
    <row r="90" spans="9:14" x14ac:dyDescent="0.3">
      <c r="I90" s="8">
        <v>8.7000000000000011</v>
      </c>
      <c r="J90" s="8">
        <f ca="1"/>
        <v>-0.89439631502269767</v>
      </c>
      <c r="K90" s="8">
        <f ca="1"/>
        <v>-0.46533164001140737</v>
      </c>
      <c r="L90" s="8">
        <f ca="1"/>
        <v>57.304850327443177</v>
      </c>
      <c r="M90" s="19" t="e">
        <f ca="1"/>
        <v>#VALUE!</v>
      </c>
      <c r="N90" s="8" t="e">
        <f ca="1"/>
        <v>#VALUE!</v>
      </c>
    </row>
    <row r="91" spans="9:14" x14ac:dyDescent="0.3">
      <c r="I91" s="8">
        <v>8.8000000000000007</v>
      </c>
      <c r="J91" s="8">
        <f ca="1"/>
        <v>-0.89439631502269767</v>
      </c>
      <c r="K91" s="8">
        <f ca="1"/>
        <v>-0.47020737495471748</v>
      </c>
      <c r="L91" s="8">
        <f ca="1"/>
        <v>62.66636746037662</v>
      </c>
      <c r="M91" s="19" t="e">
        <f ca="1"/>
        <v>#VALUE!</v>
      </c>
      <c r="N91" s="8" t="e">
        <f ca="1"/>
        <v>#VALUE!</v>
      </c>
    </row>
    <row r="92" spans="9:14" x14ac:dyDescent="0.3">
      <c r="I92" s="8">
        <v>8.9</v>
      </c>
      <c r="J92" s="8">
        <f ca="1"/>
        <v>-0.89439631502269767</v>
      </c>
      <c r="K92" s="8">
        <f ca="1"/>
        <v>-0.47497354282064985</v>
      </c>
      <c r="L92" s="8">
        <f ca="1"/>
        <v>68.529515184591105</v>
      </c>
      <c r="M92" s="19" t="e">
        <f ca="1"/>
        <v>#VALUE!</v>
      </c>
      <c r="N92" s="8" t="e">
        <f ca="1"/>
        <v>#VALUE!</v>
      </c>
    </row>
    <row r="93" spans="9:14" x14ac:dyDescent="0.3">
      <c r="I93" s="8">
        <v>9</v>
      </c>
      <c r="J93" s="8">
        <f ca="1"/>
        <v>-0.89439631502269767</v>
      </c>
      <c r="K93" s="8">
        <f ca="1"/>
        <v>-0.47963379584511695</v>
      </c>
      <c r="L93" s="8">
        <f ca="1"/>
        <v>74.941226720340154</v>
      </c>
      <c r="M93" s="19" t="e">
        <f ca="1"/>
        <v>#VALUE!</v>
      </c>
      <c r="N93" s="8" t="e">
        <f ca="1"/>
        <v>#VALUE!</v>
      </c>
    </row>
    <row r="94" spans="9:14" x14ac:dyDescent="0.3">
      <c r="I94" s="8">
        <v>9.1</v>
      </c>
      <c r="J94" s="8">
        <f ca="1"/>
        <v>-0.8184245584907397</v>
      </c>
      <c r="K94" s="8">
        <f ca="1"/>
        <v>-0.48335677125880516</v>
      </c>
      <c r="L94" s="8">
        <f ca="1"/>
        <v>81.332575458103094</v>
      </c>
      <c r="M94" s="19" t="e">
        <f ca="1"/>
        <v>#VALUE!</v>
      </c>
      <c r="N94" s="8" t="e">
        <f ca="1"/>
        <v>#VALUE!</v>
      </c>
    </row>
    <row r="95" spans="9:14" x14ac:dyDescent="0.3">
      <c r="I95" s="8">
        <v>9.2000000000000011</v>
      </c>
      <c r="J95" s="8">
        <f ca="1"/>
        <v>-0.8184245584907397</v>
      </c>
      <c r="K95" s="8">
        <f ca="1"/>
        <v>-0.48699881242436971</v>
      </c>
      <c r="L95" s="8">
        <f ca="1"/>
        <v>88.269009197333673</v>
      </c>
      <c r="M95" s="19" t="e">
        <f ca="1"/>
        <v>#VALUE!</v>
      </c>
      <c r="N95" s="8" t="e">
        <f ca="1"/>
        <v>#VALUE!</v>
      </c>
    </row>
    <row r="96" spans="9:14" x14ac:dyDescent="0.3">
      <c r="I96" s="8">
        <v>9.3000000000000007</v>
      </c>
      <c r="J96" s="8">
        <f ca="1"/>
        <v>-0.8184245584907397</v>
      </c>
      <c r="K96" s="8">
        <f ca="1"/>
        <v>-0.49056253012400802</v>
      </c>
      <c r="L96" s="8">
        <f ca="1"/>
        <v>95.797015412042839</v>
      </c>
      <c r="M96" s="19" t="e">
        <f ca="1"/>
        <v>#VALUE!</v>
      </c>
      <c r="N96" s="8" t="e">
        <f ca="1"/>
        <v>#VALUE!</v>
      </c>
    </row>
    <row r="97" spans="9:14" x14ac:dyDescent="0.3">
      <c r="I97" s="8">
        <v>9.4</v>
      </c>
      <c r="J97" s="8">
        <f ca="1"/>
        <v>-0.8184245584907397</v>
      </c>
      <c r="K97" s="8">
        <f ca="1"/>
        <v>-0.49405042404280303</v>
      </c>
      <c r="L97" s="8">
        <f ca="1"/>
        <v>103.96704625490133</v>
      </c>
      <c r="M97" s="19" t="e">
        <f ca="1"/>
        <v>#VALUE!</v>
      </c>
      <c r="N97" s="8" t="e">
        <f ca="1"/>
        <v>#VALUE!</v>
      </c>
    </row>
    <row r="98" spans="9:14" x14ac:dyDescent="0.3">
      <c r="I98" s="8">
        <v>9.5</v>
      </c>
      <c r="J98" s="8">
        <f ca="1"/>
        <v>-0.8184245584907397</v>
      </c>
      <c r="K98" s="8">
        <f ca="1"/>
        <v>-0.49746488861593924</v>
      </c>
      <c r="L98" s="8">
        <f ca="1"/>
        <v>112.83385667338051</v>
      </c>
      <c r="M98" s="19" t="e">
        <f ca="1"/>
        <v>#VALUE!</v>
      </c>
      <c r="N98" s="8" t="e">
        <f ca="1"/>
        <v>#VALUE!</v>
      </c>
    </row>
    <row r="99" spans="9:14" x14ac:dyDescent="0.3">
      <c r="I99" s="8">
        <v>9.6000000000000014</v>
      </c>
      <c r="J99" s="8">
        <f ca="1"/>
        <v>-0.8184245584907397</v>
      </c>
      <c r="K99" s="8">
        <f ca="1"/>
        <v>-0.50080821851046842</v>
      </c>
      <c r="L99" s="8">
        <f ca="1"/>
        <v>122.45687138748963</v>
      </c>
      <c r="M99" s="19" t="e">
        <f ca="1"/>
        <v>#VALUE!</v>
      </c>
      <c r="N99" s="8" t="e">
        <f ca="1"/>
        <v>#VALUE!</v>
      </c>
    </row>
    <row r="100" spans="9:14" x14ac:dyDescent="0.3">
      <c r="I100" s="8">
        <v>9.7000000000000011</v>
      </c>
      <c r="J100" s="8">
        <f ca="1"/>
        <v>-0.8184245584907397</v>
      </c>
      <c r="K100" s="8">
        <f ca="1"/>
        <v>-0.50408261376799701</v>
      </c>
      <c r="L100" s="8">
        <f ca="1"/>
        <v>132.9005831414151</v>
      </c>
      <c r="M100" s="19" t="e">
        <f ca="1"/>
        <v>#VALUE!</v>
      </c>
      <c r="N100" s="8" t="e">
        <f ca="1"/>
        <v>#VALUE!</v>
      </c>
    </row>
    <row r="101" spans="9:14" x14ac:dyDescent="0.3">
      <c r="I101" s="8">
        <v>9.8000000000000007</v>
      </c>
      <c r="J101" s="8">
        <f ca="1"/>
        <v>-0.8184245584907397</v>
      </c>
      <c r="K101" s="8">
        <f ca="1"/>
        <v>-0.50729018463251474</v>
      </c>
      <c r="L101" s="8">
        <f ca="1"/>
        <v>144.23498493431129</v>
      </c>
      <c r="M101" s="19" t="e">
        <f ca="1"/>
        <v>#VALUE!</v>
      </c>
      <c r="N101" s="8" t="e">
        <f ca="1"/>
        <v>#VALUE!</v>
      </c>
    </row>
    <row r="102" spans="9:14" x14ac:dyDescent="0.3">
      <c r="I102" s="8">
        <v>9.9</v>
      </c>
      <c r="J102" s="8">
        <f ca="1"/>
        <v>-0.8184245584907397</v>
      </c>
      <c r="K102" s="8">
        <f ca="1"/>
        <v>-0.51043295608562811</v>
      </c>
      <c r="L102" s="8">
        <f ca="1"/>
        <v>156.53603909719257</v>
      </c>
      <c r="M102" s="19" t="e">
        <f ca="1"/>
        <v>#VALUE!</v>
      </c>
      <c r="N102" s="8" t="e">
        <f ca="1"/>
        <v>#VALUE!</v>
      </c>
    </row>
    <row r="103" spans="9:14" x14ac:dyDescent="0.3">
      <c r="I103" s="8">
        <v>10</v>
      </c>
      <c r="J103" s="8">
        <f ca="1"/>
        <v>-0.8184245584907397</v>
      </c>
      <c r="K103" s="8">
        <f ca="1"/>
        <v>-0.51351287210967933</v>
      </c>
      <c r="L103" s="8">
        <f ca="1"/>
        <v>169.88618640183634</v>
      </c>
      <c r="M103" s="19" t="e">
        <f ca="1"/>
        <v>#VALUE!</v>
      </c>
      <c r="N103" s="8" t="e">
        <f ca="1"/>
        <v>#VALUE!</v>
      </c>
    </row>
    <row r="104" spans="9:14" x14ac:dyDescent="0.3">
      <c r="I104" s="8">
        <v>10.100000000000001</v>
      </c>
      <c r="J104" s="8">
        <f ca="1"/>
        <v>-0.88392596333836781</v>
      </c>
      <c r="K104" s="8">
        <f ca="1"/>
        <v>-0.51718032845847828</v>
      </c>
      <c r="L104" s="8">
        <f ca="1"/>
        <v>185.58654394284798</v>
      </c>
      <c r="M104" s="19" t="e">
        <f ca="1"/>
        <v>#VALUE!</v>
      </c>
      <c r="N104" s="8" t="e">
        <f ca="1"/>
        <v>#VALUE!</v>
      </c>
    </row>
    <row r="105" spans="9:14" x14ac:dyDescent="0.3">
      <c r="I105" s="8">
        <v>10.200000000000001</v>
      </c>
      <c r="J105" s="8">
        <f ca="1"/>
        <v>-0.88392596333836781</v>
      </c>
      <c r="K105" s="8">
        <f ca="1"/>
        <v>-0.52077587389847713</v>
      </c>
      <c r="L105" s="8">
        <f ca="1"/>
        <v>202.73788012235278</v>
      </c>
      <c r="M105" s="19" t="e">
        <f ca="1"/>
        <v>#VALUE!</v>
      </c>
      <c r="N105" s="8" t="e">
        <f ca="1"/>
        <v>#VALUE!</v>
      </c>
    </row>
    <row r="106" spans="9:14" x14ac:dyDescent="0.3">
      <c r="I106" s="8">
        <v>10.3</v>
      </c>
      <c r="J106" s="8">
        <f ca="1"/>
        <v>-0.88392596333836781</v>
      </c>
      <c r="K106" s="8">
        <f ca="1"/>
        <v>-0.52430160292216532</v>
      </c>
      <c r="L106" s="8">
        <f ca="1"/>
        <v>221.47428990674413</v>
      </c>
      <c r="M106" s="19" t="e">
        <f ca="1"/>
        <v>#VALUE!</v>
      </c>
      <c r="N106" s="8" t="e">
        <f ca="1"/>
        <v>#VALUE!</v>
      </c>
    </row>
    <row r="107" spans="9:14" x14ac:dyDescent="0.3">
      <c r="I107" s="8">
        <v>10.4</v>
      </c>
      <c r="J107" s="8">
        <f ca="1"/>
        <v>-0.88392596333836781</v>
      </c>
      <c r="K107" s="8">
        <f ca="1"/>
        <v>-0.52775952946462878</v>
      </c>
      <c r="L107" s="8">
        <f ca="1"/>
        <v>241.94226091372784</v>
      </c>
      <c r="M107" s="19" t="e">
        <f ca="1"/>
        <v>#VALUE!</v>
      </c>
      <c r="N107" s="8" t="e">
        <f ca="1"/>
        <v>#VALUE!</v>
      </c>
    </row>
    <row r="108" spans="9:14" x14ac:dyDescent="0.3">
      <c r="I108" s="8">
        <v>10.5</v>
      </c>
      <c r="J108" s="8">
        <f ca="1"/>
        <v>-0.88392596333836781</v>
      </c>
      <c r="K108" s="8">
        <f ca="1"/>
        <v>-0.53115159073961682</v>
      </c>
      <c r="L108" s="8">
        <f ca="1"/>
        <v>264.30181869250208</v>
      </c>
      <c r="M108" s="19" t="e">
        <f ca="1"/>
        <v>#VALUE!</v>
      </c>
      <c r="N108" s="8" t="e">
        <f ca="1"/>
        <v>#VALUE!</v>
      </c>
    </row>
    <row r="109" spans="9:14" x14ac:dyDescent="0.3">
      <c r="I109" s="8">
        <v>10.600000000000001</v>
      </c>
      <c r="J109" s="8">
        <f ca="1"/>
        <v>-0.88392596333836781</v>
      </c>
      <c r="K109" s="8">
        <f ca="1"/>
        <v>-0.53447965085847304</v>
      </c>
      <c r="L109" s="8">
        <f ca="1"/>
        <v>288.72777786410302</v>
      </c>
      <c r="M109" s="19" t="e">
        <f ca="1"/>
        <v>#VALUE!</v>
      </c>
      <c r="N109" s="8" t="e">
        <f ca="1"/>
        <v>#VALUE!</v>
      </c>
    </row>
    <row r="110" spans="9:14" x14ac:dyDescent="0.3">
      <c r="I110" s="8">
        <v>10.700000000000001</v>
      </c>
      <c r="J110" s="8">
        <f ca="1"/>
        <v>-0.88392596333836781</v>
      </c>
      <c r="K110" s="8">
        <f ca="1"/>
        <v>-0.53774550424613554</v>
      </c>
      <c r="L110" s="8">
        <f ca="1"/>
        <v>315.41110886744974</v>
      </c>
      <c r="M110" s="19" t="e">
        <f ca="1"/>
        <v>#VALUE!</v>
      </c>
      <c r="N110" s="8" t="e">
        <f ca="1"/>
        <v>#VALUE!</v>
      </c>
    </row>
    <row r="111" spans="9:14" x14ac:dyDescent="0.3">
      <c r="I111" s="8">
        <v>10.8</v>
      </c>
      <c r="J111" s="8">
        <f ca="1"/>
        <v>-0.88392596333836781</v>
      </c>
      <c r="K111" s="8">
        <f ca="1"/>
        <v>-0.54095087886735993</v>
      </c>
      <c r="L111" s="8">
        <f ca="1"/>
        <v>344.56043104989783</v>
      </c>
      <c r="M111" s="19" t="e">
        <f ca="1"/>
        <v>#VALUE!</v>
      </c>
      <c r="N111" s="8" t="e">
        <f ca="1"/>
        <v>#VALUE!</v>
      </c>
    </row>
    <row r="112" spans="9:14" x14ac:dyDescent="0.3">
      <c r="I112" s="8">
        <v>10.9</v>
      </c>
      <c r="J112" s="8">
        <f ca="1"/>
        <v>-0.88392596333836781</v>
      </c>
      <c r="K112" s="8">
        <f ca="1"/>
        <v>-0.54409743927535081</v>
      </c>
      <c r="L112" s="8">
        <f ca="1"/>
        <v>376.40364371276905</v>
      </c>
      <c r="M112" s="19" t="e">
        <f ca="1"/>
        <v>#VALUE!</v>
      </c>
      <c r="N112" s="8" t="e">
        <f ca="1"/>
        <v>#VALUE!</v>
      </c>
    </row>
    <row r="113" spans="9:14" x14ac:dyDescent="0.3">
      <c r="I113" s="8">
        <v>11</v>
      </c>
      <c r="J113" s="8">
        <f ca="1"/>
        <v>-0.88392596333836781</v>
      </c>
      <c r="K113" s="8">
        <f ca="1"/>
        <v>-0.54718678949410549</v>
      </c>
      <c r="L113" s="8">
        <f ca="1"/>
        <v>411.18970791264627</v>
      </c>
      <c r="M113" s="19" t="e">
        <f ca="1"/>
        <v>#VALUE!</v>
      </c>
      <c r="N113" s="8" t="e">
        <f ca="1"/>
        <v>#VALUE!</v>
      </c>
    </row>
    <row r="114" spans="9:14" x14ac:dyDescent="0.3">
      <c r="I114" s="8">
        <v>11.100000000000001</v>
      </c>
      <c r="J114" s="8">
        <f ca="1"/>
        <v>-0.72921726064475179</v>
      </c>
      <c r="K114" s="8">
        <f ca="1"/>
        <v>-0.54882670364861585</v>
      </c>
      <c r="L114" s="8">
        <f ca="1"/>
        <v>442.29470376417009</v>
      </c>
      <c r="M114" s="19" t="e">
        <f ca="1"/>
        <v>#VALUE!</v>
      </c>
      <c r="N114" s="8" t="e">
        <f ca="1"/>
        <v>#VALUE!</v>
      </c>
    </row>
    <row r="115" spans="9:14" x14ac:dyDescent="0.3">
      <c r="I115" s="8">
        <v>11.200000000000001</v>
      </c>
      <c r="J115" s="8">
        <f ca="1"/>
        <v>-0.72921726064475179</v>
      </c>
      <c r="K115" s="8">
        <f ca="1"/>
        <v>-0.5504373336217957</v>
      </c>
      <c r="L115" s="8">
        <f ca="1"/>
        <v>475.75267866221998</v>
      </c>
      <c r="M115" s="19" t="e">
        <f ca="1"/>
        <v>#VALUE!</v>
      </c>
      <c r="N115" s="8" t="e">
        <f ca="1"/>
        <v>#VALUE!</v>
      </c>
    </row>
    <row r="116" spans="9:14" x14ac:dyDescent="0.3">
      <c r="I116" s="8">
        <v>11.3</v>
      </c>
      <c r="J116" s="8">
        <f ca="1"/>
        <v>-0.72921726064475179</v>
      </c>
      <c r="K116" s="8">
        <f ca="1"/>
        <v>-0.55201945686978637</v>
      </c>
      <c r="L116" s="8">
        <f ca="1"/>
        <v>511.74162685627624</v>
      </c>
      <c r="M116" s="19" t="e">
        <f ca="1"/>
        <v>#VALUE!</v>
      </c>
      <c r="N116" s="8" t="e">
        <f ca="1"/>
        <v>#VALUE!</v>
      </c>
    </row>
    <row r="117" spans="9:14" x14ac:dyDescent="0.3">
      <c r="I117" s="8">
        <v>11.4</v>
      </c>
      <c r="J117" s="8">
        <f ca="1"/>
        <v>-0.72921726064475179</v>
      </c>
      <c r="K117" s="8">
        <f ca="1"/>
        <v>-0.55357382356956675</v>
      </c>
      <c r="L117" s="8">
        <f ca="1"/>
        <v>550.45300721284161</v>
      </c>
      <c r="M117" s="19" t="e">
        <f ca="1"/>
        <v>#VALUE!</v>
      </c>
      <c r="N117" s="8" t="e">
        <f ca="1"/>
        <v>#VALUE!</v>
      </c>
    </row>
    <row r="118" spans="9:14" x14ac:dyDescent="0.3">
      <c r="I118" s="8">
        <v>11.5</v>
      </c>
      <c r="J118" s="8">
        <f ca="1"/>
        <v>-0.72921726064475179</v>
      </c>
      <c r="K118" s="8">
        <f ca="1"/>
        <v>-0.55510115780500324</v>
      </c>
      <c r="L118" s="8">
        <f ca="1"/>
        <v>592.0927617505165</v>
      </c>
      <c r="M118" s="19" t="e">
        <f ca="1"/>
        <v>#VALUE!</v>
      </c>
      <c r="N118" s="8" t="e">
        <f ca="1"/>
        <v>#VALUE!</v>
      </c>
    </row>
    <row r="119" spans="9:14" x14ac:dyDescent="0.3">
      <c r="I119" s="8">
        <v>11.600000000000001</v>
      </c>
      <c r="J119" s="8">
        <f ca="1"/>
        <v>-0.72921726064475179</v>
      </c>
      <c r="K119" s="8">
        <f ca="1"/>
        <v>-0.55660215869155272</v>
      </c>
      <c r="L119" s="8">
        <f ca="1"/>
        <v>636.88241125683669</v>
      </c>
      <c r="M119" s="19" t="e">
        <f ca="1"/>
        <v>#VALUE!</v>
      </c>
      <c r="N119" s="8" t="e">
        <f ca="1"/>
        <v>#VALUE!</v>
      </c>
    </row>
    <row r="120" spans="9:14" x14ac:dyDescent="0.3">
      <c r="I120" s="8">
        <v>11.700000000000001</v>
      </c>
      <c r="J120" s="8">
        <f ca="1"/>
        <v>-0.72921726064475179</v>
      </c>
      <c r="K120" s="8">
        <f ca="1"/>
        <v>-0.55807750144328949</v>
      </c>
      <c r="L120" s="8">
        <f ca="1"/>
        <v>685.06023375293375</v>
      </c>
      <c r="M120" s="19" t="e">
        <f ca="1"/>
        <v>#VALUE!</v>
      </c>
      <c r="N120" s="8" t="e">
        <f ca="1"/>
        <v>#VALUE!</v>
      </c>
    </row>
    <row r="121" spans="9:14" x14ac:dyDescent="0.3">
      <c r="I121" s="8">
        <v>11.8</v>
      </c>
      <c r="J121" s="8">
        <f ca="1"/>
        <v>-0.72921726064475179</v>
      </c>
      <c r="K121" s="8">
        <f ca="1"/>
        <v>-0.55952783838567477</v>
      </c>
      <c r="L121" s="8">
        <f ca="1"/>
        <v>736.88253211977394</v>
      </c>
      <c r="M121" s="19" t="e">
        <f ca="1"/>
        <v>#VALUE!</v>
      </c>
      <c r="N121" s="8" t="e">
        <f ca="1"/>
        <v>#VALUE!</v>
      </c>
    </row>
    <row r="122" spans="9:14" x14ac:dyDescent="0.3">
      <c r="I122" s="8">
        <v>11.9</v>
      </c>
      <c r="J122" s="8">
        <f ca="1"/>
        <v>-0.72921726064475179</v>
      </c>
      <c r="K122" s="8">
        <f ca="1"/>
        <v>-0.56095379991726368</v>
      </c>
      <c r="L122" s="8">
        <f ca="1"/>
        <v>792.62499761720471</v>
      </c>
      <c r="M122" s="19" t="e">
        <f ca="1"/>
        <v>#VALUE!</v>
      </c>
      <c r="N122" s="8" t="e">
        <f ca="1"/>
        <v>#VALUE!</v>
      </c>
    </row>
    <row r="123" spans="9:14" x14ac:dyDescent="0.3">
      <c r="I123" s="8">
        <v>12</v>
      </c>
      <c r="J123" s="8">
        <f ca="1"/>
        <v>-0.72921726064475179</v>
      </c>
      <c r="K123" s="8">
        <f ca="1"/>
        <v>-0.56235599542332604</v>
      </c>
      <c r="L123" s="8">
        <f ca="1"/>
        <v>852.58417652763376</v>
      </c>
      <c r="M123" s="19" t="e">
        <f ca="1"/>
        <v>#VALUE!</v>
      </c>
      <c r="N123" s="8" t="e">
        <f ca="1"/>
        <v>#VALUE!</v>
      </c>
    </row>
    <row r="124" spans="9:14" x14ac:dyDescent="0.3">
      <c r="I124" s="8">
        <v>12.100000000000001</v>
      </c>
      <c r="J124" s="8">
        <f ca="1"/>
        <v>-1.0664946807433038</v>
      </c>
      <c r="K124" s="8">
        <f ca="1"/>
        <v>-0.56652243083919362</v>
      </c>
      <c r="L124" s="8">
        <f ca="1"/>
        <v>948.53758389644577</v>
      </c>
      <c r="M124" s="19" t="e">
        <f ca="1"/>
        <v>#VALUE!</v>
      </c>
      <c r="N124" s="8" t="e">
        <f ca="1"/>
        <v>#VALUE!</v>
      </c>
    </row>
    <row r="125" spans="9:14" x14ac:dyDescent="0.3">
      <c r="I125" s="8">
        <v>12.200000000000001</v>
      </c>
      <c r="J125" s="8">
        <f ca="1"/>
        <v>-1.0664946807433038</v>
      </c>
      <c r="K125" s="8">
        <f ca="1"/>
        <v>-0.57062056403512895</v>
      </c>
      <c r="L125" s="8">
        <f ca="1"/>
        <v>1055.289991108061</v>
      </c>
      <c r="M125" s="19" t="e">
        <f ca="1"/>
        <v>#VALUE!</v>
      </c>
      <c r="N125" s="8" t="e">
        <f ca="1"/>
        <v>#VALUE!</v>
      </c>
    </row>
    <row r="126" spans="9:14" x14ac:dyDescent="0.3">
      <c r="I126" s="8">
        <v>12.3</v>
      </c>
      <c r="J126" s="8">
        <f ca="1"/>
        <v>-1.0664946807433038</v>
      </c>
      <c r="K126" s="8">
        <f ca="1"/>
        <v>-0.57465206091893528</v>
      </c>
      <c r="L126" s="8">
        <f ca="1"/>
        <v>1174.0567629967068</v>
      </c>
      <c r="M126" s="19" t="e">
        <f ca="1"/>
        <v>#VALUE!</v>
      </c>
      <c r="N126" s="8" t="e">
        <f ca="1"/>
        <v>#VALUE!</v>
      </c>
    </row>
    <row r="127" spans="9:14" x14ac:dyDescent="0.3">
      <c r="I127" s="8">
        <v>12.4</v>
      </c>
      <c r="J127" s="8">
        <f ca="1"/>
        <v>-1.0664946807433038</v>
      </c>
      <c r="K127" s="8">
        <f ca="1"/>
        <v>-0.57861853365945426</v>
      </c>
      <c r="L127" s="8">
        <f ca="1"/>
        <v>1306.190046672094</v>
      </c>
      <c r="M127" s="19" t="e">
        <f ca="1"/>
        <v>#VALUE!</v>
      </c>
      <c r="N127" s="8" t="e">
        <f ca="1"/>
        <v>#VALUE!</v>
      </c>
    </row>
    <row r="128" spans="9:14" x14ac:dyDescent="0.3">
      <c r="I128" s="8">
        <v>12.5</v>
      </c>
      <c r="J128" s="8">
        <f ca="1"/>
        <v>-1.0664946807433038</v>
      </c>
      <c r="K128" s="8">
        <f ca="1"/>
        <v>-0.58252154283612512</v>
      </c>
      <c r="L128" s="8">
        <f ca="1"/>
        <v>1453.1941655614435</v>
      </c>
      <c r="M128" s="19" t="e">
        <f ca="1"/>
        <v>#VALUE!</v>
      </c>
      <c r="N128" s="8" t="e">
        <f ca="1"/>
        <v>#VALUE!</v>
      </c>
    </row>
    <row r="129" spans="9:14" x14ac:dyDescent="0.3">
      <c r="I129" s="8">
        <v>12.600000000000001</v>
      </c>
      <c r="J129" s="8">
        <f ca="1"/>
        <v>-1.0664946807433038</v>
      </c>
      <c r="K129" s="8">
        <f ca="1"/>
        <v>-0.58636259948618219</v>
      </c>
      <c r="L129" s="8">
        <f ca="1"/>
        <v>1616.7427459796179</v>
      </c>
      <c r="M129" s="19" t="e">
        <f ca="1"/>
        <v>#VALUE!</v>
      </c>
      <c r="N129" s="8" t="e">
        <f ca="1"/>
        <v>#VALUE!</v>
      </c>
    </row>
    <row r="130" spans="9:14" x14ac:dyDescent="0.3">
      <c r="I130" s="8">
        <v>12.700000000000001</v>
      </c>
      <c r="J130" s="8">
        <f ca="1"/>
        <v>-1.0664946807433038</v>
      </c>
      <c r="K130" s="8">
        <f ca="1"/>
        <v>-0.59014316705513581</v>
      </c>
      <c r="L130" s="8">
        <f ca="1"/>
        <v>1798.6977711692218</v>
      </c>
      <c r="M130" s="19" t="e">
        <f ca="1"/>
        <v>#VALUE!</v>
      </c>
      <c r="N130" s="8" t="e">
        <f ca="1"/>
        <v>#VALUE!</v>
      </c>
    </row>
    <row r="131" spans="9:14" x14ac:dyDescent="0.3">
      <c r="I131" s="8">
        <v>12.8</v>
      </c>
      <c r="J131" s="8">
        <f ca="1"/>
        <v>-1.0664946807433038</v>
      </c>
      <c r="K131" s="8">
        <f ca="1"/>
        <v>-0.59386466325582465</v>
      </c>
      <c r="L131" s="8">
        <f ca="1"/>
        <v>2001.1307798063995</v>
      </c>
      <c r="M131" s="19" t="e">
        <f ca="1"/>
        <v>#VALUE!</v>
      </c>
      <c r="N131" s="8" t="e">
        <f ca="1"/>
        <v>#VALUE!</v>
      </c>
    </row>
    <row r="132" spans="9:14" x14ac:dyDescent="0.3">
      <c r="I132" s="8">
        <v>12.9</v>
      </c>
      <c r="J132" s="8">
        <f ca="1"/>
        <v>-1.0664946807433038</v>
      </c>
      <c r="K132" s="8">
        <f ca="1"/>
        <v>-0.59752846184099884</v>
      </c>
      <c r="L132" s="8">
        <f ca="1"/>
        <v>2226.3464502394813</v>
      </c>
      <c r="M132" s="19" t="e">
        <f ca="1"/>
        <v>#VALUE!</v>
      </c>
      <c r="N132" s="8" t="e">
        <f ca="1"/>
        <v>#VALUE!</v>
      </c>
    </row>
    <row r="133" spans="9:14" x14ac:dyDescent="0.3">
      <c r="I133" s="8">
        <v>13</v>
      </c>
      <c r="J133" s="8">
        <f ca="1"/>
        <v>-1.0664946807433038</v>
      </c>
      <c r="K133" s="8">
        <f ca="1"/>
        <v>-0.60113589429409353</v>
      </c>
      <c r="L133" s="8">
        <f ca="1"/>
        <v>2476.9088389942981</v>
      </c>
      <c r="M133" s="19" t="e">
        <f ca="1"/>
        <v>#VALUE!</v>
      </c>
      <c r="N133" s="8" t="e">
        <f ca="1"/>
        <v>#VALUE!</v>
      </c>
    </row>
    <row r="134" spans="9:14" x14ac:dyDescent="0.3">
      <c r="I134" s="8">
        <v>13.100000000000001</v>
      </c>
      <c r="J134" s="8">
        <f ca="1"/>
        <v>-1.2427548720316743</v>
      </c>
      <c r="K134" s="8">
        <f ca="1"/>
        <v>-0.60603374908598351</v>
      </c>
      <c r="L134" s="8">
        <f ca="1"/>
        <v>2804.6726617677145</v>
      </c>
      <c r="M134" s="19" t="e">
        <f ca="1"/>
        <v>#VALUE!</v>
      </c>
      <c r="N134" s="8" t="e">
        <f ca="1"/>
        <v>#VALUE!</v>
      </c>
    </row>
    <row r="135" spans="9:14" x14ac:dyDescent="0.3">
      <c r="I135" s="8">
        <v>13.200000000000001</v>
      </c>
      <c r="J135" s="8">
        <f ca="1"/>
        <v>-1.2427548720316743</v>
      </c>
      <c r="K135" s="8">
        <f ca="1"/>
        <v>-0.61085739395678429</v>
      </c>
      <c r="L135" s="8">
        <f ca="1"/>
        <v>3175.8087402489991</v>
      </c>
      <c r="M135" s="19" t="e">
        <f ca="1"/>
        <v>#VALUE!</v>
      </c>
      <c r="N135" s="8" t="e">
        <f ca="1"/>
        <v>#VALUE!</v>
      </c>
    </row>
    <row r="136" spans="9:14" x14ac:dyDescent="0.3">
      <c r="I136" s="8">
        <v>13.3</v>
      </c>
      <c r="J136" s="8">
        <f ca="1"/>
        <v>-1.2427548720316743</v>
      </c>
      <c r="K136" s="8">
        <f ca="1"/>
        <v>-0.61560850281449009</v>
      </c>
      <c r="L136" s="8">
        <f ca="1"/>
        <v>3596.0564283011377</v>
      </c>
      <c r="M136" s="19" t="e">
        <f ca="1"/>
        <v>#VALUE!</v>
      </c>
      <c r="N136" s="8" t="e">
        <f ca="1"/>
        <v>#VALUE!</v>
      </c>
    </row>
    <row r="137" spans="9:14" x14ac:dyDescent="0.3">
      <c r="I137" s="8">
        <v>13.4</v>
      </c>
      <c r="J137" s="8">
        <f ca="1"/>
        <v>-1.2427548720316743</v>
      </c>
      <c r="K137" s="8">
        <f ca="1"/>
        <v>-0.62028869959969302</v>
      </c>
      <c r="L137" s="8">
        <f ca="1"/>
        <v>4071.9145556987819</v>
      </c>
      <c r="M137" s="19" t="e">
        <f ca="1"/>
        <v>#VALUE!</v>
      </c>
      <c r="N137" s="8" t="e">
        <f ca="1"/>
        <v>#VALUE!</v>
      </c>
    </row>
    <row r="138" spans="9:14" x14ac:dyDescent="0.3">
      <c r="I138" s="8">
        <v>13.5</v>
      </c>
      <c r="J138" s="8">
        <f ca="1"/>
        <v>-1.2427548720316743</v>
      </c>
      <c r="K138" s="8">
        <f ca="1"/>
        <v>-0.62489956013622616</v>
      </c>
      <c r="L138" s="8">
        <f ca="1"/>
        <v>4610.7419278552961</v>
      </c>
      <c r="M138" s="19" t="e">
        <f ca="1"/>
        <v>#VALUE!</v>
      </c>
      <c r="N138" s="8" t="e">
        <f ca="1"/>
        <v>#VALUE!</v>
      </c>
    </row>
    <row r="139" spans="9:14" x14ac:dyDescent="0.3">
      <c r="I139" s="8">
        <v>13.600000000000001</v>
      </c>
      <c r="J139" s="8">
        <f ca="1"/>
        <v>-1.2427548720316743</v>
      </c>
      <c r="K139" s="8">
        <f ca="1"/>
        <v>-0.62944261390016343</v>
      </c>
      <c r="L139" s="8">
        <f ca="1"/>
        <v>5220.8711245005888</v>
      </c>
      <c r="M139" s="19" t="e">
        <f ca="1"/>
        <v>#VALUE!</v>
      </c>
      <c r="N139" s="8" t="e">
        <f ca="1"/>
        <v>#VALUE!</v>
      </c>
    </row>
    <row r="140" spans="9:14" x14ac:dyDescent="0.3">
      <c r="I140" s="8">
        <v>13.700000000000001</v>
      </c>
      <c r="J140" s="8">
        <f ca="1"/>
        <v>-1.2427548720316743</v>
      </c>
      <c r="K140" s="8">
        <f ca="1"/>
        <v>-0.63391934571134234</v>
      </c>
      <c r="L140" s="8">
        <f ca="1"/>
        <v>5911.7373570588152</v>
      </c>
      <c r="M140" s="19" t="e">
        <f ca="1"/>
        <v>#VALUE!</v>
      </c>
      <c r="N140" s="8" t="e">
        <f ca="1"/>
        <v>#VALUE!</v>
      </c>
    </row>
    <row r="141" spans="9:14" x14ac:dyDescent="0.3">
      <c r="I141" s="8">
        <v>13.8</v>
      </c>
      <c r="J141" s="8">
        <f ca="1"/>
        <v>-1.2427548720316743</v>
      </c>
      <c r="K141" s="8">
        <f ca="1"/>
        <v>-0.63833119735134458</v>
      </c>
      <c r="L141" s="8">
        <f ca="1"/>
        <v>6694.0243774301371</v>
      </c>
      <c r="M141" s="19" t="e">
        <f ca="1"/>
        <v>#VALUE!</v>
      </c>
      <c r="N141" s="8" t="e">
        <f ca="1"/>
        <v>#VALUE!</v>
      </c>
    </row>
    <row r="142" spans="9:14" x14ac:dyDescent="0.3">
      <c r="I142" s="8">
        <v>13.9</v>
      </c>
      <c r="J142" s="8">
        <f ca="1"/>
        <v>-1.2427548720316743</v>
      </c>
      <c r="K142" s="8">
        <f ca="1"/>
        <v>-0.64267956911163482</v>
      </c>
      <c r="L142" s="8">
        <f ca="1"/>
        <v>7579.8296945858328</v>
      </c>
      <c r="M142" s="19" t="e">
        <f ca="1"/>
        <v>#VALUE!</v>
      </c>
      <c r="N142" s="8" t="e">
        <f ca="1"/>
        <v>#VALUE!</v>
      </c>
    </row>
    <row r="143" spans="9:14" x14ac:dyDescent="0.3">
      <c r="I143" s="8">
        <v>14</v>
      </c>
      <c r="J143" s="8">
        <f ca="1"/>
        <v>-1.2427548720316743</v>
      </c>
      <c r="K143" s="8">
        <f ca="1"/>
        <v>-0.64696582127534941</v>
      </c>
      <c r="L143" s="8">
        <f ca="1"/>
        <v>8582.8516538817166</v>
      </c>
      <c r="M143" s="19" t="e">
        <f ca="1"/>
        <v>#VALUE!</v>
      </c>
      <c r="N143" s="8" t="e">
        <f ca="1"/>
        <v>#VALUE!</v>
      </c>
    </row>
    <row r="144" spans="9:14" x14ac:dyDescent="0.3">
      <c r="I144" s="8">
        <v>14.100000000000001</v>
      </c>
      <c r="J144" s="8">
        <f ca="1"/>
        <v>-2.1577306677911183</v>
      </c>
      <c r="K144" s="8">
        <f ca="1"/>
        <v>-0.65768046557687976</v>
      </c>
      <c r="L144" s="8">
        <f ca="1"/>
        <v>10649.780542994793</v>
      </c>
      <c r="M144" s="19" t="e">
        <f ca="1"/>
        <v>#VALUE!</v>
      </c>
      <c r="N144" s="8" t="e">
        <f ca="1"/>
        <v>#VALUE!</v>
      </c>
    </row>
    <row r="145" spans="9:14" x14ac:dyDescent="0.3">
      <c r="I145" s="8">
        <v>14.200000000000001</v>
      </c>
      <c r="J145" s="8">
        <f ca="1"/>
        <v>-2.1577306677911183</v>
      </c>
      <c r="K145" s="8">
        <f ca="1"/>
        <v>-0.6682441993952899</v>
      </c>
      <c r="L145" s="8">
        <f ca="1"/>
        <v>13214.468825485599</v>
      </c>
      <c r="M145" s="19" t="e">
        <f ca="1"/>
        <v>#VALUE!</v>
      </c>
      <c r="N145" s="8" t="e">
        <f ca="1"/>
        <v>#VALUE!</v>
      </c>
    </row>
    <row r="146" spans="9:14" x14ac:dyDescent="0.3">
      <c r="I146" s="8">
        <v>14.3</v>
      </c>
      <c r="J146" s="8">
        <f ca="1"/>
        <v>-2.1577306677911183</v>
      </c>
      <c r="K146" s="8">
        <f ca="1"/>
        <v>-0.67866018868477118</v>
      </c>
      <c r="L146" s="8">
        <f ca="1"/>
        <v>16396.787298549327</v>
      </c>
      <c r="M146" s="19" t="e">
        <f ca="1"/>
        <v>#VALUE!</v>
      </c>
      <c r="N146" s="8" t="e">
        <f ca="1"/>
        <v>#VALUE!</v>
      </c>
    </row>
    <row r="147" spans="9:14" x14ac:dyDescent="0.3">
      <c r="I147" s="8">
        <v>14.4</v>
      </c>
      <c r="J147" s="8">
        <f ca="1"/>
        <v>-2.1577306677911183</v>
      </c>
      <c r="K147" s="8">
        <f ca="1"/>
        <v>-0.68893151145634302</v>
      </c>
      <c r="L147" s="8">
        <f ca="1"/>
        <v>20345.47413629766</v>
      </c>
      <c r="M147" s="19" t="e">
        <f ca="1"/>
        <v>#VALUE!</v>
      </c>
      <c r="N147" s="8" t="e">
        <f ca="1"/>
        <v>#VALUE!</v>
      </c>
    </row>
    <row r="148" spans="9:14" x14ac:dyDescent="0.3">
      <c r="I148" s="8">
        <v>14.5</v>
      </c>
      <c r="J148" s="8">
        <f ca="1"/>
        <v>-2.1577306677911183</v>
      </c>
      <c r="K148" s="8">
        <f ca="1"/>
        <v>-0.69906116081037584</v>
      </c>
      <c r="L148" s="8">
        <f ca="1"/>
        <v>25245.086753515341</v>
      </c>
      <c r="M148" s="19" t="e">
        <f ca="1"/>
        <v>#VALUE!</v>
      </c>
      <c r="N148" s="8" t="e">
        <f ca="1"/>
        <v>#VALUE!</v>
      </c>
    </row>
    <row r="149" spans="9:14" x14ac:dyDescent="0.3">
      <c r="I149" s="8">
        <v>14.600000000000001</v>
      </c>
      <c r="J149" s="8">
        <f ca="1"/>
        <v>-2.1577306677911183</v>
      </c>
      <c r="K149" s="8">
        <f ca="1"/>
        <v>-0.70905204784449072</v>
      </c>
      <c r="L149" s="8">
        <f ca="1"/>
        <v>31324.627822529877</v>
      </c>
      <c r="M149" s="19" t="e">
        <f ca="1"/>
        <v>#VALUE!</v>
      </c>
      <c r="N149" s="8" t="e">
        <f ca="1"/>
        <v>#VALUE!</v>
      </c>
    </row>
    <row r="150" spans="9:14" x14ac:dyDescent="0.3">
      <c r="I150" s="8">
        <v>14.700000000000001</v>
      </c>
      <c r="J150" s="8">
        <f ca="1"/>
        <v>-2.1577306677911183</v>
      </c>
      <c r="K150" s="8">
        <f ca="1"/>
        <v>-0.71890700444276701</v>
      </c>
      <c r="L150" s="8">
        <f ca="1"/>
        <v>38868.248614099182</v>
      </c>
      <c r="M150" s="19" t="e">
        <f ca="1"/>
        <v>#VALUE!</v>
      </c>
      <c r="N150" s="8" t="e">
        <f ca="1"/>
        <v>#VALUE!</v>
      </c>
    </row>
    <row r="151" spans="9:14" x14ac:dyDescent="0.3">
      <c r="I151" s="8">
        <v>14.8</v>
      </c>
      <c r="J151" s="8">
        <f ca="1"/>
        <v>-2.1577306677911183</v>
      </c>
      <c r="K151" s="8">
        <f ca="1"/>
        <v>-0.72862878595187752</v>
      </c>
      <c r="L151" s="8">
        <f ca="1"/>
        <v>48228.529924968054</v>
      </c>
      <c r="M151" s="19" t="e">
        <f ca="1"/>
        <v>#VALUE!</v>
      </c>
      <c r="N151" s="8" t="e">
        <f ca="1"/>
        <v>#VALUE!</v>
      </c>
    </row>
    <row r="152" spans="9:14" x14ac:dyDescent="0.3">
      <c r="I152" s="8">
        <v>14.9</v>
      </c>
      <c r="J152" s="8">
        <f ca="1"/>
        <v>-2.1577306677911183</v>
      </c>
      <c r="K152" s="8">
        <f ca="1"/>
        <v>-0.7382200737494562</v>
      </c>
      <c r="L152" s="8">
        <f ca="1"/>
        <v>59842.961328585945</v>
      </c>
      <c r="M152" s="19" t="e">
        <f ca="1"/>
        <v>#VALUE!</v>
      </c>
      <c r="N152" s="8" t="e">
        <f ca="1"/>
        <v>#VALUE!</v>
      </c>
    </row>
    <row r="153" spans="9:14" x14ac:dyDescent="0.3">
      <c r="I153" s="8">
        <v>15</v>
      </c>
      <c r="J153" s="8">
        <f ca="1"/>
        <v>-2.1577306677911183</v>
      </c>
      <c r="K153" s="8">
        <f ca="1"/>
        <v>-0.74768347770973398</v>
      </c>
      <c r="L153" s="8">
        <f ca="1"/>
        <v>74254.388971554639</v>
      </c>
      <c r="M153" s="19" t="e">
        <f ca="1"/>
        <v>#VALUE!</v>
      </c>
      <c r="N153" s="8" t="e">
        <f ca="1"/>
        <v>#VALUE!</v>
      </c>
    </row>
    <row r="154" spans="9:14" x14ac:dyDescent="0.3">
      <c r="I154" s="8">
        <v>15.100000000000001</v>
      </c>
      <c r="J154" s="8">
        <f ca="1"/>
        <v>-2.7092278887247003</v>
      </c>
      <c r="K154" s="8">
        <f ca="1"/>
        <v>-0.7606738380475816</v>
      </c>
      <c r="L154" s="8">
        <f ca="1"/>
        <v>97360.411527673132</v>
      </c>
      <c r="M154" s="19" t="e">
        <f ca="1"/>
        <v>#VALUE!</v>
      </c>
      <c r="N154" s="8" t="e">
        <f ca="1"/>
        <v>#VALUE!</v>
      </c>
    </row>
    <row r="155" spans="9:14" x14ac:dyDescent="0.3">
      <c r="I155" s="8">
        <v>15.200000000000001</v>
      </c>
      <c r="J155" s="8">
        <f ca="1"/>
        <v>-2.7092278887247003</v>
      </c>
      <c r="K155" s="8">
        <f ca="1"/>
        <v>-0.77349327259151013</v>
      </c>
      <c r="L155" s="8">
        <f ca="1"/>
        <v>127656.42360169168</v>
      </c>
      <c r="M155" s="19" t="e">
        <f ca="1"/>
        <v>#VALUE!</v>
      </c>
      <c r="N155" s="8" t="e">
        <f ca="1"/>
        <v>#VALUE!</v>
      </c>
    </row>
    <row r="156" spans="9:14" x14ac:dyDescent="0.3">
      <c r="I156" s="8">
        <v>15.3</v>
      </c>
      <c r="J156" s="8">
        <f ca="1"/>
        <v>-2.7092278887247003</v>
      </c>
      <c r="K156" s="8">
        <f ca="1"/>
        <v>-0.78614513282767462</v>
      </c>
      <c r="L156" s="8">
        <f ca="1"/>
        <v>167379.76176428868</v>
      </c>
      <c r="M156" s="19" t="e">
        <f ca="1"/>
        <v>#VALUE!</v>
      </c>
      <c r="N156" s="8" t="e">
        <f ca="1"/>
        <v>#VALUE!</v>
      </c>
    </row>
    <row r="157" spans="9:14" x14ac:dyDescent="0.3">
      <c r="I157" s="8">
        <v>15.4</v>
      </c>
      <c r="J157" s="8">
        <f ca="1"/>
        <v>-2.7092278887247003</v>
      </c>
      <c r="K157" s="8">
        <f ca="1"/>
        <v>-0.79863268319064229</v>
      </c>
      <c r="L157" s="8">
        <f ca="1"/>
        <v>219463.96317418542</v>
      </c>
      <c r="M157" s="19" t="e">
        <f ca="1"/>
        <v>#VALUE!</v>
      </c>
      <c r="N157" s="8" t="e">
        <f ca="1"/>
        <v>#VALUE!</v>
      </c>
    </row>
    <row r="158" spans="9:14" x14ac:dyDescent="0.3">
      <c r="I158" s="8">
        <v>15.5</v>
      </c>
      <c r="J158" s="8">
        <f ca="1"/>
        <v>-2.7092278887247003</v>
      </c>
      <c r="K158" s="8">
        <f ca="1"/>
        <v>-0.81095910387150716</v>
      </c>
      <c r="L158" s="8">
        <f ca="1"/>
        <v>287755.404981083</v>
      </c>
      <c r="M158" s="19" t="e">
        <f ca="1"/>
        <v>#VALUE!</v>
      </c>
      <c r="N158" s="8" t="e">
        <f ca="1"/>
        <v>#VALUE!</v>
      </c>
    </row>
    <row r="159" spans="9:14" x14ac:dyDescent="0.3">
      <c r="I159" s="8">
        <v>15.600000000000001</v>
      </c>
      <c r="J159" s="8">
        <f ca="1"/>
        <v>-2.7092278887247003</v>
      </c>
      <c r="K159" s="8">
        <f ca="1"/>
        <v>-0.82312749351800218</v>
      </c>
      <c r="L159" s="8">
        <f ca="1"/>
        <v>377297.35624115565</v>
      </c>
      <c r="M159" s="19" t="e">
        <f ca="1"/>
        <v>#VALUE!</v>
      </c>
      <c r="N159" s="8" t="e">
        <f ca="1"/>
        <v>#VALUE!</v>
      </c>
    </row>
    <row r="160" spans="9:14" x14ac:dyDescent="0.3">
      <c r="I160" s="8">
        <v>15.700000000000001</v>
      </c>
      <c r="J160" s="8">
        <f ca="1"/>
        <v>-2.7092278887247003</v>
      </c>
      <c r="K160" s="8">
        <f ca="1"/>
        <v>-0.83514087183142049</v>
      </c>
      <c r="L160" s="8">
        <f ca="1"/>
        <v>494702.41935481533</v>
      </c>
      <c r="M160" s="19" t="e">
        <f ca="1"/>
        <v>#VALUE!</v>
      </c>
      <c r="N160" s="8" t="e">
        <f ca="1"/>
        <v>#VALUE!</v>
      </c>
    </row>
    <row r="161" spans="9:14" x14ac:dyDescent="0.3">
      <c r="I161" s="8">
        <v>15.8</v>
      </c>
      <c r="J161" s="8">
        <f ca="1"/>
        <v>-2.7092278887247003</v>
      </c>
      <c r="K161" s="8">
        <f ca="1"/>
        <v>-0.84700218206492228</v>
      </c>
      <c r="L161" s="8">
        <f ca="1"/>
        <v>648640.86553281895</v>
      </c>
      <c r="M161" s="19" t="e">
        <f ca="1"/>
        <v>#VALUE!</v>
      </c>
      <c r="N161" s="8" t="e">
        <f ca="1"/>
        <v>#VALUE!</v>
      </c>
    </row>
    <row r="162" spans="9:14" x14ac:dyDescent="0.3">
      <c r="I162" s="8">
        <v>15.9</v>
      </c>
      <c r="J162" s="8">
        <f ca="1"/>
        <v>-2.7092278887247003</v>
      </c>
      <c r="K162" s="8">
        <f ca="1"/>
        <v>-0.85871429342756234</v>
      </c>
      <c r="L162" s="8">
        <f ca="1"/>
        <v>850480.92747935257</v>
      </c>
      <c r="M162" s="19" t="e">
        <f ca="1"/>
        <v>#VALUE!</v>
      </c>
      <c r="N162" s="8" t="e">
        <f ca="1"/>
        <v>#VALUE!</v>
      </c>
    </row>
    <row r="163" spans="9:14" x14ac:dyDescent="0.3">
      <c r="I163" s="8">
        <v>16</v>
      </c>
      <c r="J163" s="8">
        <f ca="1"/>
        <v>-2.7092278887247003</v>
      </c>
      <c r="K163" s="8">
        <f ca="1"/>
        <v>-0.87028000339816947</v>
      </c>
      <c r="L163" s="8">
        <f ca="1"/>
        <v>1115128.3344011584</v>
      </c>
      <c r="M163" s="19" t="e">
        <f ca="1"/>
        <v>#VALUE!</v>
      </c>
      <c r="N163" s="8" t="e">
        <f ca="1"/>
        <v>#VALUE!</v>
      </c>
    </row>
    <row r="164" spans="9:14" x14ac:dyDescent="0.3">
      <c r="I164" s="8">
        <v>16.100000000000001</v>
      </c>
      <c r="J164" s="8">
        <f ca="1"/>
        <v>-2.8728954921763323</v>
      </c>
      <c r="K164" s="8">
        <f ca="1"/>
        <v>-0.88271860891853093</v>
      </c>
      <c r="L164" s="8">
        <f ca="1"/>
        <v>1486254.2753547099</v>
      </c>
      <c r="M164" s="19" t="e">
        <f ca="1"/>
        <v>#VALUE!</v>
      </c>
      <c r="N164" s="8" t="e">
        <f ca="1"/>
        <v>#VALUE!</v>
      </c>
    </row>
    <row r="165" spans="9:14" x14ac:dyDescent="0.3">
      <c r="I165" s="8">
        <v>16.2</v>
      </c>
      <c r="J165" s="8">
        <f ca="1"/>
        <v>-2.8728954921763323</v>
      </c>
      <c r="K165" s="8">
        <f ca="1"/>
        <v>-0.89500365140777638</v>
      </c>
      <c r="L165" s="8">
        <f ca="1"/>
        <v>1980894.6673356395</v>
      </c>
      <c r="M165" s="19" t="e">
        <f ca="1"/>
        <v>#VALUE!</v>
      </c>
      <c r="N165" s="8" t="e">
        <f ca="1"/>
        <v>#VALUE!</v>
      </c>
    </row>
    <row r="166" spans="9:14" x14ac:dyDescent="0.3">
      <c r="I166" s="8">
        <v>16.3</v>
      </c>
      <c r="J166" s="8">
        <f ca="1"/>
        <v>-2.8728954921763323</v>
      </c>
      <c r="K166" s="8">
        <f ca="1"/>
        <v>-0.90713795717936274</v>
      </c>
      <c r="L166" s="8">
        <f ca="1"/>
        <v>2640156.3636493599</v>
      </c>
      <c r="M166" s="19" t="e">
        <f ca="1"/>
        <v>#VALUE!</v>
      </c>
      <c r="N166" s="8" t="e">
        <f ca="1"/>
        <v>#VALUE!</v>
      </c>
    </row>
    <row r="167" spans="9:14" x14ac:dyDescent="0.3">
      <c r="I167" s="8">
        <v>16.400000000000002</v>
      </c>
      <c r="J167" s="8">
        <f ca="1"/>
        <v>-2.8728954921763323</v>
      </c>
      <c r="K167" s="8">
        <f ca="1"/>
        <v>-0.91912428361227128</v>
      </c>
      <c r="L167" s="8">
        <f ca="1"/>
        <v>3518826.9923981614</v>
      </c>
      <c r="M167" s="19" t="e">
        <f ca="1"/>
        <v>#VALUE!</v>
      </c>
      <c r="N167" s="8" t="e">
        <f ca="1"/>
        <v>#VALUE!</v>
      </c>
    </row>
    <row r="168" spans="9:14" x14ac:dyDescent="0.3">
      <c r="I168" s="8">
        <v>16.5</v>
      </c>
      <c r="J168" s="8">
        <f ca="1"/>
        <v>-2.8728954921763323</v>
      </c>
      <c r="K168" s="8">
        <f ca="1"/>
        <v>-0.93096532123993203</v>
      </c>
      <c r="L168" s="8">
        <f ca="1"/>
        <v>4689928.0561225964</v>
      </c>
      <c r="M168" s="19" t="e">
        <f ca="1"/>
        <v>#VALUE!</v>
      </c>
      <c r="N168" s="8" t="e">
        <f ca="1"/>
        <v>#VALUE!</v>
      </c>
    </row>
    <row r="169" spans="9:14" x14ac:dyDescent="0.3">
      <c r="I169" s="8">
        <v>16.600000000000001</v>
      </c>
      <c r="J169" s="8">
        <f ca="1"/>
        <v>-2.8728954921763323</v>
      </c>
      <c r="K169" s="8">
        <f ca="1"/>
        <v>-0.94266369576364539</v>
      </c>
      <c r="L169" s="8">
        <f ca="1"/>
        <v>6250783.3488612892</v>
      </c>
      <c r="M169" s="19" t="e">
        <f ca="1"/>
        <v>#VALUE!</v>
      </c>
      <c r="N169" s="8" t="e">
        <f ca="1"/>
        <v>#VALUE!</v>
      </c>
    </row>
    <row r="170" spans="9:14" x14ac:dyDescent="0.3">
      <c r="I170" s="8">
        <v>16.7</v>
      </c>
      <c r="J170" s="8">
        <f ca="1"/>
        <v>-2.8728954921763323</v>
      </c>
      <c r="K170" s="8">
        <f ca="1"/>
        <v>-0.95422196999366116</v>
      </c>
      <c r="L170" s="8">
        <f ca="1"/>
        <v>8331107.0035271058</v>
      </c>
      <c r="M170" s="19" t="e">
        <f ca="1"/>
        <v>#VALUE!</v>
      </c>
      <c r="N170" s="8" t="e">
        <f ca="1"/>
        <v>#VALUE!</v>
      </c>
    </row>
    <row r="171" spans="9:14" x14ac:dyDescent="0.3">
      <c r="I171" s="8">
        <v>16.8</v>
      </c>
      <c r="J171" s="8">
        <f ca="1"/>
        <v>-2.8728954921763323</v>
      </c>
      <c r="K171" s="8">
        <f ca="1"/>
        <v>-0.96564264572093916</v>
      </c>
      <c r="L171" s="8">
        <f ca="1"/>
        <v>11103783.322911551</v>
      </c>
      <c r="M171" s="19" t="e">
        <f ca="1"/>
        <v>#VALUE!</v>
      </c>
      <c r="N171" s="8" t="e">
        <f ca="1"/>
        <v>#VALUE!</v>
      </c>
    </row>
    <row r="172" spans="9:14" x14ac:dyDescent="0.3">
      <c r="I172" s="8">
        <v>16.900000000000002</v>
      </c>
      <c r="J172" s="8">
        <f ca="1"/>
        <v>-2.8728954921763323</v>
      </c>
      <c r="K172" s="8">
        <f ca="1"/>
        <v>-0.97692816552245054</v>
      </c>
      <c r="L172" s="8">
        <f ca="1"/>
        <v>14799234.247017821</v>
      </c>
      <c r="M172" s="19" t="e">
        <f ca="1"/>
        <v>#VALUE!</v>
      </c>
      <c r="N172" s="8" t="e">
        <f ca="1"/>
        <v>#VALUE!</v>
      </c>
    </row>
    <row r="173" spans="9:14" x14ac:dyDescent="0.3">
      <c r="I173" s="8">
        <v>17</v>
      </c>
      <c r="J173" s="8">
        <f ca="1"/>
        <v>-2.8728954921763323</v>
      </c>
      <c r="K173" s="8">
        <f ca="1"/>
        <v>-0.98808091450276736</v>
      </c>
      <c r="L173" s="8">
        <f ca="1"/>
        <v>19724568.45822835</v>
      </c>
      <c r="M173" s="19" t="e">
        <f ca="1"/>
        <v>#VALUE!</v>
      </c>
      <c r="N173" s="8" t="e">
        <f ca="1"/>
        <v>#VALUE!</v>
      </c>
    </row>
    <row r="174" spans="9:14" x14ac:dyDescent="0.3">
      <c r="I174" s="8">
        <v>17.100000000000001</v>
      </c>
      <c r="J174" s="8">
        <f ca="1"/>
        <v>-3.803601781060971</v>
      </c>
      <c r="K174" s="8">
        <f ca="1"/>
        <v>-1.0045459488101254</v>
      </c>
      <c r="L174" s="8">
        <f ca="1"/>
        <v>28853322.95360275</v>
      </c>
      <c r="M174" s="19" t="e">
        <f ca="1"/>
        <v>#VALUE!</v>
      </c>
      <c r="N174" s="8" t="e">
        <f ca="1"/>
        <v>#VALUE!</v>
      </c>
    </row>
    <row r="175" spans="9:14" x14ac:dyDescent="0.3">
      <c r="I175" s="8">
        <v>17.2</v>
      </c>
      <c r="J175" s="8">
        <f ca="1"/>
        <v>-3.803601781060971</v>
      </c>
      <c r="K175" s="8">
        <f ca="1"/>
        <v>-1.0208195292301883</v>
      </c>
      <c r="L175" s="8">
        <f ca="1"/>
        <v>42206968.797717683</v>
      </c>
      <c r="M175" s="19" t="e">
        <f ca="1"/>
        <v>#VALUE!</v>
      </c>
      <c r="N175" s="8" t="e">
        <f ca="1"/>
        <v>#VALUE!</v>
      </c>
    </row>
    <row r="176" spans="9:14" x14ac:dyDescent="0.3">
      <c r="I176" s="8">
        <v>17.3</v>
      </c>
      <c r="J176" s="8">
        <f ca="1"/>
        <v>-3.803601781060971</v>
      </c>
      <c r="K176" s="8">
        <f ca="1"/>
        <v>-1.036904975772563</v>
      </c>
      <c r="L176" s="8">
        <f ca="1"/>
        <v>61740833.731911451</v>
      </c>
      <c r="M176" s="19" t="e">
        <f ca="1"/>
        <v>#VALUE!</v>
      </c>
      <c r="N176" s="8" t="e">
        <f ca="1"/>
        <v>#VALUE!</v>
      </c>
    </row>
    <row r="177" spans="9:14" x14ac:dyDescent="0.3">
      <c r="I177" s="8">
        <v>17.400000000000002</v>
      </c>
      <c r="J177" s="8">
        <f ca="1"/>
        <v>-3.803601781060971</v>
      </c>
      <c r="K177" s="8">
        <f ca="1"/>
        <v>-1.0528055321247953</v>
      </c>
      <c r="L177" s="8">
        <f ca="1"/>
        <v>90315193.402793407</v>
      </c>
      <c r="M177" s="19" t="e">
        <f ca="1"/>
        <v>#VALUE!</v>
      </c>
      <c r="N177" s="8" t="e">
        <f ca="1"/>
        <v>#VALUE!</v>
      </c>
    </row>
    <row r="178" spans="9:14" x14ac:dyDescent="0.3">
      <c r="I178" s="8">
        <v>17.5</v>
      </c>
      <c r="J178" s="8">
        <f ca="1"/>
        <v>-3.803601781060971</v>
      </c>
      <c r="K178" s="8">
        <f ca="1"/>
        <v>-1.0685243678330016</v>
      </c>
      <c r="L178" s="8">
        <f ca="1"/>
        <v>132114091.5395171</v>
      </c>
      <c r="M178" s="19" t="e">
        <f ca="1"/>
        <v>#VALUE!</v>
      </c>
      <c r="N178" s="8" t="e">
        <f ca="1"/>
        <v>#VALUE!</v>
      </c>
    </row>
    <row r="179" spans="9:14" x14ac:dyDescent="0.3">
      <c r="I179" s="8">
        <v>17.600000000000001</v>
      </c>
      <c r="J179" s="8">
        <f ca="1"/>
        <v>-3.803601781060971</v>
      </c>
      <c r="K179" s="8">
        <f ca="1"/>
        <v>-1.0840645804081608</v>
      </c>
      <c r="L179" s="8">
        <f ca="1"/>
        <v>193257994.86991203</v>
      </c>
      <c r="M179" s="19" t="e">
        <f ca="1"/>
        <v>#VALUE!</v>
      </c>
      <c r="N179" s="8" t="e">
        <f ca="1"/>
        <v>#VALUE!</v>
      </c>
    </row>
    <row r="180" spans="9:14" x14ac:dyDescent="0.3">
      <c r="I180" s="8">
        <v>17.7</v>
      </c>
      <c r="J180" s="8">
        <f ca="1"/>
        <v>-3.803601781060971</v>
      </c>
      <c r="K180" s="8">
        <f ca="1"/>
        <v>-1.0994291973610013</v>
      </c>
      <c r="L180" s="8">
        <f ca="1"/>
        <v>282699991.69594294</v>
      </c>
      <c r="M180" s="19" t="e">
        <f ca="1"/>
        <v>#VALUE!</v>
      </c>
      <c r="N180" s="8" t="e">
        <f ca="1"/>
        <v>#VALUE!</v>
      </c>
    </row>
    <row r="181" spans="9:14" x14ac:dyDescent="0.3">
      <c r="I181" s="8">
        <v>17.8</v>
      </c>
      <c r="J181" s="8">
        <f ca="1"/>
        <v>-3.803601781060971</v>
      </c>
      <c r="K181" s="8">
        <f ca="1"/>
        <v>-1.1146211781683046</v>
      </c>
      <c r="L181" s="8">
        <f ca="1"/>
        <v>413536761.35718644</v>
      </c>
      <c r="M181" s="19" t="e">
        <f ca="1"/>
        <v>#VALUE!</v>
      </c>
      <c r="N181" s="8" t="e">
        <f ca="1"/>
        <v>#VALUE!</v>
      </c>
    </row>
    <row r="182" spans="9:14" x14ac:dyDescent="0.3">
      <c r="I182" s="8">
        <v>17.900000000000002</v>
      </c>
      <c r="J182" s="8">
        <f ca="1"/>
        <v>-3.803601781060971</v>
      </c>
      <c r="K182" s="8">
        <f ca="1"/>
        <v>-1.1296434161732918</v>
      </c>
      <c r="L182" s="8">
        <f ca="1"/>
        <v>604926275.26399946</v>
      </c>
      <c r="M182" s="19" t="e">
        <f ca="1"/>
        <v>#VALUE!</v>
      </c>
      <c r="N182" s="8" t="e">
        <f ca="1"/>
        <v>#VALUE!</v>
      </c>
    </row>
    <row r="183" spans="9:14" x14ac:dyDescent="0.3">
      <c r="I183" s="8">
        <v>18</v>
      </c>
      <c r="J183" s="8">
        <f ca="1"/>
        <v>-3.803601781060971</v>
      </c>
      <c r="K183" s="8">
        <f ca="1"/>
        <v>-1.1444987404226674</v>
      </c>
      <c r="L183" s="8">
        <f ca="1"/>
        <v>884893031.76773453</v>
      </c>
      <c r="M183" s="19" t="e">
        <f ca="1"/>
        <v>#VALUE!</v>
      </c>
      <c r="N183" s="8" t="e">
        <f ca="1"/>
        <v>#VALUE!</v>
      </c>
    </row>
    <row r="184" spans="9:14" x14ac:dyDescent="0.3">
      <c r="I184" s="8">
        <v>18.100000000000001</v>
      </c>
      <c r="J184" s="8">
        <f ca="1"/>
        <v>-4.3964628221928406</v>
      </c>
      <c r="K184" s="8">
        <f ca="1"/>
        <v>-1.1624653928081383</v>
      </c>
      <c r="L184" s="8">
        <f ca="1"/>
        <v>1373493882.8947189</v>
      </c>
      <c r="M184" s="19" t="e">
        <f ca="1"/>
        <v>#VALUE!</v>
      </c>
      <c r="N184" s="8" t="e">
        <f ca="1"/>
        <v>#VALUE!</v>
      </c>
    </row>
    <row r="185" spans="9:14" x14ac:dyDescent="0.3">
      <c r="I185" s="8">
        <v>18.2</v>
      </c>
      <c r="J185" s="8">
        <f ca="1"/>
        <v>-4.3964628221928406</v>
      </c>
      <c r="K185" s="8">
        <f ca="1"/>
        <v>-1.1802346094531089</v>
      </c>
      <c r="L185" s="8">
        <f ca="1"/>
        <v>2131879649.4312844</v>
      </c>
      <c r="M185" s="19" t="e">
        <f ca="1"/>
        <v>#VALUE!</v>
      </c>
      <c r="N185" s="8" t="e">
        <f ca="1"/>
        <v>#VALUE!</v>
      </c>
    </row>
    <row r="186" spans="9:14" x14ac:dyDescent="0.3">
      <c r="I186" s="8">
        <v>18.3</v>
      </c>
      <c r="J186" s="8">
        <f ca="1"/>
        <v>-4.3964628221928406</v>
      </c>
      <c r="K186" s="8">
        <f ca="1"/>
        <v>-1.1978096270090637</v>
      </c>
      <c r="L186" s="8">
        <f ca="1"/>
        <v>3309014256.460072</v>
      </c>
      <c r="M186" s="19" t="e">
        <f ca="1"/>
        <v>#VALUE!</v>
      </c>
      <c r="N186" s="8" t="e">
        <f ca="1"/>
        <v>#VALUE!</v>
      </c>
    </row>
    <row r="187" spans="9:14" x14ac:dyDescent="0.3">
      <c r="I187" s="8">
        <v>18.400000000000002</v>
      </c>
      <c r="J187" s="8">
        <f ca="1"/>
        <v>-4.3964628221928406</v>
      </c>
      <c r="K187" s="8">
        <f ca="1"/>
        <v>-1.2151936117654978</v>
      </c>
      <c r="L187" s="8">
        <f ca="1"/>
        <v>5136113266.232935</v>
      </c>
      <c r="M187" s="19" t="e">
        <f ca="1"/>
        <v>#VALUE!</v>
      </c>
      <c r="N187" s="8" t="e">
        <f ca="1"/>
        <v>#VALUE!</v>
      </c>
    </row>
    <row r="188" spans="9:14" x14ac:dyDescent="0.3">
      <c r="I188" s="8">
        <v>18.5</v>
      </c>
      <c r="J188" s="8">
        <f ca="1"/>
        <v>-4.3964628221928406</v>
      </c>
      <c r="K188" s="8">
        <f ca="1"/>
        <v>-1.232389661551591</v>
      </c>
      <c r="L188" s="8">
        <f ca="1"/>
        <v>7972059785.5005579</v>
      </c>
      <c r="M188" s="19" t="e">
        <f ca="1"/>
        <v>#VALUE!</v>
      </c>
      <c r="N188" s="8" t="e">
        <f ca="1"/>
        <v>#VALUE!</v>
      </c>
    </row>
    <row r="189" spans="9:14" x14ac:dyDescent="0.3">
      <c r="I189" s="8">
        <v>18.600000000000001</v>
      </c>
      <c r="J189" s="8">
        <f ca="1"/>
        <v>-4.3964628221928406</v>
      </c>
      <c r="K189" s="8">
        <f ca="1"/>
        <v>-1.2494008075765444</v>
      </c>
      <c r="L189" s="8">
        <f ca="1"/>
        <v>12373897133.738611</v>
      </c>
      <c r="M189" s="19" t="e">
        <f ca="1"/>
        <v>#VALUE!</v>
      </c>
      <c r="N189" s="8" t="e">
        <f ca="1"/>
        <v>#VALUE!</v>
      </c>
    </row>
    <row r="190" spans="9:14" x14ac:dyDescent="0.3">
      <c r="I190" s="8">
        <v>18.7</v>
      </c>
      <c r="J190" s="8">
        <f ca="1"/>
        <v>-4.3964628221928406</v>
      </c>
      <c r="K190" s="8">
        <f ca="1"/>
        <v>-1.2662300162108557</v>
      </c>
      <c r="L190" s="8">
        <f ca="1"/>
        <v>19206244608.805061</v>
      </c>
      <c r="M190" s="19" t="e">
        <f ca="1"/>
        <v>#VALUE!</v>
      </c>
      <c r="N190" s="8" t="e">
        <f ca="1"/>
        <v>#VALUE!</v>
      </c>
    </row>
    <row r="191" spans="9:14" x14ac:dyDescent="0.3">
      <c r="I191" s="8">
        <v>18.8</v>
      </c>
      <c r="J191" s="8">
        <f ca="1"/>
        <v>-4.3964628221928406</v>
      </c>
      <c r="K191" s="8">
        <f ca="1"/>
        <v>-1.2828801907107601</v>
      </c>
      <c r="L191" s="8">
        <f ca="1"/>
        <v>29811128053.382095</v>
      </c>
      <c r="M191" s="19" t="e">
        <f ca="1"/>
        <v>#VALUE!</v>
      </c>
      <c r="N191" s="8" t="e">
        <f ca="1"/>
        <v>#VALUE!</v>
      </c>
    </row>
    <row r="192" spans="9:14" x14ac:dyDescent="0.3">
      <c r="I192" s="8">
        <v>18.900000000000002</v>
      </c>
      <c r="J192" s="8">
        <f ca="1"/>
        <v>-4.3964628221928406</v>
      </c>
      <c r="K192" s="8">
        <f ca="1"/>
        <v>-1.2993541728879141</v>
      </c>
      <c r="L192" s="8">
        <f ca="1"/>
        <v>46271583743.535194</v>
      </c>
      <c r="M192" s="19" t="e">
        <f ca="1"/>
        <v>#VALUE!</v>
      </c>
      <c r="N192" s="8" t="e">
        <f ca="1"/>
        <v>#VALUE!</v>
      </c>
    </row>
    <row r="193" spans="9:14" x14ac:dyDescent="0.3">
      <c r="I193" s="8">
        <v>19</v>
      </c>
      <c r="J193" s="8">
        <f ca="1"/>
        <v>-4.3964628221928406</v>
      </c>
      <c r="K193" s="8">
        <f ca="1"/>
        <v>-1.3156547447263609</v>
      </c>
      <c r="L193" s="8">
        <f ca="1"/>
        <v>71820813298.343231</v>
      </c>
      <c r="M193" s="19" t="e">
        <f ca="1"/>
        <v>#VALUE!</v>
      </c>
      <c r="N193" s="8" t="e">
        <f ca="1"/>
        <v>#VALUE!</v>
      </c>
    </row>
    <row r="194" spans="9:14" x14ac:dyDescent="0.3">
      <c r="I194" s="8">
        <v>19.100000000000001</v>
      </c>
      <c r="J194" s="8">
        <f ca="1"/>
        <v>-5.1230144774997015</v>
      </c>
      <c r="K194" s="8">
        <f ca="1"/>
        <v>-1.3355885653167974</v>
      </c>
      <c r="L194" s="8">
        <f ca="1"/>
        <v>119878144050.903</v>
      </c>
      <c r="M194" s="19" t="e">
        <f ca="1"/>
        <v>#VALUE!</v>
      </c>
      <c r="N194" s="8" t="e">
        <f ca="1"/>
        <v>#VALUE!</v>
      </c>
    </row>
    <row r="195" spans="9:14" x14ac:dyDescent="0.3">
      <c r="I195" s="8">
        <v>19.200000000000003</v>
      </c>
      <c r="J195" s="8">
        <f ca="1"/>
        <v>-5.1230144774997015</v>
      </c>
      <c r="K195" s="8">
        <f ca="1"/>
        <v>-1.3553147419427505</v>
      </c>
      <c r="L195" s="8">
        <f ca="1"/>
        <v>200091989509.9631</v>
      </c>
      <c r="M195" s="19" t="e">
        <f ca="1"/>
        <v>#VALUE!</v>
      </c>
      <c r="N195" s="8" t="e">
        <f ca="1"/>
        <v>#VALUE!</v>
      </c>
    </row>
    <row r="196" spans="9:14" x14ac:dyDescent="0.3">
      <c r="I196" s="8">
        <v>19.3</v>
      </c>
      <c r="J196" s="8">
        <f ca="1"/>
        <v>-5.1230144774997015</v>
      </c>
      <c r="K196" s="8">
        <f ca="1"/>
        <v>-1.3748365022306099</v>
      </c>
      <c r="L196" s="8">
        <f ca="1"/>
        <v>333979180133.56732</v>
      </c>
      <c r="M196" s="19" t="e">
        <f ca="1"/>
        <v>#VALUE!</v>
      </c>
      <c r="N196" s="8" t="e">
        <f ca="1"/>
        <v>#VALUE!</v>
      </c>
    </row>
    <row r="197" spans="9:14" x14ac:dyDescent="0.3">
      <c r="I197" s="8">
        <v>19.400000000000002</v>
      </c>
      <c r="J197" s="8">
        <f ca="1"/>
        <v>-5.1230144774997015</v>
      </c>
      <c r="K197" s="8">
        <f ca="1"/>
        <v>-1.3941570072577703</v>
      </c>
      <c r="L197" s="8">
        <f ca="1"/>
        <v>557454064182.50476</v>
      </c>
      <c r="M197" s="19" t="e">
        <f ca="1"/>
        <v>#VALUE!</v>
      </c>
      <c r="N197" s="8" t="e">
        <f ca="1"/>
        <v>#VALUE!</v>
      </c>
    </row>
    <row r="198" spans="9:14" x14ac:dyDescent="0.3">
      <c r="I198" s="8">
        <v>19.5</v>
      </c>
      <c r="J198" s="8">
        <f ca="1"/>
        <v>-5.1230144774997015</v>
      </c>
      <c r="K198" s="8">
        <f ca="1"/>
        <v>-1.4132793532590107</v>
      </c>
      <c r="L198" s="8">
        <f ca="1"/>
        <v>930462292737.25073</v>
      </c>
      <c r="M198" s="19" t="e">
        <f ca="1"/>
        <v>#VALUE!</v>
      </c>
      <c r="N198" s="8" t="e">
        <f ca="1"/>
        <v>#VALUE!</v>
      </c>
    </row>
    <row r="199" spans="9:14" x14ac:dyDescent="0.3">
      <c r="I199" s="8">
        <v>19.600000000000001</v>
      </c>
      <c r="J199" s="8">
        <f ca="1"/>
        <v>-5.1230144774997015</v>
      </c>
      <c r="K199" s="8">
        <f ca="1"/>
        <v>-1.432206573280647</v>
      </c>
      <c r="L199" s="8">
        <f ca="1"/>
        <v>1553060841839.0408</v>
      </c>
      <c r="M199" s="19" t="e">
        <f ca="1"/>
        <v>#VALUE!</v>
      </c>
      <c r="N199" s="8" t="e">
        <f ca="1"/>
        <v>#VALUE!</v>
      </c>
    </row>
    <row r="200" spans="9:14" x14ac:dyDescent="0.3">
      <c r="I200" s="8">
        <v>19.700000000000003</v>
      </c>
      <c r="J200" s="8">
        <f ca="1"/>
        <v>-5.1230144774997015</v>
      </c>
      <c r="K200" s="8">
        <f ca="1"/>
        <v>-1.4509416387842973</v>
      </c>
      <c r="L200" s="8">
        <f ca="1"/>
        <v>2592257630729.0552</v>
      </c>
      <c r="M200" s="19" t="e">
        <f ca="1"/>
        <v>#VALUE!</v>
      </c>
      <c r="N200" s="8" t="e">
        <f ca="1"/>
        <v>#VALUE!</v>
      </c>
    </row>
    <row r="201" spans="9:14" x14ac:dyDescent="0.3">
      <c r="I201" s="8">
        <v>19.8</v>
      </c>
      <c r="J201" s="8">
        <f ca="1"/>
        <v>-5.1230144774997015</v>
      </c>
      <c r="K201" s="8">
        <f ca="1"/>
        <v>-1.4694874612020516</v>
      </c>
      <c r="L201" s="8">
        <f ca="1"/>
        <v>4326810285240.1772</v>
      </c>
      <c r="M201" s="19" t="e">
        <f ca="1"/>
        <v>#VALUE!</v>
      </c>
      <c r="N201" s="8" t="e">
        <f ca="1"/>
        <v>#VALUE!</v>
      </c>
    </row>
    <row r="202" spans="9:14" x14ac:dyDescent="0.3">
      <c r="I202" s="8">
        <v>19.900000000000002</v>
      </c>
      <c r="J202" s="8">
        <f ca="1"/>
        <v>-5.1230144774997015</v>
      </c>
      <c r="K202" s="8">
        <f ca="1"/>
        <v>-1.4878468934447535</v>
      </c>
      <c r="L202" s="8">
        <f ca="1"/>
        <v>7222001016617.7861</v>
      </c>
      <c r="M202" s="19" t="e">
        <f ca="1"/>
        <v>#VALUE!</v>
      </c>
      <c r="N202" s="8" t="e">
        <f ca="1"/>
        <v>#VALUE!</v>
      </c>
    </row>
    <row r="203" spans="9:14" x14ac:dyDescent="0.3">
      <c r="I203" s="8">
        <v>20</v>
      </c>
      <c r="J203" s="8">
        <f ca="1"/>
        <v>-5.1230144774997015</v>
      </c>
      <c r="K203" s="8">
        <f ca="1"/>
        <v>-1.5060227313650278</v>
      </c>
      <c r="L203" s="8">
        <f ca="1"/>
        <v>12054445479606.264</v>
      </c>
      <c r="M203" s="19" t="e">
        <f ca="1"/>
        <v>#VALUE!</v>
      </c>
      <c r="N203" s="8" t="e">
        <f ca="1"/>
        <v>#VALUE!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F235-2370-447F-B1BD-46AD74C3D800}">
  <dimension ref="B1:L32"/>
  <sheetViews>
    <sheetView workbookViewId="0"/>
  </sheetViews>
  <sheetFormatPr defaultColWidth="9.140625" defaultRowHeight="18.75" x14ac:dyDescent="0.3"/>
  <cols>
    <col min="1" max="2" width="9.140625" style="16"/>
    <col min="3" max="3" width="15" style="46" customWidth="1"/>
    <col min="4" max="4" width="10.7109375" style="46" customWidth="1"/>
    <col min="5" max="5" width="10.85546875" style="42" customWidth="1"/>
    <col min="6" max="6" width="9.28515625" style="16" customWidth="1"/>
    <col min="7" max="8" width="17.140625" style="16" bestFit="1" customWidth="1"/>
    <col min="9" max="9" width="9.140625" style="16"/>
    <col min="10" max="10" width="14.5703125" style="17" bestFit="1" customWidth="1"/>
    <col min="11" max="14" width="9.140625" style="16"/>
    <col min="15" max="15" width="11.5703125" style="16" bestFit="1" customWidth="1"/>
    <col min="16" max="16384" width="9.140625" style="16"/>
  </cols>
  <sheetData>
    <row r="1" spans="2:12" x14ac:dyDescent="0.3">
      <c r="C1" s="16"/>
      <c r="D1" s="16"/>
    </row>
    <row r="2" spans="2:12" x14ac:dyDescent="0.3">
      <c r="B2" s="15" t="s">
        <v>16</v>
      </c>
      <c r="C2" s="44">
        <f ca="1">TODAY()</f>
        <v>45423</v>
      </c>
      <c r="D2" s="16"/>
      <c r="G2" s="18" t="s">
        <v>24</v>
      </c>
      <c r="H2" s="11" t="e" cm="1">
        <f t="array" aca="1" ref="H2" ca="1">_xll.\AKA.Bond(dated, maturity, coupon, _xll.ENUM(D5), _xll.ENUM(D6))</f>
        <v>#NAME?</v>
      </c>
      <c r="J2" s="17" t="e" cm="1">
        <f t="array" aca="1" ref="J2" ca="1">_xll.AKA.Value.FlowDate(H3)</f>
        <v>#NAME?</v>
      </c>
      <c r="K2" s="16" t="e" cm="1">
        <f t="array" aca="1" ref="K2" ca="1">_xll.AKA.Value.Interest(H3)</f>
        <v>#NAME?</v>
      </c>
      <c r="L2" s="16" t="e" cm="1">
        <f t="array" aca="1" ref="L2" ca="1">_xll.AKA.Value.Principal(H3)</f>
        <v>#NAME?</v>
      </c>
    </row>
    <row r="3" spans="2:12" x14ac:dyDescent="0.3">
      <c r="B3" s="15" t="s">
        <v>17</v>
      </c>
      <c r="C3" s="45" cm="1">
        <f t="array" aca="1" ref="C3" ca="1">_xll.TMX.DATE.ADDYEARS(dated,D3)</f>
        <v>49075.425000000003</v>
      </c>
      <c r="D3" s="36">
        <v>10</v>
      </c>
      <c r="G3" s="18" t="s">
        <v>25</v>
      </c>
      <c r="H3" s="11" t="e" cm="1">
        <f t="array" aca="1" ref="H3" ca="1">_xll.\AKA.Value(H2, pvdate, pvdate)</f>
        <v>#NAME?</v>
      </c>
    </row>
    <row r="4" spans="2:12" x14ac:dyDescent="0.3">
      <c r="B4" s="15" t="s">
        <v>18</v>
      </c>
      <c r="C4" s="31">
        <v>0.05</v>
      </c>
      <c r="D4" s="16"/>
    </row>
    <row r="5" spans="2:12" x14ac:dyDescent="0.3">
      <c r="B5" s="15" t="s">
        <v>19</v>
      </c>
      <c r="C5" s="34" t="s">
        <v>29</v>
      </c>
      <c r="D5" s="16" t="s">
        <v>28</v>
      </c>
      <c r="G5" s="16" t="e" cm="1">
        <f t="array" aca="1" ref="G5" ca="1">TRANSPOSE(_xll.FREQ_ENUM())</f>
        <v>#NAME?</v>
      </c>
      <c r="H5" s="16" t="e" cm="1">
        <f t="array" aca="1" ref="H5" ca="1">TRANSPOSE(_xll.DC_ENUM())</f>
        <v>#NAME?</v>
      </c>
    </row>
    <row r="6" spans="2:12" x14ac:dyDescent="0.3">
      <c r="B6" s="15" t="s">
        <v>20</v>
      </c>
      <c r="C6" s="34" t="s">
        <v>37</v>
      </c>
      <c r="D6" s="16" t="s">
        <v>27</v>
      </c>
    </row>
    <row r="7" spans="2:12" x14ac:dyDescent="0.3">
      <c r="B7" s="18" t="s">
        <v>26</v>
      </c>
      <c r="C7" s="3">
        <v>100</v>
      </c>
      <c r="D7" s="16"/>
    </row>
    <row r="8" spans="2:12" x14ac:dyDescent="0.3">
      <c r="B8" s="15" t="s">
        <v>21</v>
      </c>
      <c r="C8" s="11" cm="1">
        <f t="array" aca="1" ref="C8" ca="1">_xll.\TMX.BOND.BASIC(dated, maturity, coupon, _xll.ENUM(frequency), _xll.ENUM(day_count))</f>
        <v>2476939869840</v>
      </c>
      <c r="D8" s="16"/>
    </row>
    <row r="9" spans="2:12" x14ac:dyDescent="0.3">
      <c r="B9" s="16" t="s">
        <v>22</v>
      </c>
      <c r="C9" s="42">
        <f ca="1">dated+D9</f>
        <v>45623</v>
      </c>
      <c r="D9" s="37">
        <v>200</v>
      </c>
    </row>
    <row r="10" spans="2:12" x14ac:dyDescent="0.3">
      <c r="B10" s="15" t="s">
        <v>23</v>
      </c>
      <c r="C10" s="11" cm="1">
        <f t="array" aca="1" ref="C10" ca="1">_xll.\TMX.BOND.BASIC.INSTRUMENT(bond_basic,pvdate)</f>
        <v>2476940558272</v>
      </c>
      <c r="D10" s="16"/>
    </row>
    <row r="11" spans="2:12" x14ac:dyDescent="0.3">
      <c r="C11" s="16"/>
      <c r="D11" s="16"/>
    </row>
    <row r="12" spans="2:12" x14ac:dyDescent="0.3">
      <c r="C12" s="35" t="s">
        <v>8</v>
      </c>
      <c r="D12" s="35" t="s">
        <v>32</v>
      </c>
      <c r="E12" s="43" t="s">
        <v>2</v>
      </c>
    </row>
    <row r="13" spans="2:12" x14ac:dyDescent="0.3">
      <c r="C13" s="46" cm="1">
        <f t="array" aca="1" ref="C13:D32" ca="1">_xll.TMX.INSTRUMENT(C10)</f>
        <v>0.45175465615310378</v>
      </c>
      <c r="D13" s="46">
        <f ca="1"/>
        <v>2.2777777777777777</v>
      </c>
      <c r="E13" s="42" cm="1">
        <f t="array" aca="1" ref="E13:E32" ca="1">_xlfn.MAP(_xlfn.TAKE(_xlfn.ANCHORARRAY(C13),,1),_xlfn.LAMBDA(_xlpm.d,_xll.TMX.DATE.ADDYEARS(pvdate, _xlpm.d)))</f>
        <v>45788</v>
      </c>
      <c r="F13" s="16" cm="1">
        <f t="array" aca="1" ref="F13:F32" ca="1">_xlfn.MAP(_xlfn.TAKE(_xlfn.ANCHORARRAY(E13),,1),_xlfn.LAMBDA(_xlpm.t,_xll.TMX.DATE.DIFFYEARS(_xlpm.t,pvdate)))</f>
        <v>0.45175465615310373</v>
      </c>
      <c r="G13" s="16" t="b">
        <f ca="1">C13=F13</f>
        <v>1</v>
      </c>
    </row>
    <row r="14" spans="2:12" x14ac:dyDescent="0.3">
      <c r="C14" s="46">
        <f ca="1"/>
        <v>0.95552954543898916</v>
      </c>
      <c r="D14" s="46">
        <f ca="1"/>
        <v>2.5</v>
      </c>
      <c r="E14" s="42">
        <f ca="1"/>
        <v>45972</v>
      </c>
      <c r="F14" s="16">
        <f ca="1"/>
        <v>0.95552954543898916</v>
      </c>
    </row>
    <row r="15" spans="2:12" x14ac:dyDescent="0.3">
      <c r="C15" s="46">
        <f ca="1"/>
        <v>1.4510907137039091</v>
      </c>
      <c r="D15" s="46">
        <f ca="1"/>
        <v>2.5</v>
      </c>
      <c r="E15" s="42">
        <f ca="1"/>
        <v>46153</v>
      </c>
      <c r="F15" s="16">
        <f ca="1"/>
        <v>1.4510907137039091</v>
      </c>
    </row>
    <row r="16" spans="2:12" x14ac:dyDescent="0.3">
      <c r="C16" s="46">
        <f ca="1"/>
        <v>1.9548656029897944</v>
      </c>
      <c r="D16" s="46">
        <f ca="1"/>
        <v>2.5</v>
      </c>
      <c r="E16" s="42">
        <f ca="1"/>
        <v>46337</v>
      </c>
      <c r="F16" s="16">
        <f ca="1"/>
        <v>1.9548656029897944</v>
      </c>
    </row>
    <row r="17" spans="3:6" x14ac:dyDescent="0.3">
      <c r="C17" s="46">
        <f ca="1"/>
        <v>2.4504267712547145</v>
      </c>
      <c r="D17" s="46">
        <f ca="1"/>
        <v>2.5</v>
      </c>
      <c r="E17" s="42">
        <f ca="1"/>
        <v>46518</v>
      </c>
      <c r="F17" s="16">
        <f ca="1"/>
        <v>2.4504267712547141</v>
      </c>
    </row>
    <row r="18" spans="3:6" x14ac:dyDescent="0.3">
      <c r="C18" s="46">
        <f ca="1"/>
        <v>2.9596774745545766</v>
      </c>
      <c r="D18" s="46">
        <f ca="1"/>
        <v>2.5277777777777777</v>
      </c>
      <c r="E18" s="42">
        <f ca="1"/>
        <v>46704</v>
      </c>
      <c r="F18" s="16">
        <f ca="1"/>
        <v>2.9596774745545766</v>
      </c>
    </row>
    <row r="19" spans="3:6" x14ac:dyDescent="0.3">
      <c r="C19" s="46">
        <f ca="1"/>
        <v>3.4579765498264852</v>
      </c>
      <c r="D19" s="46">
        <f ca="1"/>
        <v>2.5</v>
      </c>
      <c r="E19" s="42">
        <f ca="1"/>
        <v>46886</v>
      </c>
      <c r="F19" s="16">
        <f ca="1"/>
        <v>3.4579765498264852</v>
      </c>
    </row>
    <row r="20" spans="3:6" x14ac:dyDescent="0.3">
      <c r="C20" s="46">
        <f ca="1"/>
        <v>3.9562756250983937</v>
      </c>
      <c r="D20" s="46">
        <f ca="1"/>
        <v>2.4722222222222223</v>
      </c>
      <c r="E20" s="42">
        <f ca="1"/>
        <v>47068</v>
      </c>
      <c r="F20" s="16">
        <f ca="1"/>
        <v>3.9562756250983933</v>
      </c>
    </row>
    <row r="21" spans="3:6" x14ac:dyDescent="0.3">
      <c r="C21" s="46">
        <f ca="1"/>
        <v>4.4545747003703022</v>
      </c>
      <c r="D21" s="46">
        <f ca="1"/>
        <v>2.5138888888888888</v>
      </c>
      <c r="E21" s="42">
        <f ca="1"/>
        <v>47250</v>
      </c>
      <c r="F21" s="16">
        <f ca="1"/>
        <v>4.4545747003703022</v>
      </c>
    </row>
    <row r="22" spans="3:6" x14ac:dyDescent="0.3">
      <c r="C22" s="46">
        <f ca="1"/>
        <v>4.9556116826491987</v>
      </c>
      <c r="D22" s="46">
        <f ca="1"/>
        <v>2.4861111111111112</v>
      </c>
      <c r="E22" s="42">
        <f ca="1"/>
        <v>47433</v>
      </c>
      <c r="F22" s="16">
        <f ca="1"/>
        <v>4.9556116826491987</v>
      </c>
    </row>
    <row r="23" spans="3:6" x14ac:dyDescent="0.3">
      <c r="C23" s="46">
        <f ca="1"/>
        <v>5.4511728509141184</v>
      </c>
      <c r="D23" s="46">
        <f ca="1"/>
        <v>2.5</v>
      </c>
      <c r="E23" s="42">
        <f ca="1"/>
        <v>47614</v>
      </c>
      <c r="F23" s="16">
        <f ca="1"/>
        <v>5.4511728509141184</v>
      </c>
    </row>
    <row r="24" spans="3:6" x14ac:dyDescent="0.3">
      <c r="C24" s="46">
        <f ca="1"/>
        <v>5.9549477402000042</v>
      </c>
      <c r="D24" s="46">
        <f ca="1"/>
        <v>2.5</v>
      </c>
      <c r="E24" s="42">
        <f ca="1"/>
        <v>47798</v>
      </c>
      <c r="F24" s="16">
        <f ca="1"/>
        <v>5.9549477402000042</v>
      </c>
    </row>
    <row r="25" spans="3:6" x14ac:dyDescent="0.3">
      <c r="C25" s="46">
        <f ca="1"/>
        <v>6.4505089084649239</v>
      </c>
      <c r="D25" s="46">
        <f ca="1"/>
        <v>2.5</v>
      </c>
      <c r="E25" s="42">
        <f ca="1"/>
        <v>47979</v>
      </c>
      <c r="F25" s="16">
        <f ca="1"/>
        <v>6.4505089084649239</v>
      </c>
    </row>
    <row r="26" spans="3:6" x14ac:dyDescent="0.3">
      <c r="C26" s="46">
        <f ca="1"/>
        <v>6.9542837977508096</v>
      </c>
      <c r="D26" s="46">
        <f ca="1"/>
        <v>2.5</v>
      </c>
      <c r="E26" s="42">
        <f ca="1"/>
        <v>48163</v>
      </c>
      <c r="F26" s="16">
        <f ca="1"/>
        <v>6.9542837977508096</v>
      </c>
    </row>
    <row r="27" spans="3:6" x14ac:dyDescent="0.3">
      <c r="C27" s="46">
        <f ca="1"/>
        <v>7.4525828730227177</v>
      </c>
      <c r="D27" s="46">
        <f ca="1"/>
        <v>2.5</v>
      </c>
      <c r="E27" s="42">
        <f ca="1"/>
        <v>48345</v>
      </c>
      <c r="F27" s="16">
        <f ca="1"/>
        <v>7.4525828730227177</v>
      </c>
    </row>
    <row r="28" spans="3:6" x14ac:dyDescent="0.3">
      <c r="C28" s="46">
        <f ca="1"/>
        <v>7.9618335763225803</v>
      </c>
      <c r="D28" s="46">
        <f ca="1"/>
        <v>2.5277777777777777</v>
      </c>
      <c r="E28" s="42">
        <f ca="1"/>
        <v>48531</v>
      </c>
      <c r="F28" s="16">
        <f ca="1"/>
        <v>7.9618335763225803</v>
      </c>
    </row>
    <row r="29" spans="3:6" x14ac:dyDescent="0.3">
      <c r="C29" s="46">
        <f ca="1"/>
        <v>8.4519189305735232</v>
      </c>
      <c r="D29" s="46">
        <f ca="1"/>
        <v>2.4722222222222223</v>
      </c>
      <c r="E29" s="42">
        <f ca="1"/>
        <v>48710</v>
      </c>
      <c r="F29" s="16">
        <f ca="1"/>
        <v>8.4519189305735232</v>
      </c>
    </row>
    <row r="30" spans="3:6" x14ac:dyDescent="0.3">
      <c r="C30" s="46">
        <f ca="1"/>
        <v>8.9584317268663973</v>
      </c>
      <c r="D30" s="46">
        <f ca="1"/>
        <v>2.5138888888888888</v>
      </c>
      <c r="E30" s="42">
        <f ca="1"/>
        <v>48895</v>
      </c>
      <c r="F30" s="16">
        <f ca="1"/>
        <v>8.9584317268663973</v>
      </c>
    </row>
    <row r="31" spans="3:6" x14ac:dyDescent="0.3">
      <c r="C31" s="46">
        <f ca="1"/>
        <v>9.4512549881243277</v>
      </c>
      <c r="D31" s="46">
        <f ca="1"/>
        <v>100</v>
      </c>
      <c r="E31" s="42">
        <f ca="1"/>
        <v>49075</v>
      </c>
      <c r="F31" s="16">
        <f ca="1"/>
        <v>9.4512549881243277</v>
      </c>
    </row>
    <row r="32" spans="3:6" x14ac:dyDescent="0.3">
      <c r="C32" s="46">
        <f ca="1"/>
        <v>9.4567308021383045</v>
      </c>
      <c r="D32" s="46">
        <f ca="1"/>
        <v>2.5138888888888888</v>
      </c>
      <c r="E32" s="42">
        <f ca="1"/>
        <v>49077</v>
      </c>
      <c r="F32" s="16">
        <f ca="1"/>
        <v>9.4567308021383045</v>
      </c>
    </row>
  </sheetData>
  <dataValidations disablePrompts="1" count="2">
    <dataValidation type="list" allowBlank="1" showInputMessage="1" showErrorMessage="1" sqref="D5" xr:uid="{039A4CED-EBEB-4BB9-833B-6F3EAEF47C51}">
      <formula1>_xlfn.ANCHORARRAY($G$5)</formula1>
    </dataValidation>
    <dataValidation type="list" allowBlank="1" showInputMessage="1" showErrorMessage="1" sqref="D6" xr:uid="{95B04539-D74B-418C-8C33-35D31A602B84}">
      <formula1>_xlfn.ANCHORARRAY($H$5)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8932C381-C5EC-4A69-A816-1DE21A3D38A4}">
          <x14:formula1>
            <xm:f>_xlfn.ANCHORARRAY(ENUM!$G$3)</xm:f>
          </x14:formula1>
          <xm:sqref>C5</xm:sqref>
        </x14:dataValidation>
        <x14:dataValidation type="list" allowBlank="1" showInputMessage="1" showErrorMessage="1" xr:uid="{92A6719E-159A-4A3B-A16C-1894E12468CE}">
          <x14:formula1>
            <xm:f>_xlfn.ANCHORARRAY(ENUM!$B$3)</xm:f>
          </x14:formula1>
          <xm:sqref>C6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D57E-B813-416C-A1C4-B7528B2439C2}">
  <dimension ref="B2:L31"/>
  <sheetViews>
    <sheetView workbookViewId="0">
      <selection activeCell="G3" sqref="G3"/>
    </sheetView>
  </sheetViews>
  <sheetFormatPr defaultColWidth="9.140625" defaultRowHeight="18.75" x14ac:dyDescent="0.3"/>
  <cols>
    <col min="1" max="1" width="3.7109375" style="20" customWidth="1"/>
    <col min="2" max="2" width="9.140625" style="20"/>
    <col min="3" max="3" width="19.140625" style="20" customWidth="1"/>
    <col min="4" max="4" width="10.42578125" style="20" bestFit="1" customWidth="1"/>
    <col min="5" max="5" width="11.5703125" style="24" bestFit="1" customWidth="1"/>
    <col min="6" max="6" width="11.5703125" style="20" bestFit="1" customWidth="1"/>
    <col min="7" max="7" width="13.7109375" style="20" bestFit="1" customWidth="1"/>
    <col min="8" max="8" width="9.28515625" style="20" bestFit="1" customWidth="1"/>
    <col min="9" max="9" width="9.140625" style="20"/>
    <col min="10" max="11" width="13" style="20" bestFit="1" customWidth="1"/>
    <col min="12" max="12" width="9.28515625" style="20" customWidth="1"/>
    <col min="13" max="16384" width="9.140625" style="20"/>
  </cols>
  <sheetData>
    <row r="2" spans="2:12" ht="19.5" thickBot="1" x14ac:dyDescent="0.35">
      <c r="B2" s="32" t="s">
        <v>16</v>
      </c>
      <c r="C2" s="33">
        <f ca="1">TODAY()</f>
        <v>45423</v>
      </c>
      <c r="F2" s="21" t="s">
        <v>22</v>
      </c>
      <c r="G2" s="30">
        <f ca="1">TODAY()</f>
        <v>45423</v>
      </c>
      <c r="K2" s="11" cm="1">
        <f t="array" aca="1" ref="K2" ca="1">_xll.\TMX.BOND.BASIC(J3,J4,J5,_xll.ENUM(J6),_xll.ENUM(J7),J8)</f>
        <v>2476939868688</v>
      </c>
    </row>
    <row r="3" spans="2:12" ht="20.25" thickTop="1" thickBot="1" x14ac:dyDescent="0.35">
      <c r="B3" s="29" t="s">
        <v>17</v>
      </c>
      <c r="C3" s="3">
        <v>10</v>
      </c>
      <c r="F3" s="21" t="s">
        <v>31</v>
      </c>
      <c r="G3" s="49" t="s">
        <v>42</v>
      </c>
      <c r="H3" s="31">
        <v>0.05</v>
      </c>
      <c r="J3" s="27" cm="1">
        <f t="array" aca="1" ref="J3:J8" ca="1">_xll.TMX.BOND.BASIC(bond)</f>
        <v>45423</v>
      </c>
      <c r="K3" s="27" cm="1">
        <f t="array" aca="1" ref="K3:K8" ca="1">_xll.TMX.BOND.BASIC(K2)</f>
        <v>45423</v>
      </c>
      <c r="L3" s="26" t="b">
        <f ca="1">J3=K3</f>
        <v>1</v>
      </c>
    </row>
    <row r="4" spans="2:12" ht="20.25" thickTop="1" thickBot="1" x14ac:dyDescent="0.35">
      <c r="B4" s="29" t="s">
        <v>18</v>
      </c>
      <c r="C4" s="31">
        <v>0.05</v>
      </c>
      <c r="F4" s="21" t="s">
        <v>33</v>
      </c>
      <c r="G4" s="39" t="e" cm="1">
        <f t="array" aca="1" ref="G4" ca="1">_xll.TMX.VALUE.PRESENT(instrument, curve, H4)</f>
        <v>#VALUE!</v>
      </c>
      <c r="H4" s="3">
        <v>0</v>
      </c>
      <c r="I4" s="47" t="s">
        <v>39</v>
      </c>
      <c r="J4" s="27">
        <f ca="1"/>
        <v>49075</v>
      </c>
      <c r="K4" s="27">
        <f ca="1"/>
        <v>49075</v>
      </c>
      <c r="L4" s="26" t="b">
        <f t="shared" ref="L4:L8" ca="1" si="0">J4=K4</f>
        <v>1</v>
      </c>
    </row>
    <row r="5" spans="2:12" ht="20.25" thickTop="1" thickBot="1" x14ac:dyDescent="0.35">
      <c r="B5" s="32" t="s">
        <v>19</v>
      </c>
      <c r="C5" s="34" t="s">
        <v>29</v>
      </c>
      <c r="F5" s="23" t="s">
        <v>34</v>
      </c>
      <c r="G5" s="5" t="e" cm="1">
        <f t="array" aca="1" ref="G5" ca="1">_xll.TMX.VALUE.YIELD(instrument, present)</f>
        <v>#VALUE!</v>
      </c>
      <c r="J5" s="28">
        <f ca="1"/>
        <v>0.05</v>
      </c>
      <c r="K5" s="28">
        <f ca="1"/>
        <v>0.05</v>
      </c>
      <c r="L5" s="26" t="b">
        <f t="shared" ca="1" si="0"/>
        <v>1</v>
      </c>
    </row>
    <row r="6" spans="2:12" ht="20.25" thickTop="1" thickBot="1" x14ac:dyDescent="0.35">
      <c r="B6" s="32" t="s">
        <v>20</v>
      </c>
      <c r="C6" s="34" t="s">
        <v>37</v>
      </c>
      <c r="F6" s="32" t="s">
        <v>38</v>
      </c>
      <c r="G6" s="40" t="e" cm="1">
        <f t="array" aca="1" ref="G6" ca="1">_xll.TMX.VALUE.OAS(instrument, curve, H6)</f>
        <v>#VALUE!</v>
      </c>
      <c r="H6" s="3" t="e">
        <f ca="1">present</f>
        <v>#VALUE!</v>
      </c>
      <c r="J6" s="28" t="str">
        <f ca="1"/>
        <v>TMX_FREQUENCY_SEMIANNUALLY</v>
      </c>
      <c r="K6" s="28" t="str">
        <f ca="1"/>
        <v>TMX_FREQUENCY_SEMIANNUALLY</v>
      </c>
      <c r="L6" s="26" t="b">
        <f t="shared" ca="1" si="0"/>
        <v>1</v>
      </c>
    </row>
    <row r="7" spans="2:12" ht="20.25" thickTop="1" thickBot="1" x14ac:dyDescent="0.35">
      <c r="B7" s="32" t="s">
        <v>26</v>
      </c>
      <c r="C7" s="3">
        <v>100</v>
      </c>
      <c r="F7" s="23" t="s">
        <v>35</v>
      </c>
      <c r="G7" s="41" t="e" cm="1">
        <f t="array" aca="1" ref="G7" ca="1">_xll.TMX.VALUE.DURATION(instrument, curve)</f>
        <v>#VALUE!</v>
      </c>
      <c r="J7" s="28" t="str">
        <f ca="1"/>
        <v>TMX_DAY_COUNT_30_360</v>
      </c>
      <c r="K7" s="28" t="str">
        <f ca="1"/>
        <v>TMX_DAY_COUNT_30_360</v>
      </c>
      <c r="L7" s="26" t="b">
        <f t="shared" ca="1" si="0"/>
        <v>1</v>
      </c>
    </row>
    <row r="8" spans="2:12" ht="20.25" thickTop="1" thickBot="1" x14ac:dyDescent="0.35">
      <c r="B8" s="21" t="s">
        <v>30</v>
      </c>
      <c r="C8" s="11" cm="1">
        <f t="array" aca="1" ref="C8" ca="1">_xll.\TMX.BOND.BASIC(dated,maturity,coupon,_xll.ENUM(frequency),_xll.ENUM(day_count))</f>
        <v>2476939869200</v>
      </c>
      <c r="D8"/>
      <c r="F8" s="23" t="s">
        <v>36</v>
      </c>
      <c r="G8" s="41" t="e" cm="1">
        <f t="array" aca="1" ref="G8" ca="1">_xll.TMX.VALUE.CONVEXITY(instrument,curve)</f>
        <v>#VALUE!</v>
      </c>
      <c r="J8" s="28">
        <f ca="1"/>
        <v>100</v>
      </c>
      <c r="K8" s="28">
        <f ca="1"/>
        <v>100</v>
      </c>
      <c r="L8" s="26" t="b">
        <f t="shared" ca="1" si="0"/>
        <v>1</v>
      </c>
    </row>
    <row r="9" spans="2:12" ht="19.5" thickTop="1" x14ac:dyDescent="0.3">
      <c r="B9" s="21" t="s">
        <v>15</v>
      </c>
      <c r="C9" s="11" cm="1">
        <f t="array" aca="1" ref="C9" ca="1">_xll.\TMX.BOND.BASIC.INSTRUMENT(bond,pvdate)</f>
        <v>2476940560032</v>
      </c>
    </row>
    <row r="10" spans="2:12" x14ac:dyDescent="0.3">
      <c r="C10" s="22" t="s">
        <v>8</v>
      </c>
      <c r="D10" s="22" t="s">
        <v>32</v>
      </c>
      <c r="E10" s="38" t="s">
        <v>2</v>
      </c>
    </row>
    <row r="11" spans="2:12" x14ac:dyDescent="0.3">
      <c r="C11" s="25" cm="1">
        <f t="array" aca="1" ref="C11:D31" ca="1">_xll.TMX.INSTRUMENT(C9)</f>
        <v>0.50377488928588543</v>
      </c>
      <c r="D11" s="25">
        <f ca="1"/>
        <v>2.5</v>
      </c>
      <c r="E11" s="24" cm="1">
        <f t="array" aca="1" ref="E11:E31" ca="1">_xlfn.MAP(_xlfn.TAKE(_xlfn.ANCHORARRAY(C11),,1),_xlfn.LAMBDA(_xlpm.u,_xll.TMX.DATE.ADDYEARS(pvdate,_xlpm.u)))</f>
        <v>45607</v>
      </c>
    </row>
    <row r="12" spans="2:12" x14ac:dyDescent="0.3">
      <c r="C12" s="20">
        <f ca="1"/>
        <v>0.99933605755080523</v>
      </c>
      <c r="D12" s="20">
        <f ca="1"/>
        <v>2.5</v>
      </c>
      <c r="E12" s="24">
        <f ca="1"/>
        <v>45788</v>
      </c>
    </row>
    <row r="13" spans="2:12" x14ac:dyDescent="0.3">
      <c r="C13" s="20">
        <f ca="1"/>
        <v>1.5031109468366908</v>
      </c>
      <c r="D13" s="20">
        <f ca="1"/>
        <v>2.5</v>
      </c>
      <c r="E13" s="24">
        <f ca="1"/>
        <v>45972</v>
      </c>
      <c r="H13" s="29"/>
    </row>
    <row r="14" spans="2:12" x14ac:dyDescent="0.3">
      <c r="C14" s="20">
        <f ca="1"/>
        <v>1.9986721151016105</v>
      </c>
      <c r="D14" s="20">
        <f ca="1"/>
        <v>2.5</v>
      </c>
      <c r="E14" s="24">
        <f ca="1"/>
        <v>46153</v>
      </c>
    </row>
    <row r="15" spans="2:12" x14ac:dyDescent="0.3">
      <c r="C15" s="20">
        <f ca="1"/>
        <v>2.5024470043874958</v>
      </c>
      <c r="D15" s="20">
        <f ca="1"/>
        <v>2.5</v>
      </c>
      <c r="E15" s="24">
        <f ca="1"/>
        <v>46337</v>
      </c>
    </row>
    <row r="16" spans="2:12" x14ac:dyDescent="0.3">
      <c r="C16" s="20">
        <f ca="1"/>
        <v>2.9980081726524159</v>
      </c>
      <c r="D16" s="20">
        <f ca="1"/>
        <v>2.5</v>
      </c>
      <c r="E16" s="24">
        <f ca="1"/>
        <v>46518</v>
      </c>
    </row>
    <row r="17" spans="3:5" x14ac:dyDescent="0.3">
      <c r="C17" s="20">
        <f ca="1"/>
        <v>3.5072588759522785</v>
      </c>
      <c r="D17" s="20">
        <f ca="1"/>
        <v>2.5277777777777777</v>
      </c>
      <c r="E17" s="24">
        <f ca="1"/>
        <v>46704</v>
      </c>
    </row>
    <row r="18" spans="3:5" x14ac:dyDescent="0.3">
      <c r="C18" s="20">
        <f ca="1"/>
        <v>4.005557951224187</v>
      </c>
      <c r="D18" s="20">
        <f ca="1"/>
        <v>2.5</v>
      </c>
      <c r="E18" s="24">
        <f ca="1"/>
        <v>46886</v>
      </c>
    </row>
    <row r="19" spans="3:5" x14ac:dyDescent="0.3">
      <c r="C19" s="20">
        <f ca="1"/>
        <v>4.5038570264960951</v>
      </c>
      <c r="D19" s="20">
        <f ca="1"/>
        <v>2.4722222222222223</v>
      </c>
      <c r="E19" s="24">
        <f ca="1"/>
        <v>47068</v>
      </c>
    </row>
    <row r="20" spans="3:5" x14ac:dyDescent="0.3">
      <c r="C20" s="20">
        <f ca="1"/>
        <v>5.0021561017680032</v>
      </c>
      <c r="D20" s="20">
        <f ca="1"/>
        <v>2.5138888888888888</v>
      </c>
      <c r="E20" s="24">
        <f ca="1"/>
        <v>47250</v>
      </c>
    </row>
    <row r="21" spans="3:5" x14ac:dyDescent="0.3">
      <c r="C21" s="20">
        <f ca="1"/>
        <v>5.5031930840469006</v>
      </c>
      <c r="D21" s="20">
        <f ca="1"/>
        <v>2.4861111111111112</v>
      </c>
      <c r="E21" s="24">
        <f ca="1"/>
        <v>47433</v>
      </c>
    </row>
    <row r="22" spans="3:5" x14ac:dyDescent="0.3">
      <c r="C22" s="20">
        <f ca="1"/>
        <v>5.9987542523118202</v>
      </c>
      <c r="D22" s="20">
        <f ca="1"/>
        <v>2.5</v>
      </c>
      <c r="E22" s="24">
        <f ca="1"/>
        <v>47614</v>
      </c>
    </row>
    <row r="23" spans="3:5" x14ac:dyDescent="0.3">
      <c r="C23" s="20">
        <f ca="1"/>
        <v>6.502529141597706</v>
      </c>
      <c r="D23" s="20">
        <f ca="1"/>
        <v>2.5</v>
      </c>
      <c r="E23" s="24">
        <f ca="1"/>
        <v>47798</v>
      </c>
    </row>
    <row r="24" spans="3:5" x14ac:dyDescent="0.3">
      <c r="C24" s="20">
        <f ca="1"/>
        <v>6.9980903098626257</v>
      </c>
      <c r="D24" s="20">
        <f ca="1"/>
        <v>2.5</v>
      </c>
      <c r="E24" s="24">
        <f ca="1"/>
        <v>47979</v>
      </c>
    </row>
    <row r="25" spans="3:5" x14ac:dyDescent="0.3">
      <c r="C25" s="20">
        <f ca="1"/>
        <v>7.5018651991485106</v>
      </c>
      <c r="D25" s="20">
        <f ca="1"/>
        <v>2.5</v>
      </c>
      <c r="E25" s="24">
        <f ca="1"/>
        <v>48163</v>
      </c>
    </row>
    <row r="26" spans="3:5" x14ac:dyDescent="0.3">
      <c r="C26" s="20">
        <f ca="1"/>
        <v>8.0001642744204187</v>
      </c>
      <c r="D26" s="20">
        <f ca="1"/>
        <v>2.5</v>
      </c>
      <c r="E26" s="24">
        <f ca="1"/>
        <v>48345</v>
      </c>
    </row>
    <row r="27" spans="3:5" x14ac:dyDescent="0.3">
      <c r="C27" s="20">
        <f ca="1"/>
        <v>8.5094149777202812</v>
      </c>
      <c r="D27" s="20">
        <f ca="1"/>
        <v>2.5277777777777777</v>
      </c>
      <c r="E27" s="24">
        <f ca="1"/>
        <v>48531</v>
      </c>
    </row>
    <row r="28" spans="3:5" x14ac:dyDescent="0.3">
      <c r="C28" s="20">
        <f ca="1"/>
        <v>8.999500331971225</v>
      </c>
      <c r="D28" s="20">
        <f ca="1"/>
        <v>2.4722222222222223</v>
      </c>
      <c r="E28" s="24">
        <f ca="1"/>
        <v>48710</v>
      </c>
    </row>
    <row r="29" spans="3:5" x14ac:dyDescent="0.3">
      <c r="C29" s="20">
        <f ca="1"/>
        <v>9.5060131282640992</v>
      </c>
      <c r="D29" s="20">
        <f ca="1"/>
        <v>2.5138888888888888</v>
      </c>
      <c r="E29" s="24">
        <f ca="1"/>
        <v>48895</v>
      </c>
    </row>
    <row r="30" spans="3:5" x14ac:dyDescent="0.3">
      <c r="C30" s="20">
        <f ca="1"/>
        <v>9.9988363895220296</v>
      </c>
      <c r="D30" s="20">
        <f ca="1"/>
        <v>100</v>
      </c>
      <c r="E30" s="24">
        <f ca="1"/>
        <v>49075</v>
      </c>
    </row>
    <row r="31" spans="3:5" x14ac:dyDescent="0.3">
      <c r="C31" s="20">
        <f ca="1"/>
        <v>10.004312203536006</v>
      </c>
      <c r="D31" s="20">
        <f ca="1"/>
        <v>2.5138888888888888</v>
      </c>
      <c r="E31" s="24">
        <f ca="1"/>
        <v>49077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007CDED-52BA-4236-9AB4-270D2D758A2D}">
          <x14:formula1>
            <xm:f>_xlfn.ANCHORARRAY(ENUM!$G$3)</xm:f>
          </x14:formula1>
          <xm:sqref>C5</xm:sqref>
        </x14:dataValidation>
        <x14:dataValidation type="list" allowBlank="1" showInputMessage="1" showErrorMessage="1" xr:uid="{4F940A22-B041-4372-AF7C-03B1471C3CC9}">
          <x14:formula1>
            <xm:f>_xlfn.ANCHORARRAY(ENUM!$B$3)</xm:f>
          </x14:formula1>
          <xm:sqref>C6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28</vt:i4>
      </vt:variant>
    </vt:vector>
  </HeadingPairs>
  <TitlesOfParts>
    <vt:vector size="33" baseType="lpstr">
      <vt:lpstr>ENUM</vt:lpstr>
      <vt:lpstr>INSTRUMENT</vt:lpstr>
      <vt:lpstr>PWFLAT</vt:lpstr>
      <vt:lpstr>BOND</vt:lpstr>
      <vt:lpstr>VALUATION</vt:lpstr>
      <vt:lpstr>bond</vt:lpstr>
      <vt:lpstr>bond_basic</vt:lpstr>
      <vt:lpstr>VALUATION!coupon</vt:lpstr>
      <vt:lpstr>coupon</vt:lpstr>
      <vt:lpstr>curve</vt:lpstr>
      <vt:lpstr>date</vt:lpstr>
      <vt:lpstr>VALUATION!dated</vt:lpstr>
      <vt:lpstr>dated</vt:lpstr>
      <vt:lpstr>BOND!day_count</vt:lpstr>
      <vt:lpstr>VALUATION!day_count</vt:lpstr>
      <vt:lpstr>DAY_COUNT</vt:lpstr>
      <vt:lpstr>days</vt:lpstr>
      <vt:lpstr>dcf</vt:lpstr>
      <vt:lpstr>VALUATION!dt</vt:lpstr>
      <vt:lpstr>dt</vt:lpstr>
      <vt:lpstr>VALUATION!face</vt:lpstr>
      <vt:lpstr>face</vt:lpstr>
      <vt:lpstr>VALUATION!frequency</vt:lpstr>
      <vt:lpstr>frequency</vt:lpstr>
      <vt:lpstr>instrument</vt:lpstr>
      <vt:lpstr>VALUATION!maturity</vt:lpstr>
      <vt:lpstr>maturity</vt:lpstr>
      <vt:lpstr>present</vt:lpstr>
      <vt:lpstr>VALUATION!pvdate</vt:lpstr>
      <vt:lpstr>pvdate</vt:lpstr>
      <vt:lpstr>pwflat</vt:lpstr>
      <vt:lpstr>rate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2024-04-10T18:18:41Z</dcterms:created>
  <dcterms:modified xsi:type="dcterms:W3CDTF">2024-05-11T16:57:28Z</dcterms:modified>
</cp:coreProperties>
</file>