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tmcrossx\bondxll\"/>
    </mc:Choice>
  </mc:AlternateContent>
  <xr:revisionPtr revIDLastSave="0" documentId="13_ncr:1_{1824B2D0-80CB-4B68-8710-A377AF063AF8}" xr6:coauthVersionLast="47" xr6:coauthVersionMax="47" xr10:uidLastSave="{00000000-0000-0000-0000-000000000000}"/>
  <bookViews>
    <workbookView xWindow="-108" yWindow="-108" windowWidth="23256" windowHeight="13176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VALUATION!$C$8</definedName>
    <definedName name="bond_basic">BOND!$C$8</definedName>
    <definedName name="coupon" localSheetId="4">VALUATION!$C$4</definedName>
    <definedName name="coupon">BOND!$C$4</definedName>
    <definedName name="curve">VALUATION!$G$3</definedName>
    <definedName name="date">ENUM!$E$3</definedName>
    <definedName name="dated" localSheetId="4">VALUATION!$C$2</definedName>
    <definedName name="dated">BOND!$C$2</definedName>
    <definedName name="day_count" localSheetId="3">BOND!$C$6</definedName>
    <definedName name="day_count" localSheetId="4">VALUATION!$C$6</definedName>
    <definedName name="DAY_COUNT">ENUM!$E$2</definedName>
    <definedName name="days">ENUM!$E$4</definedName>
    <definedName name="dcf">ENUM!$E$5</definedName>
    <definedName name="face" localSheetId="4">VALUATION!$C$7</definedName>
    <definedName name="face">BOND!$C$7</definedName>
    <definedName name="forward">_xlfn.ANCHORARRAY(PWFLAT!$J$3)</definedName>
    <definedName name="frequency" localSheetId="4">VALUATION!$C$5</definedName>
    <definedName name="frequency">BOND!$C$5</definedName>
    <definedName name="instrument">VALUATION!$C$9</definedName>
    <definedName name="maturity" localSheetId="4">VALUATION!$C$3</definedName>
    <definedName name="maturity">BOND!$C$3</definedName>
    <definedName name="present">VALUATION!$G$4</definedName>
    <definedName name="pvdate" localSheetId="4">VALUATION!$G$2</definedName>
    <definedName name="pvdate">BOND!$C$9</definedName>
    <definedName name="pwflat">PWFLAT!$F$2</definedName>
    <definedName name="rate">PWFLAT!$C$3:$C$12</definedName>
    <definedName name="spot">_xlfn.ANCHORARRAY(PWFLAT!$K$3)</definedName>
    <definedName name="time">PWFLAT!$B$3:$B$12</definedName>
    <definedName name="years">_xlfn.ANCHORARRAY(PWFLAT!$I$3)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2" i="5"/>
  <c r="G2" i="5"/>
  <c r="C2" i="4"/>
  <c r="C9" i="4" s="1"/>
  <c r="C3" i="3" a="1"/>
  <c r="C3" i="3" s="1"/>
  <c r="B3" i="3" a="1"/>
  <c r="B3" i="3" s="1"/>
  <c r="E3" i="1"/>
  <c r="G5" i="4" a="1"/>
  <c r="H5" i="4" a="1"/>
  <c r="G3" i="1" a="1"/>
  <c r="K2" i="1" a="1"/>
  <c r="B3" i="1" a="1"/>
  <c r="B3" i="2" a="1"/>
  <c r="I3" i="2" a="1"/>
  <c r="C8" i="5" a="1"/>
  <c r="E5" i="1" a="1"/>
  <c r="C3" i="4" a="1"/>
  <c r="G3" i="5" a="1"/>
  <c r="E2" i="3" a="1"/>
  <c r="G3" i="5" l="1"/>
  <c r="C8" i="5"/>
  <c r="I3" i="2"/>
  <c r="B3" i="2"/>
  <c r="B3" i="1"/>
  <c r="G5" i="4"/>
  <c r="H5" i="4"/>
  <c r="C3" i="4"/>
  <c r="E2" i="3"/>
  <c r="K2" i="1"/>
  <c r="G3" i="1"/>
  <c r="E5" i="1"/>
  <c r="C8" i="4" a="1"/>
  <c r="E3" i="3" a="1"/>
  <c r="J3" i="5" a="1"/>
  <c r="C9" i="5" a="1"/>
  <c r="H2" i="4" a="1"/>
  <c r="J3" i="5" l="1"/>
  <c r="C9" i="5"/>
  <c r="H2" i="4"/>
  <c r="C8" i="4"/>
  <c r="E3" i="3"/>
  <c r="H3" i="4" a="1"/>
  <c r="K2" i="5" a="1"/>
  <c r="G8" i="5" a="1"/>
  <c r="G7" i="5" a="1"/>
  <c r="G4" i="5" a="1"/>
  <c r="M2" i="2" a="1"/>
  <c r="C11" i="5" a="1"/>
  <c r="C10" i="4" a="1"/>
  <c r="F2" i="2" a="1"/>
  <c r="H3" i="3" l="1" a="1"/>
  <c r="H3" i="3" s="1"/>
  <c r="I3" i="3" a="1"/>
  <c r="I3" i="3" s="1"/>
  <c r="C11" i="5"/>
  <c r="G8" i="5"/>
  <c r="G7" i="5"/>
  <c r="G4" i="5"/>
  <c r="K2" i="5"/>
  <c r="M2" i="2"/>
  <c r="F2" i="2"/>
  <c r="H3" i="4"/>
  <c r="C10" i="4"/>
  <c r="K2" i="4" a="1"/>
  <c r="L2" i="4" a="1"/>
  <c r="J2" i="4" a="1"/>
  <c r="G5" i="5" a="1"/>
  <c r="F3" i="2" a="1"/>
  <c r="K3" i="2" a="1"/>
  <c r="J3" i="2" a="1"/>
  <c r="L3" i="2" a="1"/>
  <c r="G6" i="5" a="1"/>
  <c r="K3" i="5" a="1"/>
  <c r="C13" i="4" a="1"/>
  <c r="M3" i="2" a="1"/>
  <c r="G6" i="5" l="1"/>
  <c r="G5" i="5"/>
  <c r="L8" i="5"/>
  <c r="L7" i="5"/>
  <c r="L6" i="5"/>
  <c r="L5" i="5"/>
  <c r="L4" i="5"/>
  <c r="K3" i="5"/>
  <c r="L3" i="5" s="1"/>
  <c r="M3" i="2"/>
  <c r="L3" i="2"/>
  <c r="K3" i="2"/>
  <c r="J3" i="2"/>
  <c r="L2" i="4"/>
  <c r="K2" i="4"/>
  <c r="J2" i="4"/>
  <c r="F3" i="2"/>
  <c r="C13" i="4"/>
  <c r="E11" i="5" a="1"/>
  <c r="E13" i="4" a="1"/>
  <c r="E11" i="5" l="1"/>
  <c r="E13" i="4"/>
  <c r="F13" i="4" a="1"/>
  <c r="F13" i="4" l="1"/>
  <c r="G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<sst xmlns="http://schemas.openxmlformats.org/spreadsheetml/2006/main" count="55" uniqueCount="39">
  <si>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</si>
  <si>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</si>
  <si>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</si>
  <si>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</si>
  <si>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</si>
  <si>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</si>
  <si>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</si>
  <si>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</si>
  <si>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</si>
  <si>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</si>
  <si>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</si>
  <si>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</si>
  <si>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</si>
  <si>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</si>
  <si>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</si>
  <si>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</si>
  <si>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</si>
  <si>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</si>
  <si>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</si>
  <si>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</si>
  <si>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</si>
  <si>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</si>
  <si>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</si>
  <si>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</si>
  <si>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</si>
  <si>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</si>
  <si>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</si>
  <si>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</si>
  <si>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</si>
  <si>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</si>
  <si>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</si>
  <si>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</si>
  <si>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</si>
  <si>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</si>
  <si>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</si>
  <si>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</si>
  <si>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</si>
  <si>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TMX_DAY_COUNT_30_360</t>
  </si>
  <si>
    <t>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</si>
</sst>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71" formatCode="#&quot;y&quot;"/>
    <numFmt numFmtId="172" formatCode="#&quot;d&quot;"/>
    <numFmt numFmtId="173" formatCode="m/d/yy;@"/>
  </numFmts>
  <fonts count="2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theme="0" tint="-0.34998626667073579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2" fillId="2" borderId="1" applyNumberFormat="0" applyAlignment="0" applyProtection="0"/>
    <xf numFmtId="0" fontId="13" fillId="3" borderId="2" applyNumberFormat="0" applyAlignment="0" applyProtection="0"/>
    <xf numFmtId="0" fontId="20" fillId="4" borderId="4" applyNumberFormat="0" applyAlignment="0" applyProtection="0"/>
  </cellStyleXfs>
  <cellXfs count="48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right"/>
    </xf>
    <xf numFmtId="0" fontId="15" fillId="2" borderId="1" xfId="1" applyFont="1"/>
    <xf numFmtId="14" fontId="15" fillId="2" borderId="1" xfId="1" applyNumberFormat="1" applyFont="1"/>
    <xf numFmtId="0" fontId="16" fillId="3" borderId="2" xfId="2" applyFont="1"/>
    <xf numFmtId="0" fontId="14" fillId="0" borderId="3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4" fontId="6" fillId="0" borderId="0" xfId="0" applyNumberFormat="1" applyFont="1"/>
    <xf numFmtId="0" fontId="5" fillId="0" borderId="0" xfId="0" applyFont="1" applyAlignment="1">
      <alignment horizontal="right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4" fillId="0" borderId="0" xfId="0" applyNumberFormat="1" applyFont="1"/>
    <xf numFmtId="0" fontId="2" fillId="0" borderId="0" xfId="0" quotePrefix="1" applyFont="1"/>
    <xf numFmtId="0" fontId="20" fillId="4" borderId="4" xfId="3"/>
    <xf numFmtId="14" fontId="21" fillId="0" borderId="0" xfId="0" applyNumberFormat="1" applyFont="1"/>
    <xf numFmtId="0" fontId="21" fillId="0" borderId="0" xfId="0" applyFont="1"/>
    <xf numFmtId="0" fontId="2" fillId="0" borderId="0" xfId="0" applyFont="1"/>
    <xf numFmtId="165" fontId="15" fillId="2" borderId="1" xfId="1" applyNumberFormat="1" applyFont="1"/>
    <xf numFmtId="9" fontId="15" fillId="2" borderId="1" xfId="1" applyNumberFormat="1" applyFont="1"/>
    <xf numFmtId="0" fontId="2" fillId="0" borderId="0" xfId="0" applyFont="1" applyAlignment="1">
      <alignment horizontal="right"/>
    </xf>
    <xf numFmtId="14" fontId="12" fillId="2" borderId="1" xfId="1" applyNumberFormat="1"/>
    <xf numFmtId="0" fontId="15" fillId="2" borderId="1" xfId="1" applyFont="1" applyAlignment="1">
      <alignment horizontal="right"/>
    </xf>
    <xf numFmtId="0" fontId="1" fillId="0" borderId="3" xfId="0" applyFont="1" applyBorder="1" applyAlignment="1">
      <alignment horizontal="center"/>
    </xf>
    <xf numFmtId="171" fontId="15" fillId="2" borderId="1" xfId="1" applyNumberFormat="1" applyFont="1"/>
    <xf numFmtId="172" fontId="15" fillId="2" borderId="1" xfId="1" applyNumberFormat="1" applyFont="1"/>
    <xf numFmtId="165" fontId="1" fillId="0" borderId="0" xfId="0" applyNumberFormat="1" applyFont="1" applyAlignment="1">
      <alignment horizontal="center"/>
    </xf>
    <xf numFmtId="166" fontId="16" fillId="3" borderId="2" xfId="2" applyNumberFormat="1" applyFont="1"/>
    <xf numFmtId="168" fontId="16" fillId="3" borderId="2" xfId="2" applyNumberFormat="1" applyFont="1"/>
    <xf numFmtId="167" fontId="16" fillId="3" borderId="2" xfId="2" applyNumberFormat="1" applyFont="1"/>
    <xf numFmtId="173" fontId="6" fillId="0" borderId="0" xfId="0" applyNumberFormat="1" applyFont="1"/>
    <xf numFmtId="173" fontId="1" fillId="0" borderId="3" xfId="0" applyNumberFormat="1" applyFont="1" applyBorder="1" applyAlignment="1">
      <alignment horizontal="center"/>
    </xf>
    <xf numFmtId="173" fontId="15" fillId="2" borderId="1" xfId="1" applyNumberFormat="1" applyFont="1"/>
    <xf numFmtId="173" fontId="1" fillId="0" borderId="0" xfId="0" applyNumberFormat="1" applyFont="1"/>
    <xf numFmtId="167" fontId="6" fillId="0" borderId="0" xfId="0" applyNumberFormat="1" applyFont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Walk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0.23146247822603372</c:v>
                </c:pt>
                <c:pt idx="12">
                  <c:v>0.23146247822603372</c:v>
                </c:pt>
                <c:pt idx="13">
                  <c:v>0.23146247822603372</c:v>
                </c:pt>
                <c:pt idx="14">
                  <c:v>0.23146247822603372</c:v>
                </c:pt>
                <c:pt idx="15">
                  <c:v>0.23146247822603372</c:v>
                </c:pt>
                <c:pt idx="16">
                  <c:v>0.23146247822603372</c:v>
                </c:pt>
                <c:pt idx="17">
                  <c:v>0.23146247822603372</c:v>
                </c:pt>
                <c:pt idx="18">
                  <c:v>0.23146247822603372</c:v>
                </c:pt>
                <c:pt idx="19">
                  <c:v>0.23146247822603372</c:v>
                </c:pt>
                <c:pt idx="20">
                  <c:v>0.23146247822603372</c:v>
                </c:pt>
                <c:pt idx="21">
                  <c:v>0.96317318103510807</c:v>
                </c:pt>
                <c:pt idx="22">
                  <c:v>0.96317318103510807</c:v>
                </c:pt>
                <c:pt idx="23">
                  <c:v>0.96317318103510807</c:v>
                </c:pt>
                <c:pt idx="24">
                  <c:v>0.96317318103510807</c:v>
                </c:pt>
                <c:pt idx="25">
                  <c:v>0.96317318103510807</c:v>
                </c:pt>
                <c:pt idx="26">
                  <c:v>0.96317318103510807</c:v>
                </c:pt>
                <c:pt idx="27">
                  <c:v>0.96317318103510807</c:v>
                </c:pt>
                <c:pt idx="28">
                  <c:v>0.96317318103510807</c:v>
                </c:pt>
                <c:pt idx="29">
                  <c:v>0.96317318103510807</c:v>
                </c:pt>
                <c:pt idx="30">
                  <c:v>0.96317318103510807</c:v>
                </c:pt>
                <c:pt idx="31">
                  <c:v>1.3624452642460725</c:v>
                </c:pt>
                <c:pt idx="32">
                  <c:v>1.3624452642460725</c:v>
                </c:pt>
                <c:pt idx="33">
                  <c:v>1.3624452642460725</c:v>
                </c:pt>
                <c:pt idx="34">
                  <c:v>1.3624452642460725</c:v>
                </c:pt>
                <c:pt idx="35">
                  <c:v>1.3624452642460725</c:v>
                </c:pt>
                <c:pt idx="36">
                  <c:v>1.3624452642460725</c:v>
                </c:pt>
                <c:pt idx="37">
                  <c:v>1.3624452642460725</c:v>
                </c:pt>
                <c:pt idx="38">
                  <c:v>1.3624452642460725</c:v>
                </c:pt>
                <c:pt idx="39">
                  <c:v>1.3624452642460725</c:v>
                </c:pt>
                <c:pt idx="40">
                  <c:v>1.3624452642460725</c:v>
                </c:pt>
                <c:pt idx="41">
                  <c:v>0.52182181840091868</c:v>
                </c:pt>
                <c:pt idx="42">
                  <c:v>0.52182181840091868</c:v>
                </c:pt>
                <c:pt idx="43">
                  <c:v>0.52182181840091868</c:v>
                </c:pt>
                <c:pt idx="44">
                  <c:v>0.52182181840091868</c:v>
                </c:pt>
                <c:pt idx="45">
                  <c:v>0.52182181840091868</c:v>
                </c:pt>
                <c:pt idx="46">
                  <c:v>0.52182181840091868</c:v>
                </c:pt>
                <c:pt idx="47">
                  <c:v>0.52182181840091868</c:v>
                </c:pt>
                <c:pt idx="48">
                  <c:v>0.52182181840091868</c:v>
                </c:pt>
                <c:pt idx="49">
                  <c:v>0.52182181840091868</c:v>
                </c:pt>
                <c:pt idx="50">
                  <c:v>0.52182181840091868</c:v>
                </c:pt>
                <c:pt idx="51">
                  <c:v>0.60723080710015798</c:v>
                </c:pt>
                <c:pt idx="52">
                  <c:v>0.60723080710015798</c:v>
                </c:pt>
                <c:pt idx="53">
                  <c:v>0.60723080710015798</c:v>
                </c:pt>
                <c:pt idx="54">
                  <c:v>0.60723080710015798</c:v>
                </c:pt>
                <c:pt idx="55">
                  <c:v>0.60723080710015798</c:v>
                </c:pt>
                <c:pt idx="56">
                  <c:v>0.60723080710015798</c:v>
                </c:pt>
                <c:pt idx="57">
                  <c:v>0.60723080710015798</c:v>
                </c:pt>
                <c:pt idx="58">
                  <c:v>0.60723080710015798</c:v>
                </c:pt>
                <c:pt idx="59">
                  <c:v>0.60723080710015798</c:v>
                </c:pt>
                <c:pt idx="60">
                  <c:v>0.60723080710015798</c:v>
                </c:pt>
                <c:pt idx="61">
                  <c:v>7.3285553096434919E-2</c:v>
                </c:pt>
                <c:pt idx="62">
                  <c:v>7.3285553096434919E-2</c:v>
                </c:pt>
                <c:pt idx="63">
                  <c:v>7.3285553096434919E-2</c:v>
                </c:pt>
                <c:pt idx="64">
                  <c:v>7.3285553096434919E-2</c:v>
                </c:pt>
                <c:pt idx="65">
                  <c:v>7.3285553096434919E-2</c:v>
                </c:pt>
                <c:pt idx="66">
                  <c:v>7.3285553096434919E-2</c:v>
                </c:pt>
                <c:pt idx="67">
                  <c:v>7.3285553096434919E-2</c:v>
                </c:pt>
                <c:pt idx="68">
                  <c:v>7.3285553096434919E-2</c:v>
                </c:pt>
                <c:pt idx="69">
                  <c:v>7.3285553096434919E-2</c:v>
                </c:pt>
                <c:pt idx="70">
                  <c:v>7.3285553096434919E-2</c:v>
                </c:pt>
                <c:pt idx="71">
                  <c:v>0.33381378253104654</c:v>
                </c:pt>
                <c:pt idx="72">
                  <c:v>0.33381378253104654</c:v>
                </c:pt>
                <c:pt idx="73">
                  <c:v>0.33381378253104654</c:v>
                </c:pt>
                <c:pt idx="74">
                  <c:v>0.33381378253104654</c:v>
                </c:pt>
                <c:pt idx="75">
                  <c:v>0.33381378253104654</c:v>
                </c:pt>
                <c:pt idx="76">
                  <c:v>0.33381378253104654</c:v>
                </c:pt>
                <c:pt idx="77">
                  <c:v>0.33381378253104654</c:v>
                </c:pt>
                <c:pt idx="78">
                  <c:v>0.33381378253104654</c:v>
                </c:pt>
                <c:pt idx="79">
                  <c:v>0.33381378253104654</c:v>
                </c:pt>
                <c:pt idx="80">
                  <c:v>0.33381378253104654</c:v>
                </c:pt>
                <c:pt idx="81">
                  <c:v>0.64985405849697075</c:v>
                </c:pt>
                <c:pt idx="82">
                  <c:v>0.64985405849697075</c:v>
                </c:pt>
                <c:pt idx="83">
                  <c:v>0.64985405849697075</c:v>
                </c:pt>
                <c:pt idx="84">
                  <c:v>0.64985405849697075</c:v>
                </c:pt>
                <c:pt idx="85">
                  <c:v>0.64985405849697075</c:v>
                </c:pt>
                <c:pt idx="86">
                  <c:v>0.64985405849697075</c:v>
                </c:pt>
                <c:pt idx="87">
                  <c:v>0.64985405849697075</c:v>
                </c:pt>
                <c:pt idx="88">
                  <c:v>0.64985405849697075</c:v>
                </c:pt>
                <c:pt idx="89">
                  <c:v>0.64985405849697075</c:v>
                </c:pt>
                <c:pt idx="90">
                  <c:v>0.64985405849697075</c:v>
                </c:pt>
                <c:pt idx="91">
                  <c:v>0.67190552850890617</c:v>
                </c:pt>
                <c:pt idx="92">
                  <c:v>0.67190552850890617</c:v>
                </c:pt>
                <c:pt idx="93">
                  <c:v>0.67190552850890617</c:v>
                </c:pt>
                <c:pt idx="94">
                  <c:v>0.67190552850890617</c:v>
                </c:pt>
                <c:pt idx="95">
                  <c:v>0.67190552850890617</c:v>
                </c:pt>
                <c:pt idx="96">
                  <c:v>0.67190552850890617</c:v>
                </c:pt>
                <c:pt idx="97">
                  <c:v>0.67190552850890617</c:v>
                </c:pt>
                <c:pt idx="98">
                  <c:v>0.67190552850890617</c:v>
                </c:pt>
                <c:pt idx="99">
                  <c:v>0.67190552850890617</c:v>
                </c:pt>
                <c:pt idx="100">
                  <c:v>0.67190552850890617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2.1042043475093992E-2</c:v>
                </c:pt>
                <c:pt idx="12">
                  <c:v>3.8577079704338983E-2</c:v>
                </c:pt>
                <c:pt idx="13">
                  <c:v>5.3414418052161627E-2</c:v>
                </c:pt>
                <c:pt idx="14">
                  <c:v>6.6132136636009656E-2</c:v>
                </c:pt>
                <c:pt idx="15">
                  <c:v>7.7154159408677911E-2</c:v>
                </c:pt>
                <c:pt idx="16">
                  <c:v>8.6798429334762645E-2</c:v>
                </c:pt>
                <c:pt idx="17">
                  <c:v>9.5308079269543322E-2</c:v>
                </c:pt>
                <c:pt idx="18">
                  <c:v>0.10287221254490388</c:v>
                </c:pt>
                <c:pt idx="19">
                  <c:v>0.10964012126496335</c:v>
                </c:pt>
                <c:pt idx="20">
                  <c:v>0.11573123911301686</c:v>
                </c:pt>
                <c:pt idx="21">
                  <c:v>0.15608561729978315</c:v>
                </c:pt>
                <c:pt idx="22">
                  <c:v>0.19277141565138886</c:v>
                </c:pt>
                <c:pt idx="23">
                  <c:v>0.2262671445811158</c:v>
                </c:pt>
                <c:pt idx="24">
                  <c:v>0.25697156276669886</c:v>
                </c:pt>
                <c:pt idx="25">
                  <c:v>0.28521962749743512</c:v>
                </c:pt>
                <c:pt idx="26">
                  <c:v>0.311294764171961</c:v>
                </c:pt>
                <c:pt idx="27">
                  <c:v>0.33543840924096646</c:v>
                </c:pt>
                <c:pt idx="28">
                  <c:v>0.35785750823361434</c:v>
                </c:pt>
                <c:pt idx="29">
                  <c:v>0.37873046246814873</c:v>
                </c:pt>
                <c:pt idx="30">
                  <c:v>0.39821188642038058</c:v>
                </c:pt>
                <c:pt idx="31">
                  <c:v>0.4293161889308868</c:v>
                </c:pt>
                <c:pt idx="32">
                  <c:v>0.45847647253448642</c:v>
                </c:pt>
                <c:pt idx="33">
                  <c:v>0.48586946622271626</c:v>
                </c:pt>
                <c:pt idx="34">
                  <c:v>0.51165110734105035</c:v>
                </c:pt>
                <c:pt idx="35">
                  <c:v>0.53595951182405088</c:v>
                </c:pt>
                <c:pt idx="36">
                  <c:v>0.55891744939132937</c:v>
                </c:pt>
                <c:pt idx="37">
                  <c:v>0.58063441736037635</c:v>
                </c:pt>
                <c:pt idx="38">
                  <c:v>0.60120838701526313</c:v>
                </c:pt>
                <c:pt idx="39">
                  <c:v>0.62072728130323251</c:v>
                </c:pt>
                <c:pt idx="40">
                  <c:v>0.63927023087680357</c:v>
                </c:pt>
                <c:pt idx="41">
                  <c:v>0.63640563545056239</c:v>
                </c:pt>
                <c:pt idx="42">
                  <c:v>0.63367744933033276</c:v>
                </c:pt>
                <c:pt idx="43">
                  <c:v>0.6310761555877884</c:v>
                </c:pt>
                <c:pt idx="44">
                  <c:v>0.62859310246990496</c:v>
                </c:pt>
                <c:pt idx="45">
                  <c:v>0.62622040726837191</c:v>
                </c:pt>
                <c:pt idx="46">
                  <c:v>0.62395087272777505</c:v>
                </c:pt>
                <c:pt idx="47">
                  <c:v>0.62177791412507599</c:v>
                </c:pt>
                <c:pt idx="48">
                  <c:v>0.61969549546415614</c:v>
                </c:pt>
                <c:pt idx="49">
                  <c:v>0.61769807348327366</c:v>
                </c:pt>
                <c:pt idx="50">
                  <c:v>0.61578054838162655</c:v>
                </c:pt>
                <c:pt idx="51">
                  <c:v>0.61561290639571553</c:v>
                </c:pt>
                <c:pt idx="52">
                  <c:v>0.61545171217849315</c:v>
                </c:pt>
                <c:pt idx="53">
                  <c:v>0.61529660076192083</c:v>
                </c:pt>
                <c:pt idx="54">
                  <c:v>0.61514723421262896</c:v>
                </c:pt>
                <c:pt idx="55">
                  <c:v>0.61500329917422036</c:v>
                </c:pt>
                <c:pt idx="56">
                  <c:v>0.61486450467289777</c:v>
                </c:pt>
                <c:pt idx="57">
                  <c:v>0.61473058015407778</c:v>
                </c:pt>
                <c:pt idx="58">
                  <c:v>0.61460127372211371</c:v>
                </c:pt>
                <c:pt idx="59">
                  <c:v>0.61447635055902972</c:v>
                </c:pt>
                <c:pt idx="60">
                  <c:v>0.61435559150138186</c:v>
                </c:pt>
                <c:pt idx="61">
                  <c:v>0.60548559087179255</c:v>
                </c:pt>
                <c:pt idx="62">
                  <c:v>0.59690171929477065</c:v>
                </c:pt>
                <c:pt idx="63">
                  <c:v>0.58859035157733675</c:v>
                </c:pt>
                <c:pt idx="64">
                  <c:v>0.58053871410107261</c:v>
                </c:pt>
                <c:pt idx="65">
                  <c:v>0.57273481931638592</c:v>
                </c:pt>
                <c:pt idx="66">
                  <c:v>0.56516740619184125</c:v>
                </c:pt>
                <c:pt idx="67">
                  <c:v>0.55782588599638738</c:v>
                </c:pt>
                <c:pt idx="68">
                  <c:v>0.5507002928655057</c:v>
                </c:pt>
                <c:pt idx="69">
                  <c:v>0.54378123866595396</c:v>
                </c:pt>
                <c:pt idx="70">
                  <c:v>0.53705987172924652</c:v>
                </c:pt>
                <c:pt idx="71">
                  <c:v>0.53419725075462399</c:v>
                </c:pt>
                <c:pt idx="72">
                  <c:v>0.53141414702929657</c:v>
                </c:pt>
                <c:pt idx="73">
                  <c:v>0.52870729272110129</c:v>
                </c:pt>
                <c:pt idx="74">
                  <c:v>0.52607359663745201</c:v>
                </c:pt>
                <c:pt idx="75">
                  <c:v>0.52351013244936651</c:v>
                </c:pt>
                <c:pt idx="76">
                  <c:v>0.5210141278451782</c:v>
                </c:pt>
                <c:pt idx="77">
                  <c:v>0.51858295452941017</c:v>
                </c:pt>
                <c:pt idx="78">
                  <c:v>0.51621411899096969</c:v>
                </c:pt>
                <c:pt idx="79">
                  <c:v>0.51390525397248954</c:v>
                </c:pt>
                <c:pt idx="80">
                  <c:v>0.51165411057947152</c:v>
                </c:pt>
                <c:pt idx="81">
                  <c:v>0.51336028277598389</c:v>
                </c:pt>
                <c:pt idx="82">
                  <c:v>0.51502484101648371</c:v>
                </c:pt>
                <c:pt idx="83">
                  <c:v>0.5166492894198631</c:v>
                </c:pt>
                <c:pt idx="84">
                  <c:v>0.51823506048030477</c:v>
                </c:pt>
                <c:pt idx="85">
                  <c:v>0.51978351928050082</c:v>
                </c:pt>
                <c:pt idx="86">
                  <c:v>0.52129596741092499</c:v>
                </c:pt>
                <c:pt idx="87">
                  <c:v>0.52277364661881054</c:v>
                </c:pt>
                <c:pt idx="88">
                  <c:v>0.52421774220833506</c:v>
                </c:pt>
                <c:pt idx="89">
                  <c:v>0.52562938621157818</c:v>
                </c:pt>
                <c:pt idx="90">
                  <c:v>0.52700966034808261</c:v>
                </c:pt>
                <c:pt idx="91">
                  <c:v>0.52860192263556416</c:v>
                </c:pt>
                <c:pt idx="92">
                  <c:v>0.53015957052549179</c:v>
                </c:pt>
                <c:pt idx="93">
                  <c:v>0.53168372061133495</c:v>
                </c:pt>
                <c:pt idx="94">
                  <c:v>0.53317544197194744</c:v>
                </c:pt>
                <c:pt idx="95">
                  <c:v>0.53463575867233648</c:v>
                </c:pt>
                <c:pt idx="96">
                  <c:v>0.53606565210813406</c:v>
                </c:pt>
                <c:pt idx="97">
                  <c:v>0.5374660632050493</c:v>
                </c:pt>
                <c:pt idx="98">
                  <c:v>0.53883789448366004</c:v>
                </c:pt>
                <c:pt idx="99">
                  <c:v>0.54018201199906657</c:v>
                </c:pt>
                <c:pt idx="100">
                  <c:v>0.54149924716416498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322896</xdr:colOff>
      <xdr:row>3</xdr:row>
      <xdr:rowOff>223836</xdr:rowOff>
    </xdr:from>
    <xdr:to>
      <xdr:col>19</xdr:col>
      <xdr:colOff>121919</xdr:colOff>
      <xdr:row>21</xdr:row>
      <xdr:rowOff>83819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G3" sqref="G3"/>
    </sheetView>
  </sheetViews>
  <sheetFormatPr defaultColWidth="9.109375" defaultRowHeight="18" x14ac:dyDescent="0.35"/>
  <cols>
    <col min="1" max="1" width="3.6640625" style="1" customWidth="1"/>
    <col min="2" max="2" width="41.44140625" style="1" bestFit="1" customWidth="1"/>
    <col min="3" max="3" width="3.6640625" style="1" customWidth="1"/>
    <col min="4" max="4" width="15.109375" style="1" bestFit="1" customWidth="1"/>
    <col min="5" max="5" width="41.44140625" style="1" bestFit="1" customWidth="1"/>
    <col min="6" max="6" width="3.6640625" style="1" customWidth="1"/>
    <col min="7" max="7" width="40.5546875" style="1" bestFit="1" customWidth="1"/>
    <col min="8" max="8" width="3.6640625" style="1" customWidth="1"/>
    <col min="9" max="9" width="15.44140625" style="1" bestFit="1" customWidth="1"/>
    <col min="10" max="10" width="40.5546875" style="1" bestFit="1" customWidth="1"/>
    <col min="11" max="16384" width="9.109375" style="1"/>
  </cols>
  <sheetData>
    <row r="2" spans="2:11" x14ac:dyDescent="0.35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29</v>
      </c>
      <c r="K2" s="1" cm="1">
        <f t="array" ref="K2">_xll.ENUM(J2)</f>
        <v>2</v>
      </c>
    </row>
    <row r="3" spans="2:11" x14ac:dyDescent="0.35">
      <c r="B3" s="1" t="str" cm="1">
        <f t="array" ref="B3:B7">TRANSPOSE(_xll.ENUM(B2))</f>
        <v>TMX_DAY_COUNT_30_360</v>
      </c>
      <c r="D3" s="2" t="s">
        <v>2</v>
      </c>
      <c r="E3" s="4">
        <f ca="1">TODAY()</f>
        <v>45413</v>
      </c>
      <c r="G3" s="1" t="str" cm="1">
        <f t="array" ref="G3:G6">TRANSPOSE(_xll.ENUM(G2))</f>
        <v>TMX_FREQUENCY_ANNUALLY</v>
      </c>
    </row>
    <row r="4" spans="2:11" x14ac:dyDescent="0.35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5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5">
      <c r="B6" s="1" t="str">
        <v>TMX_DAY_COUNT_ACTUAL_360</v>
      </c>
      <c r="G6" s="1" t="str">
        <v>TMX_FREQUENCY_MONTHLY</v>
      </c>
    </row>
    <row r="7" spans="2:11" x14ac:dyDescent="0.35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I15"/>
  <sheetViews>
    <sheetView workbookViewId="0">
      <selection activeCell="E2" sqref="E2"/>
    </sheetView>
  </sheetViews>
  <sheetFormatPr defaultColWidth="9.109375" defaultRowHeight="18" x14ac:dyDescent="0.35"/>
  <cols>
    <col min="1" max="1" width="3.6640625" style="13" customWidth="1"/>
    <col min="2" max="3" width="9.33203125" style="13" bestFit="1" customWidth="1"/>
    <col min="4" max="4" width="3.6640625" style="13" customWidth="1"/>
    <col min="5" max="5" width="13.6640625" style="13" bestFit="1" customWidth="1"/>
    <col min="6" max="6" width="9.33203125" style="13" bestFit="1" customWidth="1"/>
    <col min="7" max="7" width="9.109375" style="13"/>
    <col min="10" max="16384" width="9.109375" style="13"/>
  </cols>
  <sheetData>
    <row r="2" spans="2:9" x14ac:dyDescent="0.35">
      <c r="B2" s="3">
        <v>10</v>
      </c>
      <c r="D2" s="14" t="s">
        <v>15</v>
      </c>
      <c r="E2" s="11" cm="1">
        <f t="array" aca="1" ref="E2" ca="1">_xll.\TMX.INSTRUMENT(_xlfn.ANCHORARRAY(B3),_xlfn.ANCHORARRAY(C3))</f>
        <v>2465833309904</v>
      </c>
    </row>
    <row r="3" spans="2:9" x14ac:dyDescent="0.35">
      <c r="B3" s="13" cm="1">
        <f t="array" ref="B3:B12">_xlfn.SEQUENCE(B2,1,1)</f>
        <v>1</v>
      </c>
      <c r="C3" s="13" cm="1">
        <f t="array" aca="1" ref="C3:C12" ca="1">_xlfn.RANDARRAY(B2,1)</f>
        <v>0.84951294602262295</v>
      </c>
      <c r="E3" s="13" cm="1">
        <f t="array" aca="1" ref="E3:F12" ca="1">_xll.TMX.INSTRUMENT(E2)</f>
        <v>1</v>
      </c>
      <c r="F3" s="13">
        <f ca="1"/>
        <v>0.84951294602262295</v>
      </c>
      <c r="G3"/>
      <c r="H3" cm="1">
        <f t="array" aca="1" ref="H3:H12" ca="1">_xlfn.TAKE(_xlfn.ANCHORARRAY(B3),,1)-_xlfn.TAKE(_xlfn.ANCHORARRAY(E3),,1)</f>
        <v>0</v>
      </c>
      <c r="I3" cm="1">
        <f t="array" aca="1" ref="I3:I12" ca="1">_xlfn.TAKE(_xlfn.ANCHORARRAY(B3),,1)-_xlfn.TAKE(_xlfn.ANCHORARRAY(E3),,1)</f>
        <v>0</v>
      </c>
    </row>
    <row r="4" spans="2:9" x14ac:dyDescent="0.35">
      <c r="B4" s="13">
        <v>2</v>
      </c>
      <c r="C4" s="13">
        <f ca="1"/>
        <v>0.95016005830790751</v>
      </c>
      <c r="E4" s="13">
        <f ca="1"/>
        <v>2</v>
      </c>
      <c r="F4" s="13">
        <f ca="1"/>
        <v>0.95016005830790751</v>
      </c>
      <c r="G4"/>
      <c r="H4">
        <f ca="1"/>
        <v>0</v>
      </c>
      <c r="I4">
        <f ca="1"/>
        <v>0</v>
      </c>
    </row>
    <row r="5" spans="2:9" x14ac:dyDescent="0.35">
      <c r="B5" s="13">
        <v>3</v>
      </c>
      <c r="C5" s="13">
        <f ca="1"/>
        <v>0.16855230311256042</v>
      </c>
      <c r="E5" s="13">
        <f ca="1"/>
        <v>3</v>
      </c>
      <c r="F5" s="13">
        <f ca="1"/>
        <v>0.16855230311256042</v>
      </c>
      <c r="G5"/>
      <c r="H5">
        <f ca="1"/>
        <v>0</v>
      </c>
      <c r="I5">
        <f ca="1"/>
        <v>0</v>
      </c>
    </row>
    <row r="6" spans="2:9" x14ac:dyDescent="0.35">
      <c r="B6" s="13">
        <v>4</v>
      </c>
      <c r="C6" s="13">
        <f ca="1"/>
        <v>0.94219550888274917</v>
      </c>
      <c r="E6" s="13">
        <f ca="1"/>
        <v>4</v>
      </c>
      <c r="F6" s="13">
        <f ca="1"/>
        <v>0.94219550888274917</v>
      </c>
      <c r="G6"/>
      <c r="H6">
        <f ca="1"/>
        <v>0</v>
      </c>
      <c r="I6">
        <f ca="1"/>
        <v>0</v>
      </c>
    </row>
    <row r="7" spans="2:9" x14ac:dyDescent="0.35">
      <c r="B7" s="13">
        <v>5</v>
      </c>
      <c r="C7" s="13">
        <f ca="1"/>
        <v>0.58978552586866262</v>
      </c>
      <c r="E7" s="13">
        <f ca="1"/>
        <v>5</v>
      </c>
      <c r="F7" s="13">
        <f ca="1"/>
        <v>0.58978552586866262</v>
      </c>
      <c r="G7"/>
      <c r="H7">
        <f ca="1"/>
        <v>0</v>
      </c>
      <c r="I7">
        <f ca="1"/>
        <v>0</v>
      </c>
    </row>
    <row r="8" spans="2:9" x14ac:dyDescent="0.35">
      <c r="B8" s="13">
        <v>6</v>
      </c>
      <c r="C8" s="13">
        <f ca="1"/>
        <v>0.92262478631824751</v>
      </c>
      <c r="E8" s="13">
        <f ca="1"/>
        <v>6</v>
      </c>
      <c r="F8" s="13">
        <f ca="1"/>
        <v>0.92262478631824751</v>
      </c>
      <c r="G8"/>
      <c r="H8">
        <f ca="1"/>
        <v>0</v>
      </c>
      <c r="I8">
        <f ca="1"/>
        <v>0</v>
      </c>
    </row>
    <row r="9" spans="2:9" x14ac:dyDescent="0.35">
      <c r="B9" s="13">
        <v>7</v>
      </c>
      <c r="C9" s="13">
        <f ca="1"/>
        <v>0.94116878926001157</v>
      </c>
      <c r="E9" s="13">
        <f ca="1"/>
        <v>7</v>
      </c>
      <c r="F9" s="13">
        <f ca="1"/>
        <v>0.94116878926001157</v>
      </c>
      <c r="G9"/>
      <c r="H9">
        <f ca="1"/>
        <v>0</v>
      </c>
      <c r="I9">
        <f ca="1"/>
        <v>0</v>
      </c>
    </row>
    <row r="10" spans="2:9" x14ac:dyDescent="0.35">
      <c r="B10" s="13">
        <v>8</v>
      </c>
      <c r="C10" s="13">
        <f ca="1"/>
        <v>0.8996911154203624</v>
      </c>
      <c r="E10" s="13">
        <f ca="1"/>
        <v>8</v>
      </c>
      <c r="F10" s="13">
        <f ca="1"/>
        <v>0.8996911154203624</v>
      </c>
      <c r="G10"/>
      <c r="H10">
        <f ca="1"/>
        <v>0</v>
      </c>
      <c r="I10">
        <f ca="1"/>
        <v>0</v>
      </c>
    </row>
    <row r="11" spans="2:9" x14ac:dyDescent="0.35">
      <c r="B11" s="13">
        <v>9</v>
      </c>
      <c r="C11" s="13">
        <f ca="1"/>
        <v>0.82370779794995297</v>
      </c>
      <c r="E11" s="13">
        <f ca="1"/>
        <v>9</v>
      </c>
      <c r="F11" s="13">
        <f ca="1"/>
        <v>0.82370779794995297</v>
      </c>
      <c r="G11"/>
      <c r="H11">
        <f ca="1"/>
        <v>0</v>
      </c>
      <c r="I11">
        <f ca="1"/>
        <v>0</v>
      </c>
    </row>
    <row r="12" spans="2:9" x14ac:dyDescent="0.35">
      <c r="B12" s="13">
        <v>10</v>
      </c>
      <c r="C12" s="13">
        <f ca="1"/>
        <v>0.19206617821045313</v>
      </c>
      <c r="E12" s="13">
        <f ca="1"/>
        <v>10</v>
      </c>
      <c r="F12" s="13">
        <f ca="1"/>
        <v>0.19206617821045313</v>
      </c>
      <c r="G12"/>
      <c r="H12">
        <f ca="1"/>
        <v>0</v>
      </c>
      <c r="I12">
        <f ca="1"/>
        <v>0</v>
      </c>
    </row>
    <row r="13" spans="2:9" x14ac:dyDescent="0.35">
      <c r="G13"/>
    </row>
    <row r="14" spans="2:9" x14ac:dyDescent="0.35">
      <c r="G14"/>
    </row>
    <row r="15" spans="2:9" x14ac:dyDescent="0.35">
      <c r="G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M103"/>
  <sheetViews>
    <sheetView workbookViewId="0">
      <selection activeCell="E16" sqref="E16"/>
    </sheetView>
  </sheetViews>
  <sheetFormatPr defaultColWidth="9.109375" defaultRowHeight="18" x14ac:dyDescent="0.35"/>
  <cols>
    <col min="1" max="1" width="3.6640625" style="8" customWidth="1"/>
    <col min="2" max="5" width="9.109375" style="8"/>
    <col min="6" max="6" width="9.109375" style="8" customWidth="1"/>
    <col min="7" max="12" width="9.109375" style="8"/>
    <col min="13" max="13" width="9.109375" style="20" customWidth="1"/>
    <col min="14" max="16384" width="9.109375" style="8"/>
  </cols>
  <sheetData>
    <row r="2" spans="2:13" x14ac:dyDescent="0.35">
      <c r="B2" s="9" t="s">
        <v>8</v>
      </c>
      <c r="C2" s="9" t="s">
        <v>9</v>
      </c>
      <c r="D2" s="3">
        <v>10</v>
      </c>
      <c r="E2" s="10" t="s">
        <v>13</v>
      </c>
      <c r="F2" s="11" cm="1">
        <f t="array" aca="1" ref="F2" ca="1">_xll.\TMX.CURVE.PWFLAT(_xlfn.ANCHORARRAY(B3),_xlfn.ANCHORARRAY(C3))</f>
        <v>2465841562304</v>
      </c>
      <c r="I2" s="12" t="s">
        <v>14</v>
      </c>
      <c r="J2" s="9" t="s">
        <v>10</v>
      </c>
      <c r="K2" s="9" t="s">
        <v>11</v>
      </c>
      <c r="L2" s="9" t="s">
        <v>12</v>
      </c>
      <c r="M2" s="19" cm="1">
        <f t="array" aca="1" ref="M2" ca="1">_xll.\TMX.CURVE.CONSTANT(C3)</f>
        <v>2465841554384</v>
      </c>
    </row>
    <row r="3" spans="2:13" x14ac:dyDescent="0.35">
      <c r="B3" s="8" cm="1">
        <f t="array" ref="B3:B12">_xll.ARRAY.SEQUENCE(1,D2)</f>
        <v>1</v>
      </c>
      <c r="C3" s="8" cm="1">
        <f t="array" aca="1" ref="C3:C12" ca="1">_xlfn.VSTACK(0,_xlfn.SCAN(0,_xlfn.RANDARRAY(D2-1,1,-1,1),_xlfn.LAMBDA(_xlpm.a,_xlpm.b,_xlpm.a+_xlpm.b)))</f>
        <v>0</v>
      </c>
      <c r="F3" s="8" cm="1">
        <f t="array" aca="1" ref="F3:G13" ca="1">TRANSPOSE(_xll.TMX.CURVE.PWFLAT(F2))</f>
        <v>1</v>
      </c>
      <c r="G3" s="8">
        <f ca="1"/>
        <v>0</v>
      </c>
      <c r="I3" s="8" cm="1">
        <f t="array" ref="I3:I103">_xll.ARRAY.SEQUENCE(0,D2,0.1)</f>
        <v>0</v>
      </c>
      <c r="J3" s="8" cm="1">
        <f t="array" aca="1" ref="J3:J103" ca="1">_xlfn.MAP(_xlfn.ANCHORARRAY($I3),_xlfn.LAMBDA(_xlpm.t,_xll.TMX.CURVE.FORWARD(pwflat,_xlpm.t)))</f>
        <v>0</v>
      </c>
      <c r="K3" s="8" cm="1">
        <f t="array" aca="1" ref="K3:K103" ca="1">_xlfn.MAP(_xlfn.ANCHORARRAY($I3),_xlfn.LAMBDA(_xlpm.t,_xll.TMX.CURVE.SPOT(pwflat,_xlpm.t)))</f>
        <v>0</v>
      </c>
      <c r="L3" s="8" cm="1">
        <f t="array" aca="1" ref="L3:L103" ca="1">_xlfn.MAP(_xlfn.ANCHORARRAY($I3),_xlfn.LAMBDA(_xlpm.t,_xll.TMX.CURVE.DISCOUNT(pwflat,_xlpm.t)))</f>
        <v>1</v>
      </c>
      <c r="M3" s="20" cm="1">
        <f t="array" aca="1" ref="M3:M103" ca="1">_xlfn.MAP(_xlfn.ANCHORARRAY(I3),_xlfn.LAMBDA(_xlpm.t,_xll.TMX.CURVE.FORWARD(M2,_xlpm.t)))</f>
        <v>0</v>
      </c>
    </row>
    <row r="4" spans="2:13" x14ac:dyDescent="0.35">
      <c r="B4" s="8">
        <v>2</v>
      </c>
      <c r="C4" s="8">
        <f ca="1"/>
        <v>0.23146247822603372</v>
      </c>
      <c r="F4" s="8">
        <f ca="1"/>
        <v>2</v>
      </c>
      <c r="G4" s="8">
        <f ca="1"/>
        <v>0.23146247822603372</v>
      </c>
      <c r="I4" s="8">
        <v>0.1</v>
      </c>
      <c r="J4" s="8">
        <f ca="1"/>
        <v>0</v>
      </c>
      <c r="K4" s="8">
        <f ca="1"/>
        <v>0</v>
      </c>
      <c r="L4" s="8">
        <f ca="1"/>
        <v>1</v>
      </c>
      <c r="M4" s="20">
        <f ca="1"/>
        <v>0</v>
      </c>
    </row>
    <row r="5" spans="2:13" x14ac:dyDescent="0.35">
      <c r="B5" s="8">
        <v>3</v>
      </c>
      <c r="C5" s="8">
        <f ca="1"/>
        <v>0.96317318103510807</v>
      </c>
      <c r="F5" s="8">
        <f ca="1"/>
        <v>3</v>
      </c>
      <c r="G5" s="8">
        <f ca="1"/>
        <v>0.96317318103510807</v>
      </c>
      <c r="I5" s="8">
        <v>0.2</v>
      </c>
      <c r="J5" s="8">
        <f ca="1"/>
        <v>0</v>
      </c>
      <c r="K5" s="8">
        <f ca="1"/>
        <v>0</v>
      </c>
      <c r="L5" s="8">
        <f ca="1"/>
        <v>1</v>
      </c>
      <c r="M5" s="20">
        <f ca="1"/>
        <v>0</v>
      </c>
    </row>
    <row r="6" spans="2:13" x14ac:dyDescent="0.35">
      <c r="B6" s="8">
        <v>4</v>
      </c>
      <c r="C6" s="8">
        <f ca="1"/>
        <v>1.3624452642460725</v>
      </c>
      <c r="F6" s="8">
        <f ca="1"/>
        <v>4</v>
      </c>
      <c r="G6" s="8">
        <f ca="1"/>
        <v>1.3624452642460725</v>
      </c>
      <c r="I6" s="8">
        <v>0.30000000000000004</v>
      </c>
      <c r="J6" s="8">
        <f ca="1"/>
        <v>0</v>
      </c>
      <c r="K6" s="8">
        <f ca="1"/>
        <v>0</v>
      </c>
      <c r="L6" s="8">
        <f ca="1"/>
        <v>1</v>
      </c>
      <c r="M6" s="20">
        <f ca="1"/>
        <v>0</v>
      </c>
    </row>
    <row r="7" spans="2:13" x14ac:dyDescent="0.35">
      <c r="B7" s="8">
        <v>5</v>
      </c>
      <c r="C7" s="8">
        <f ca="1"/>
        <v>0.52182181840091868</v>
      </c>
      <c r="F7" s="8">
        <f ca="1"/>
        <v>5</v>
      </c>
      <c r="G7" s="8">
        <f ca="1"/>
        <v>0.52182181840091868</v>
      </c>
      <c r="I7" s="8">
        <v>0.4</v>
      </c>
      <c r="J7" s="8">
        <f ca="1"/>
        <v>0</v>
      </c>
      <c r="K7" s="8">
        <f ca="1"/>
        <v>0</v>
      </c>
      <c r="L7" s="8">
        <f ca="1"/>
        <v>1</v>
      </c>
      <c r="M7" s="20">
        <f ca="1"/>
        <v>0</v>
      </c>
    </row>
    <row r="8" spans="2:13" x14ac:dyDescent="0.35">
      <c r="B8" s="8">
        <v>6</v>
      </c>
      <c r="C8" s="8">
        <f ca="1"/>
        <v>0.60723080710015798</v>
      </c>
      <c r="F8" s="8">
        <f ca="1"/>
        <v>6</v>
      </c>
      <c r="G8" s="8">
        <f ca="1"/>
        <v>0.60723080710015798</v>
      </c>
      <c r="I8" s="8">
        <v>0.5</v>
      </c>
      <c r="J8" s="8">
        <f ca="1"/>
        <v>0</v>
      </c>
      <c r="K8" s="8">
        <f ca="1"/>
        <v>0</v>
      </c>
      <c r="L8" s="8">
        <f ca="1"/>
        <v>1</v>
      </c>
      <c r="M8" s="20">
        <f ca="1"/>
        <v>0</v>
      </c>
    </row>
    <row r="9" spans="2:13" x14ac:dyDescent="0.35">
      <c r="B9" s="8">
        <v>7</v>
      </c>
      <c r="C9" s="8">
        <f ca="1"/>
        <v>7.3285553096434919E-2</v>
      </c>
      <c r="F9" s="8">
        <f ca="1"/>
        <v>7</v>
      </c>
      <c r="G9" s="8">
        <f ca="1"/>
        <v>7.3285553096434919E-2</v>
      </c>
      <c r="I9" s="8">
        <v>0.60000000000000009</v>
      </c>
      <c r="J9" s="8">
        <f ca="1"/>
        <v>0</v>
      </c>
      <c r="K9" s="8">
        <f ca="1"/>
        <v>0</v>
      </c>
      <c r="L9" s="8">
        <f ca="1"/>
        <v>1</v>
      </c>
      <c r="M9" s="20">
        <f ca="1"/>
        <v>0</v>
      </c>
    </row>
    <row r="10" spans="2:13" x14ac:dyDescent="0.35">
      <c r="B10" s="8">
        <v>8</v>
      </c>
      <c r="C10" s="8">
        <f ca="1"/>
        <v>0.33381378253104654</v>
      </c>
      <c r="F10" s="8">
        <f ca="1"/>
        <v>8</v>
      </c>
      <c r="G10" s="8">
        <f ca="1"/>
        <v>0.33381378253104654</v>
      </c>
      <c r="I10" s="8">
        <v>0.70000000000000007</v>
      </c>
      <c r="J10" s="8">
        <f ca="1"/>
        <v>0</v>
      </c>
      <c r="K10" s="8">
        <f ca="1"/>
        <v>0</v>
      </c>
      <c r="L10" s="8">
        <f ca="1"/>
        <v>1</v>
      </c>
      <c r="M10" s="20">
        <f ca="1"/>
        <v>0</v>
      </c>
    </row>
    <row r="11" spans="2:13" x14ac:dyDescent="0.35">
      <c r="B11" s="8">
        <v>9</v>
      </c>
      <c r="C11" s="8">
        <f ca="1"/>
        <v>0.64985405849697075</v>
      </c>
      <c r="F11" s="8">
        <f ca="1"/>
        <v>9</v>
      </c>
      <c r="G11" s="8">
        <f ca="1"/>
        <v>0.64985405849697075</v>
      </c>
      <c r="I11" s="8">
        <v>0.8</v>
      </c>
      <c r="J11" s="8">
        <f ca="1"/>
        <v>0</v>
      </c>
      <c r="K11" s="8">
        <f ca="1"/>
        <v>0</v>
      </c>
      <c r="L11" s="8">
        <f ca="1"/>
        <v>1</v>
      </c>
      <c r="M11" s="20">
        <f ca="1"/>
        <v>0</v>
      </c>
    </row>
    <row r="12" spans="2:13" x14ac:dyDescent="0.35">
      <c r="B12" s="8">
        <v>10</v>
      </c>
      <c r="C12" s="8">
        <f ca="1"/>
        <v>0.67190552850890617</v>
      </c>
      <c r="F12" s="8">
        <f ca="1"/>
        <v>10</v>
      </c>
      <c r="G12" s="8">
        <f ca="1"/>
        <v>0.67190552850890617</v>
      </c>
      <c r="I12" s="8">
        <v>0.9</v>
      </c>
      <c r="J12" s="8">
        <f ca="1"/>
        <v>0</v>
      </c>
      <c r="K12" s="8">
        <f ca="1"/>
        <v>0</v>
      </c>
      <c r="L12" s="8">
        <f ca="1"/>
        <v>1</v>
      </c>
      <c r="M12" s="20">
        <f ca="1"/>
        <v>0</v>
      </c>
    </row>
    <row r="13" spans="2:13" x14ac:dyDescent="0.35">
      <c r="F13" s="8">
        <f ca="1"/>
        <v>10</v>
      </c>
      <c r="G13" s="8" t="e">
        <f ca="1"/>
        <v>#NUM!</v>
      </c>
      <c r="I13" s="8">
        <v>1</v>
      </c>
      <c r="J13" s="8">
        <f ca="1"/>
        <v>0</v>
      </c>
      <c r="K13" s="8">
        <f ca="1"/>
        <v>0</v>
      </c>
      <c r="L13" s="8">
        <f ca="1"/>
        <v>1</v>
      </c>
      <c r="M13" s="20">
        <f ca="1"/>
        <v>0</v>
      </c>
    </row>
    <row r="14" spans="2:13" x14ac:dyDescent="0.35">
      <c r="I14" s="8">
        <v>1.1000000000000001</v>
      </c>
      <c r="J14" s="8">
        <f ca="1"/>
        <v>0.23146247822603372</v>
      </c>
      <c r="K14" s="8">
        <f ca="1"/>
        <v>2.1042043475093992E-2</v>
      </c>
      <c r="L14" s="8">
        <f ca="1"/>
        <v>0.97711957176860709</v>
      </c>
      <c r="M14" s="20">
        <f ca="1"/>
        <v>0</v>
      </c>
    </row>
    <row r="15" spans="2:13" x14ac:dyDescent="0.35">
      <c r="I15" s="8">
        <v>1.2000000000000002</v>
      </c>
      <c r="J15" s="8">
        <f ca="1"/>
        <v>0.23146247822603372</v>
      </c>
      <c r="K15" s="8">
        <f ca="1"/>
        <v>3.8577079704338983E-2</v>
      </c>
      <c r="L15" s="8">
        <f ca="1"/>
        <v>0.95476265741191024</v>
      </c>
      <c r="M15" s="20">
        <f ca="1"/>
        <v>0</v>
      </c>
    </row>
    <row r="16" spans="2:13" x14ac:dyDescent="0.35">
      <c r="I16" s="8">
        <v>1.3</v>
      </c>
      <c r="J16" s="8">
        <f ca="1"/>
        <v>0.23146247822603372</v>
      </c>
      <c r="K16" s="8">
        <f ca="1"/>
        <v>5.3414418052161627E-2</v>
      </c>
      <c r="L16" s="8">
        <f ca="1"/>
        <v>0.93291727875743069</v>
      </c>
      <c r="M16" s="20">
        <f ca="1"/>
        <v>0</v>
      </c>
    </row>
    <row r="17" spans="9:13" x14ac:dyDescent="0.35">
      <c r="I17" s="8">
        <v>1.4000000000000001</v>
      </c>
      <c r="J17" s="8">
        <f ca="1"/>
        <v>0.23146247822603372</v>
      </c>
      <c r="K17" s="8">
        <f ca="1"/>
        <v>6.6132136636009656E-2</v>
      </c>
      <c r="L17" s="8">
        <f ca="1"/>
        <v>0.91157173202562003</v>
      </c>
      <c r="M17" s="20">
        <f ca="1"/>
        <v>0</v>
      </c>
    </row>
    <row r="18" spans="9:13" x14ac:dyDescent="0.35">
      <c r="I18" s="8">
        <v>1.5</v>
      </c>
      <c r="J18" s="8">
        <f ca="1"/>
        <v>0.23146247822603372</v>
      </c>
      <c r="K18" s="8">
        <f ca="1"/>
        <v>7.7154159408677911E-2</v>
      </c>
      <c r="L18" s="8">
        <f ca="1"/>
        <v>0.89071458042617613</v>
      </c>
      <c r="M18" s="20">
        <f ca="1"/>
        <v>0</v>
      </c>
    </row>
    <row r="19" spans="9:13" x14ac:dyDescent="0.35">
      <c r="I19" s="8">
        <v>1.6</v>
      </c>
      <c r="J19" s="8">
        <f ca="1"/>
        <v>0.23146247822603372</v>
      </c>
      <c r="K19" s="8">
        <f ca="1"/>
        <v>8.6798429334762645E-2</v>
      </c>
      <c r="L19" s="8">
        <f ca="1"/>
        <v>0.87033464948613026</v>
      </c>
      <c r="M19" s="20">
        <f ca="1"/>
        <v>0</v>
      </c>
    </row>
    <row r="20" spans="9:13" x14ac:dyDescent="0.35">
      <c r="I20" s="8">
        <v>1.7000000000000002</v>
      </c>
      <c r="J20" s="8">
        <f ca="1"/>
        <v>0.23146247822603372</v>
      </c>
      <c r="K20" s="8">
        <f ca="1"/>
        <v>9.5308079269543322E-2</v>
      </c>
      <c r="L20" s="8">
        <f ca="1"/>
        <v>0.85042101975183082</v>
      </c>
      <c r="M20" s="20">
        <f ca="1"/>
        <v>0</v>
      </c>
    </row>
    <row r="21" spans="9:13" x14ac:dyDescent="0.35">
      <c r="I21" s="8">
        <v>1.8</v>
      </c>
      <c r="J21" s="8">
        <f ca="1"/>
        <v>0.23146247822603372</v>
      </c>
      <c r="K21" s="8">
        <f ca="1"/>
        <v>0.10287221254490388</v>
      </c>
      <c r="L21" s="8">
        <f ca="1"/>
        <v>0.83096302257374799</v>
      </c>
      <c r="M21" s="20">
        <f ca="1"/>
        <v>0</v>
      </c>
    </row>
    <row r="22" spans="9:13" x14ac:dyDescent="0.35">
      <c r="I22" s="8">
        <v>1.9000000000000001</v>
      </c>
      <c r="J22" s="8">
        <f ca="1"/>
        <v>0.23146247822603372</v>
      </c>
      <c r="K22" s="8">
        <f ca="1"/>
        <v>0.10964012126496335</v>
      </c>
      <c r="L22" s="8">
        <f ca="1"/>
        <v>0.8119502326738377</v>
      </c>
      <c r="M22" s="20">
        <f ca="1"/>
        <v>0</v>
      </c>
    </row>
    <row r="23" spans="9:13" x14ac:dyDescent="0.35">
      <c r="I23" s="8">
        <v>2</v>
      </c>
      <c r="J23" s="8">
        <f ca="1"/>
        <v>0.23146247822603372</v>
      </c>
      <c r="K23" s="8">
        <f ca="1"/>
        <v>0.11573123911301686</v>
      </c>
      <c r="L23" s="8">
        <f ca="1"/>
        <v>0.79337246348770629</v>
      </c>
      <c r="M23" s="20">
        <f ca="1"/>
        <v>0</v>
      </c>
    </row>
    <row r="24" spans="9:13" x14ac:dyDescent="0.35">
      <c r="I24" s="8">
        <v>2.1</v>
      </c>
      <c r="J24" s="8">
        <f ca="1"/>
        <v>0.96317318103510807</v>
      </c>
      <c r="K24" s="8">
        <f ca="1"/>
        <v>0.15608561729978315</v>
      </c>
      <c r="L24" s="8">
        <f ca="1"/>
        <v>0.72052166386918848</v>
      </c>
      <c r="M24" s="20">
        <f ca="1"/>
        <v>0</v>
      </c>
    </row>
    <row r="25" spans="9:13" x14ac:dyDescent="0.35">
      <c r="I25" s="8">
        <v>2.2000000000000002</v>
      </c>
      <c r="J25" s="8">
        <f ca="1"/>
        <v>0.96317318103510807</v>
      </c>
      <c r="K25" s="8">
        <f ca="1"/>
        <v>0.19277141565138886</v>
      </c>
      <c r="L25" s="8">
        <f ca="1"/>
        <v>0.65436033094055879</v>
      </c>
      <c r="M25" s="20">
        <f ca="1"/>
        <v>0</v>
      </c>
    </row>
    <row r="26" spans="9:13" x14ac:dyDescent="0.35">
      <c r="I26" s="8">
        <v>2.3000000000000003</v>
      </c>
      <c r="J26" s="8">
        <f ca="1"/>
        <v>0.96317318103510807</v>
      </c>
      <c r="K26" s="8">
        <f ca="1"/>
        <v>0.2262671445811158</v>
      </c>
      <c r="L26" s="8">
        <f ca="1"/>
        <v>0.59427420997680802</v>
      </c>
      <c r="M26" s="20">
        <f ca="1"/>
        <v>0</v>
      </c>
    </row>
    <row r="27" spans="9:13" x14ac:dyDescent="0.35">
      <c r="I27" s="8">
        <v>2.4000000000000004</v>
      </c>
      <c r="J27" s="8">
        <f ca="1"/>
        <v>0.96317318103510807</v>
      </c>
      <c r="K27" s="8">
        <f ca="1"/>
        <v>0.25697156276669886</v>
      </c>
      <c r="L27" s="8">
        <f ca="1"/>
        <v>0.53970545042230045</v>
      </c>
      <c r="M27" s="20">
        <f ca="1"/>
        <v>0</v>
      </c>
    </row>
    <row r="28" spans="9:13" x14ac:dyDescent="0.35">
      <c r="I28" s="8">
        <v>2.5</v>
      </c>
      <c r="J28" s="8">
        <f ca="1"/>
        <v>0.96317318103510807</v>
      </c>
      <c r="K28" s="8">
        <f ca="1"/>
        <v>0.28521962749743512</v>
      </c>
      <c r="L28" s="8">
        <f ca="1"/>
        <v>0.49014742412117318</v>
      </c>
      <c r="M28" s="20">
        <f ca="1"/>
        <v>0</v>
      </c>
    </row>
    <row r="29" spans="9:13" x14ac:dyDescent="0.35">
      <c r="I29" s="8">
        <v>2.6</v>
      </c>
      <c r="J29" s="8">
        <f ca="1"/>
        <v>0.96317318103510807</v>
      </c>
      <c r="K29" s="8">
        <f ca="1"/>
        <v>0.311294764171961</v>
      </c>
      <c r="L29" s="8">
        <f ca="1"/>
        <v>0.44514002330608621</v>
      </c>
      <c r="M29" s="20">
        <f ca="1"/>
        <v>0</v>
      </c>
    </row>
    <row r="30" spans="9:13" x14ac:dyDescent="0.35">
      <c r="I30" s="8">
        <v>2.7</v>
      </c>
      <c r="J30" s="8">
        <f ca="1"/>
        <v>0.96317318103510807</v>
      </c>
      <c r="K30" s="8">
        <f ca="1"/>
        <v>0.33543840924096646</v>
      </c>
      <c r="L30" s="8">
        <f ca="1"/>
        <v>0.40426539174965914</v>
      </c>
      <c r="M30" s="20">
        <f ca="1"/>
        <v>0</v>
      </c>
    </row>
    <row r="31" spans="9:13" x14ac:dyDescent="0.35">
      <c r="I31" s="8">
        <v>2.8000000000000003</v>
      </c>
      <c r="J31" s="8">
        <f ca="1"/>
        <v>0.96317318103510807</v>
      </c>
      <c r="K31" s="8">
        <f ca="1"/>
        <v>0.35785750823361434</v>
      </c>
      <c r="L31" s="8">
        <f ca="1"/>
        <v>0.3671440421030675</v>
      </c>
      <c r="M31" s="20">
        <f ca="1"/>
        <v>0</v>
      </c>
    </row>
    <row r="32" spans="9:13" x14ac:dyDescent="0.35">
      <c r="I32" s="8">
        <v>2.9000000000000004</v>
      </c>
      <c r="J32" s="8">
        <f ca="1"/>
        <v>0.96317318103510807</v>
      </c>
      <c r="K32" s="8">
        <f ca="1"/>
        <v>0.37873046246814873</v>
      </c>
      <c r="L32" s="8">
        <f ca="1"/>
        <v>0.33343133074286141</v>
      </c>
      <c r="M32" s="20">
        <f ca="1"/>
        <v>0</v>
      </c>
    </row>
    <row r="33" spans="9:13" x14ac:dyDescent="0.35">
      <c r="I33" s="8">
        <v>3</v>
      </c>
      <c r="J33" s="8">
        <f ca="1"/>
        <v>0.96317318103510807</v>
      </c>
      <c r="K33" s="8">
        <f ca="1"/>
        <v>0.39821188642038058</v>
      </c>
      <c r="L33" s="8">
        <f ca="1"/>
        <v>0.30281426152992513</v>
      </c>
      <c r="M33" s="20">
        <f ca="1"/>
        <v>0</v>
      </c>
    </row>
    <row r="34" spans="9:13" x14ac:dyDescent="0.35">
      <c r="I34" s="8">
        <v>3.1</v>
      </c>
      <c r="J34" s="8">
        <f ca="1"/>
        <v>1.3624452642460725</v>
      </c>
      <c r="K34" s="8">
        <f ca="1"/>
        <v>0.4293161889308868</v>
      </c>
      <c r="L34" s="8">
        <f ca="1"/>
        <v>0.26424457404297025</v>
      </c>
      <c r="M34" s="20">
        <f ca="1"/>
        <v>0</v>
      </c>
    </row>
    <row r="35" spans="9:13" x14ac:dyDescent="0.35">
      <c r="I35" s="8">
        <v>3.2</v>
      </c>
      <c r="J35" s="8">
        <f ca="1"/>
        <v>1.3624452642460725</v>
      </c>
      <c r="K35" s="8">
        <f ca="1"/>
        <v>0.45847647253448642</v>
      </c>
      <c r="L35" s="8">
        <f ca="1"/>
        <v>0.23058753871050788</v>
      </c>
      <c r="M35" s="20">
        <f ca="1"/>
        <v>0</v>
      </c>
    </row>
    <row r="36" spans="9:13" x14ac:dyDescent="0.35">
      <c r="I36" s="8">
        <v>3.3000000000000003</v>
      </c>
      <c r="J36" s="8">
        <f ca="1"/>
        <v>1.3624452642460725</v>
      </c>
      <c r="K36" s="8">
        <f ca="1"/>
        <v>0.48586946622271626</v>
      </c>
      <c r="L36" s="8">
        <f ca="1"/>
        <v>0.20121742594813091</v>
      </c>
      <c r="M36" s="20">
        <f ca="1"/>
        <v>0</v>
      </c>
    </row>
    <row r="37" spans="9:13" x14ac:dyDescent="0.35">
      <c r="I37" s="8">
        <v>3.4000000000000004</v>
      </c>
      <c r="J37" s="8">
        <f ca="1"/>
        <v>1.3624452642460725</v>
      </c>
      <c r="K37" s="8">
        <f ca="1"/>
        <v>0.51165110734105035</v>
      </c>
      <c r="L37" s="8">
        <f ca="1"/>
        <v>0.17558820553469759</v>
      </c>
      <c r="M37" s="20">
        <f ca="1"/>
        <v>0</v>
      </c>
    </row>
    <row r="38" spans="9:13" x14ac:dyDescent="0.35">
      <c r="I38" s="8">
        <v>3.5</v>
      </c>
      <c r="J38" s="8">
        <f ca="1"/>
        <v>1.3624452642460725</v>
      </c>
      <c r="K38" s="8">
        <f ca="1"/>
        <v>0.53595951182405088</v>
      </c>
      <c r="L38" s="8">
        <f ca="1"/>
        <v>0.15322339905625715</v>
      </c>
      <c r="M38" s="20">
        <f ca="1"/>
        <v>0</v>
      </c>
    </row>
    <row r="39" spans="9:13" x14ac:dyDescent="0.35">
      <c r="I39" s="8">
        <v>3.6</v>
      </c>
      <c r="J39" s="8">
        <f ca="1"/>
        <v>1.3624452642460725</v>
      </c>
      <c r="K39" s="8">
        <f ca="1"/>
        <v>0.55891744939132937</v>
      </c>
      <c r="L39" s="8">
        <f ca="1"/>
        <v>0.13370721729547652</v>
      </c>
      <c r="M39" s="20">
        <f ca="1"/>
        <v>0</v>
      </c>
    </row>
    <row r="40" spans="9:13" x14ac:dyDescent="0.35">
      <c r="I40" s="8">
        <v>3.7</v>
      </c>
      <c r="J40" s="8">
        <f ca="1"/>
        <v>1.3624452642460725</v>
      </c>
      <c r="K40" s="8">
        <f ca="1"/>
        <v>0.58063441736037635</v>
      </c>
      <c r="L40" s="8">
        <f ca="1"/>
        <v>0.1166768262615246</v>
      </c>
      <c r="M40" s="20">
        <f ca="1"/>
        <v>0</v>
      </c>
    </row>
    <row r="41" spans="9:13" x14ac:dyDescent="0.35">
      <c r="I41" s="8">
        <v>3.8000000000000003</v>
      </c>
      <c r="J41" s="8">
        <f ca="1"/>
        <v>1.3624452642460725</v>
      </c>
      <c r="K41" s="8">
        <f ca="1"/>
        <v>0.60120838701526313</v>
      </c>
      <c r="L41" s="8">
        <f ca="1"/>
        <v>0.10181560716412598</v>
      </c>
      <c r="M41" s="20">
        <f ca="1"/>
        <v>0</v>
      </c>
    </row>
    <row r="42" spans="9:13" x14ac:dyDescent="0.35">
      <c r="I42" s="8">
        <v>3.9000000000000004</v>
      </c>
      <c r="J42" s="8">
        <f ca="1"/>
        <v>1.3624452642460725</v>
      </c>
      <c r="K42" s="8">
        <f ca="1"/>
        <v>0.62072728130323251</v>
      </c>
      <c r="L42" s="8">
        <f ca="1"/>
        <v>8.8847273643359398E-2</v>
      </c>
      <c r="M42" s="20">
        <f ca="1"/>
        <v>0</v>
      </c>
    </row>
    <row r="43" spans="9:13" x14ac:dyDescent="0.35">
      <c r="I43" s="8">
        <v>4</v>
      </c>
      <c r="J43" s="8">
        <f ca="1"/>
        <v>1.3624452642460725</v>
      </c>
      <c r="K43" s="8">
        <f ca="1"/>
        <v>0.63927023087680357</v>
      </c>
      <c r="L43" s="8">
        <f ca="1"/>
        <v>7.7530728978691066E-2</v>
      </c>
      <c r="M43" s="20">
        <f ca="1"/>
        <v>0</v>
      </c>
    </row>
    <row r="44" spans="9:13" x14ac:dyDescent="0.35">
      <c r="I44" s="8">
        <v>4.1000000000000005</v>
      </c>
      <c r="J44" s="8">
        <f ca="1"/>
        <v>0.52182181840091868</v>
      </c>
      <c r="K44" s="8">
        <f ca="1"/>
        <v>0.63640563545056239</v>
      </c>
      <c r="L44" s="8">
        <f ca="1"/>
        <v>7.3588751541129482E-2</v>
      </c>
      <c r="M44" s="20">
        <f ca="1"/>
        <v>0</v>
      </c>
    </row>
    <row r="45" spans="9:13" x14ac:dyDescent="0.35">
      <c r="I45" s="8">
        <v>4.2</v>
      </c>
      <c r="J45" s="8">
        <f ca="1"/>
        <v>0.52182181840091868</v>
      </c>
      <c r="K45" s="8">
        <f ca="1"/>
        <v>0.63367744933033276</v>
      </c>
      <c r="L45" s="8">
        <f ca="1"/>
        <v>6.9847200362795764E-2</v>
      </c>
      <c r="M45" s="20">
        <f ca="1"/>
        <v>0</v>
      </c>
    </row>
    <row r="46" spans="9:13" x14ac:dyDescent="0.35">
      <c r="I46" s="8">
        <v>4.3</v>
      </c>
      <c r="J46" s="8">
        <f ca="1"/>
        <v>0.52182181840091868</v>
      </c>
      <c r="K46" s="8">
        <f ca="1"/>
        <v>0.6310761555877884</v>
      </c>
      <c r="L46" s="8">
        <f ca="1"/>
        <v>6.6295884993649148E-2</v>
      </c>
      <c r="M46" s="20">
        <f ca="1"/>
        <v>0</v>
      </c>
    </row>
    <row r="47" spans="9:13" x14ac:dyDescent="0.35">
      <c r="I47" s="8">
        <v>4.4000000000000004</v>
      </c>
      <c r="J47" s="8">
        <f ca="1"/>
        <v>0.52182181840091868</v>
      </c>
      <c r="K47" s="8">
        <f ca="1"/>
        <v>0.62859310246990496</v>
      </c>
      <c r="L47" s="8">
        <f ca="1"/>
        <v>6.2925133120932744E-2</v>
      </c>
      <c r="M47" s="20">
        <f ca="1"/>
        <v>0</v>
      </c>
    </row>
    <row r="48" spans="9:13" x14ac:dyDescent="0.35">
      <c r="I48" s="8">
        <v>4.5</v>
      </c>
      <c r="J48" s="8">
        <f ca="1"/>
        <v>0.52182181840091868</v>
      </c>
      <c r="K48" s="8">
        <f ca="1"/>
        <v>0.62622040726837191</v>
      </c>
      <c r="L48" s="8">
        <f ca="1"/>
        <v>5.9725761320358055E-2</v>
      </c>
      <c r="M48" s="20">
        <f ca="1"/>
        <v>0</v>
      </c>
    </row>
    <row r="49" spans="9:13" x14ac:dyDescent="0.35">
      <c r="I49" s="8">
        <v>4.6000000000000005</v>
      </c>
      <c r="J49" s="8">
        <f ca="1"/>
        <v>0.52182181840091868</v>
      </c>
      <c r="K49" s="8">
        <f ca="1"/>
        <v>0.62395087272777505</v>
      </c>
      <c r="L49" s="8">
        <f ca="1"/>
        <v>5.6689060480050499E-2</v>
      </c>
      <c r="M49" s="20">
        <f ca="1"/>
        <v>0</v>
      </c>
    </row>
    <row r="50" spans="9:13" x14ac:dyDescent="0.35">
      <c r="I50" s="8">
        <v>4.7</v>
      </c>
      <c r="J50" s="8">
        <f ca="1"/>
        <v>0.52182181840091868</v>
      </c>
      <c r="K50" s="8">
        <f ca="1"/>
        <v>0.62177791412507599</v>
      </c>
      <c r="L50" s="8">
        <f ca="1"/>
        <v>5.3806757790289407E-2</v>
      </c>
      <c r="M50" s="20">
        <f ca="1"/>
        <v>0</v>
      </c>
    </row>
    <row r="51" spans="9:13" x14ac:dyDescent="0.35">
      <c r="I51" s="8">
        <v>4.8000000000000007</v>
      </c>
      <c r="J51" s="8">
        <f ca="1"/>
        <v>0.52182181840091868</v>
      </c>
      <c r="K51" s="8">
        <f ca="1"/>
        <v>0.61969549546415614</v>
      </c>
      <c r="L51" s="8">
        <f ca="1"/>
        <v>5.1071002993048842E-2</v>
      </c>
      <c r="M51" s="20">
        <f ca="1"/>
        <v>0</v>
      </c>
    </row>
    <row r="52" spans="9:13" x14ac:dyDescent="0.35">
      <c r="I52" s="8">
        <v>4.9000000000000004</v>
      </c>
      <c r="J52" s="8">
        <f ca="1"/>
        <v>0.52182181840091868</v>
      </c>
      <c r="K52" s="8">
        <f ca="1"/>
        <v>0.61769807348327366</v>
      </c>
      <c r="L52" s="8">
        <f ca="1"/>
        <v>4.8474344959445408E-2</v>
      </c>
      <c r="M52" s="20">
        <f ca="1"/>
        <v>0</v>
      </c>
    </row>
    <row r="53" spans="9:13" x14ac:dyDescent="0.35">
      <c r="I53" s="8">
        <v>5</v>
      </c>
      <c r="J53" s="8">
        <f ca="1"/>
        <v>0.52182181840091868</v>
      </c>
      <c r="K53" s="8">
        <f ca="1"/>
        <v>0.61578054838162655</v>
      </c>
      <c r="L53" s="8">
        <f ca="1"/>
        <v>4.6009713801922078E-2</v>
      </c>
      <c r="M53" s="20">
        <f ca="1"/>
        <v>0</v>
      </c>
    </row>
    <row r="54" spans="9:13" x14ac:dyDescent="0.35">
      <c r="I54" s="8">
        <v>5.1000000000000005</v>
      </c>
      <c r="J54" s="8">
        <f ca="1"/>
        <v>0.60723080710015798</v>
      </c>
      <c r="K54" s="8">
        <f ca="1"/>
        <v>0.61561290639571553</v>
      </c>
      <c r="L54" s="8">
        <f ca="1"/>
        <v>4.3298996841757378E-2</v>
      </c>
      <c r="M54" s="20">
        <f ca="1"/>
        <v>0</v>
      </c>
    </row>
    <row r="55" spans="9:13" x14ac:dyDescent="0.35">
      <c r="I55" s="8">
        <v>5.2</v>
      </c>
      <c r="J55" s="8">
        <f ca="1"/>
        <v>0.60723080710015798</v>
      </c>
      <c r="K55" s="8">
        <f ca="1"/>
        <v>0.61545171217849315</v>
      </c>
      <c r="L55" s="8">
        <f ca="1"/>
        <v>4.0747985084743567E-2</v>
      </c>
      <c r="M55" s="20">
        <f ca="1"/>
        <v>0</v>
      </c>
    </row>
    <row r="56" spans="9:13" x14ac:dyDescent="0.35">
      <c r="I56" s="8">
        <v>5.3000000000000007</v>
      </c>
      <c r="J56" s="8">
        <f ca="1"/>
        <v>0.60723080710015798</v>
      </c>
      <c r="K56" s="8">
        <f ca="1"/>
        <v>0.61529660076192083</v>
      </c>
      <c r="L56" s="8">
        <f ca="1"/>
        <v>3.8347269344474355E-2</v>
      </c>
      <c r="M56" s="20">
        <f ca="1"/>
        <v>0</v>
      </c>
    </row>
    <row r="57" spans="9:13" x14ac:dyDescent="0.35">
      <c r="I57" s="8">
        <v>5.4</v>
      </c>
      <c r="J57" s="8">
        <f ca="1"/>
        <v>0.60723080710015798</v>
      </c>
      <c r="K57" s="8">
        <f ca="1"/>
        <v>0.61514723421262896</v>
      </c>
      <c r="L57" s="8">
        <f ca="1"/>
        <v>3.608799480261219E-2</v>
      </c>
      <c r="M57" s="20">
        <f ca="1"/>
        <v>0</v>
      </c>
    </row>
    <row r="58" spans="9:13" x14ac:dyDescent="0.35">
      <c r="I58" s="8">
        <v>5.5</v>
      </c>
      <c r="J58" s="8">
        <f ca="1"/>
        <v>0.60723080710015798</v>
      </c>
      <c r="K58" s="8">
        <f ca="1"/>
        <v>0.61500329917422036</v>
      </c>
      <c r="L58" s="8">
        <f ca="1"/>
        <v>3.3961825808062625E-2</v>
      </c>
      <c r="M58" s="20">
        <f ca="1"/>
        <v>0</v>
      </c>
    </row>
    <row r="59" spans="9:13" x14ac:dyDescent="0.35">
      <c r="I59" s="8">
        <v>5.6000000000000005</v>
      </c>
      <c r="J59" s="8">
        <f ca="1"/>
        <v>0.60723080710015798</v>
      </c>
      <c r="K59" s="8">
        <f ca="1"/>
        <v>0.61486450467289777</v>
      </c>
      <c r="L59" s="8">
        <f ca="1"/>
        <v>3.1960924174348912E-2</v>
      </c>
      <c r="M59" s="20">
        <f ca="1"/>
        <v>0</v>
      </c>
    </row>
    <row r="60" spans="9:13" x14ac:dyDescent="0.35">
      <c r="I60" s="8">
        <v>5.7</v>
      </c>
      <c r="J60" s="8">
        <f ca="1"/>
        <v>0.60723080710015798</v>
      </c>
      <c r="K60" s="8">
        <f ca="1"/>
        <v>0.61473058015407778</v>
      </c>
      <c r="L60" s="8">
        <f ca="1"/>
        <v>3.0077907963917416E-2</v>
      </c>
      <c r="M60" s="20">
        <f ca="1"/>
        <v>0</v>
      </c>
    </row>
    <row r="61" spans="9:13" x14ac:dyDescent="0.35">
      <c r="I61" s="8">
        <v>5.8000000000000007</v>
      </c>
      <c r="J61" s="8">
        <f ca="1"/>
        <v>0.60723080710015798</v>
      </c>
      <c r="K61" s="8">
        <f ca="1"/>
        <v>0.61460127372211371</v>
      </c>
      <c r="L61" s="8">
        <f ca="1"/>
        <v>2.8305831782405807E-2</v>
      </c>
      <c r="M61" s="20">
        <f ca="1"/>
        <v>0</v>
      </c>
    </row>
    <row r="62" spans="9:13" x14ac:dyDescent="0.35">
      <c r="I62" s="8">
        <v>5.9</v>
      </c>
      <c r="J62" s="8">
        <f ca="1"/>
        <v>0.60723080710015798</v>
      </c>
      <c r="K62" s="8">
        <f ca="1"/>
        <v>0.61447635055902972</v>
      </c>
      <c r="L62" s="8">
        <f ca="1"/>
        <v>2.6638159418358055E-2</v>
      </c>
      <c r="M62" s="20">
        <f ca="1"/>
        <v>0</v>
      </c>
    </row>
    <row r="63" spans="9:13" x14ac:dyDescent="0.35">
      <c r="I63" s="8">
        <v>6</v>
      </c>
      <c r="J63" s="8">
        <f ca="1"/>
        <v>0.60723080710015798</v>
      </c>
      <c r="K63" s="8">
        <f ca="1"/>
        <v>0.61435559150138186</v>
      </c>
      <c r="L63" s="8">
        <f ca="1"/>
        <v>2.5068742323879869E-2</v>
      </c>
      <c r="M63" s="20">
        <f ca="1"/>
        <v>0</v>
      </c>
    </row>
    <row r="64" spans="9:13" x14ac:dyDescent="0.35">
      <c r="I64" s="8">
        <v>6.1000000000000005</v>
      </c>
      <c r="J64" s="8">
        <f ca="1"/>
        <v>7.3285553096434919E-2</v>
      </c>
      <c r="K64" s="8">
        <f ca="1"/>
        <v>0.60548559087179255</v>
      </c>
      <c r="L64" s="8">
        <f ca="1"/>
        <v>2.4885696229603075E-2</v>
      </c>
      <c r="M64" s="20">
        <f ca="1"/>
        <v>0</v>
      </c>
    </row>
    <row r="65" spans="9:13" x14ac:dyDescent="0.35">
      <c r="I65" s="8">
        <v>6.2</v>
      </c>
      <c r="J65" s="8">
        <f ca="1"/>
        <v>7.3285553096434919E-2</v>
      </c>
      <c r="K65" s="8">
        <f ca="1"/>
        <v>0.59690171929477065</v>
      </c>
      <c r="L65" s="8">
        <f ca="1"/>
        <v>2.4703986696105473E-2</v>
      </c>
      <c r="M65" s="20">
        <f ca="1"/>
        <v>0</v>
      </c>
    </row>
    <row r="66" spans="9:13" x14ac:dyDescent="0.35">
      <c r="I66" s="8">
        <v>6.3000000000000007</v>
      </c>
      <c r="J66" s="8">
        <f ca="1"/>
        <v>7.3285553096434919E-2</v>
      </c>
      <c r="K66" s="8">
        <f ca="1"/>
        <v>0.58859035157733675</v>
      </c>
      <c r="L66" s="8">
        <f ca="1"/>
        <v>2.4523603964171459E-2</v>
      </c>
      <c r="M66" s="20">
        <f ca="1"/>
        <v>0</v>
      </c>
    </row>
    <row r="67" spans="9:13" x14ac:dyDescent="0.35">
      <c r="I67" s="8">
        <v>6.4</v>
      </c>
      <c r="J67" s="8">
        <f ca="1"/>
        <v>7.3285553096434919E-2</v>
      </c>
      <c r="K67" s="8">
        <f ca="1"/>
        <v>0.58053871410107261</v>
      </c>
      <c r="L67" s="8">
        <f ca="1"/>
        <v>2.434453834584344E-2</v>
      </c>
      <c r="M67" s="20">
        <f ca="1"/>
        <v>0</v>
      </c>
    </row>
    <row r="68" spans="9:13" x14ac:dyDescent="0.35">
      <c r="I68" s="8">
        <v>6.5</v>
      </c>
      <c r="J68" s="8">
        <f ca="1"/>
        <v>7.3285553096434919E-2</v>
      </c>
      <c r="K68" s="8">
        <f ca="1"/>
        <v>0.57273481931638592</v>
      </c>
      <c r="L68" s="8">
        <f ca="1"/>
        <v>2.4166780223901261E-2</v>
      </c>
      <c r="M68" s="20">
        <f ca="1"/>
        <v>0</v>
      </c>
    </row>
    <row r="69" spans="9:13" x14ac:dyDescent="0.35">
      <c r="I69" s="8">
        <v>6.6000000000000005</v>
      </c>
      <c r="J69" s="8">
        <f ca="1"/>
        <v>7.3285553096434919E-2</v>
      </c>
      <c r="K69" s="8">
        <f ca="1"/>
        <v>0.56516740619184125</v>
      </c>
      <c r="L69" s="8">
        <f ca="1"/>
        <v>2.3990320051355762E-2</v>
      </c>
      <c r="M69" s="20">
        <f ca="1"/>
        <v>0</v>
      </c>
    </row>
    <row r="70" spans="9:13" x14ac:dyDescent="0.35">
      <c r="I70" s="8">
        <v>6.7</v>
      </c>
      <c r="J70" s="8">
        <f ca="1"/>
        <v>7.3285553096434919E-2</v>
      </c>
      <c r="K70" s="8">
        <f ca="1"/>
        <v>0.55782588599638738</v>
      </c>
      <c r="L70" s="8">
        <f ca="1"/>
        <v>2.3815148350923188E-2</v>
      </c>
      <c r="M70" s="20">
        <f ca="1"/>
        <v>0</v>
      </c>
    </row>
    <row r="71" spans="9:13" x14ac:dyDescent="0.35">
      <c r="I71" s="8">
        <v>6.8000000000000007</v>
      </c>
      <c r="J71" s="8">
        <f ca="1"/>
        <v>7.3285553096434919E-2</v>
      </c>
      <c r="K71" s="8">
        <f ca="1"/>
        <v>0.5507002928655057</v>
      </c>
      <c r="L71" s="8">
        <f ca="1"/>
        <v>2.3641255714528919E-2</v>
      </c>
      <c r="M71" s="20">
        <f ca="1"/>
        <v>0</v>
      </c>
    </row>
    <row r="72" spans="9:13" x14ac:dyDescent="0.35">
      <c r="I72" s="8">
        <v>6.9</v>
      </c>
      <c r="J72" s="8">
        <f ca="1"/>
        <v>7.3285553096434919E-2</v>
      </c>
      <c r="K72" s="8">
        <f ca="1"/>
        <v>0.54378123866595396</v>
      </c>
      <c r="L72" s="8">
        <f ca="1"/>
        <v>2.3468632802789151E-2</v>
      </c>
      <c r="M72" s="20">
        <f ca="1"/>
        <v>0</v>
      </c>
    </row>
    <row r="73" spans="9:13" x14ac:dyDescent="0.35">
      <c r="I73" s="8">
        <v>7</v>
      </c>
      <c r="J73" s="8">
        <f ca="1"/>
        <v>7.3285553096434919E-2</v>
      </c>
      <c r="K73" s="8">
        <f ca="1"/>
        <v>0.53705987172924652</v>
      </c>
      <c r="L73" s="8">
        <f ca="1"/>
        <v>2.329727034451988E-2</v>
      </c>
      <c r="M73" s="20">
        <f ca="1"/>
        <v>0</v>
      </c>
    </row>
    <row r="74" spans="9:13" x14ac:dyDescent="0.35">
      <c r="I74" s="8">
        <v>7.1000000000000005</v>
      </c>
      <c r="J74" s="8">
        <f ca="1"/>
        <v>0.33381378253104654</v>
      </c>
      <c r="K74" s="8">
        <f ca="1"/>
        <v>0.53419725075462399</v>
      </c>
      <c r="L74" s="8">
        <f ca="1"/>
        <v>2.2532412525552607E-2</v>
      </c>
      <c r="M74" s="20">
        <f ca="1"/>
        <v>0</v>
      </c>
    </row>
    <row r="75" spans="9:13" x14ac:dyDescent="0.35">
      <c r="I75" s="8">
        <v>7.2</v>
      </c>
      <c r="J75" s="8">
        <f ca="1"/>
        <v>0.33381378253104654</v>
      </c>
      <c r="K75" s="8">
        <f ca="1"/>
        <v>0.53141414702929657</v>
      </c>
      <c r="L75" s="8">
        <f ca="1"/>
        <v>2.1792665301394076E-2</v>
      </c>
      <c r="M75" s="20">
        <f ca="1"/>
        <v>0</v>
      </c>
    </row>
    <row r="76" spans="9:13" x14ac:dyDescent="0.35">
      <c r="I76" s="8">
        <v>7.3000000000000007</v>
      </c>
      <c r="J76" s="8">
        <f ca="1"/>
        <v>0.33381378253104654</v>
      </c>
      <c r="K76" s="8">
        <f ca="1"/>
        <v>0.52870729272110129</v>
      </c>
      <c r="L76" s="8">
        <f ca="1"/>
        <v>2.1077204288226438E-2</v>
      </c>
      <c r="M76" s="20">
        <f ca="1"/>
        <v>0</v>
      </c>
    </row>
    <row r="77" spans="9:13" x14ac:dyDescent="0.35">
      <c r="I77" s="8">
        <v>7.4</v>
      </c>
      <c r="J77" s="8">
        <f ca="1"/>
        <v>0.33381378253104654</v>
      </c>
      <c r="K77" s="8">
        <f ca="1"/>
        <v>0.52607359663745201</v>
      </c>
      <c r="L77" s="8">
        <f ca="1"/>
        <v>2.0385232168245459E-2</v>
      </c>
      <c r="M77" s="20">
        <f ca="1"/>
        <v>0</v>
      </c>
    </row>
    <row r="78" spans="9:13" x14ac:dyDescent="0.35">
      <c r="I78" s="8">
        <v>7.5</v>
      </c>
      <c r="J78" s="8">
        <f ca="1"/>
        <v>0.33381378253104654</v>
      </c>
      <c r="K78" s="8">
        <f ca="1"/>
        <v>0.52351013244936651</v>
      </c>
      <c r="L78" s="8">
        <f ca="1"/>
        <v>1.9715977801296865E-2</v>
      </c>
      <c r="M78" s="20">
        <f ca="1"/>
        <v>0</v>
      </c>
    </row>
    <row r="79" spans="9:13" x14ac:dyDescent="0.35">
      <c r="I79" s="8">
        <v>7.6000000000000005</v>
      </c>
      <c r="J79" s="8">
        <f ca="1"/>
        <v>0.33381378253104654</v>
      </c>
      <c r="K79" s="8">
        <f ca="1"/>
        <v>0.5210141278451782</v>
      </c>
      <c r="L79" s="8">
        <f ca="1"/>
        <v>1.9068695365688358E-2</v>
      </c>
      <c r="M79" s="20">
        <f ca="1"/>
        <v>0</v>
      </c>
    </row>
    <row r="80" spans="9:13" x14ac:dyDescent="0.35">
      <c r="I80" s="8">
        <v>7.7</v>
      </c>
      <c r="J80" s="8">
        <f ca="1"/>
        <v>0.33381378253104654</v>
      </c>
      <c r="K80" s="8">
        <f ca="1"/>
        <v>0.51858295452941017</v>
      </c>
      <c r="L80" s="8">
        <f ca="1"/>
        <v>1.844266091144188E-2</v>
      </c>
      <c r="M80" s="20">
        <f ca="1"/>
        <v>0</v>
      </c>
    </row>
    <row r="81" spans="9:13" x14ac:dyDescent="0.35">
      <c r="I81" s="8">
        <v>7.8000000000000007</v>
      </c>
      <c r="J81" s="8">
        <f ca="1"/>
        <v>0.33381378253104654</v>
      </c>
      <c r="K81" s="8">
        <f ca="1"/>
        <v>0.51621411899096969</v>
      </c>
      <c r="L81" s="8">
        <f ca="1"/>
        <v>1.7837181468016178E-2</v>
      </c>
      <c r="M81" s="20">
        <f ca="1"/>
        <v>0</v>
      </c>
    </row>
    <row r="82" spans="9:13" x14ac:dyDescent="0.35">
      <c r="I82" s="8">
        <v>7.9</v>
      </c>
      <c r="J82" s="8">
        <f ca="1"/>
        <v>0.33381378253104654</v>
      </c>
      <c r="K82" s="8">
        <f ca="1"/>
        <v>0.51390525397248954</v>
      </c>
      <c r="L82" s="8">
        <f ca="1"/>
        <v>1.7251580117776975E-2</v>
      </c>
      <c r="M82" s="20">
        <f ca="1"/>
        <v>0</v>
      </c>
    </row>
    <row r="83" spans="9:13" x14ac:dyDescent="0.35">
      <c r="I83" s="8">
        <v>8</v>
      </c>
      <c r="J83" s="8">
        <f ca="1"/>
        <v>0.33381378253104654</v>
      </c>
      <c r="K83" s="8">
        <f ca="1"/>
        <v>0.51165411057947152</v>
      </c>
      <c r="L83" s="8">
        <f ca="1"/>
        <v>1.668520425163925E-2</v>
      </c>
      <c r="M83" s="20">
        <f ca="1"/>
        <v>0</v>
      </c>
    </row>
    <row r="84" spans="9:13" x14ac:dyDescent="0.35">
      <c r="I84" s="8">
        <v>8.1</v>
      </c>
      <c r="J84" s="8">
        <f ca="1"/>
        <v>0.64985405849697075</v>
      </c>
      <c r="K84" s="8">
        <f ca="1"/>
        <v>0.51336028277598389</v>
      </c>
      <c r="L84" s="8">
        <f ca="1"/>
        <v>1.5635389856098737E-2</v>
      </c>
      <c r="M84" s="20">
        <f ca="1"/>
        <v>0</v>
      </c>
    </row>
    <row r="85" spans="9:13" x14ac:dyDescent="0.35">
      <c r="I85" s="8">
        <v>8.2000000000000011</v>
      </c>
      <c r="J85" s="8">
        <f ca="1"/>
        <v>0.64985405849697075</v>
      </c>
      <c r="K85" s="8">
        <f ca="1"/>
        <v>0.51502484101648371</v>
      </c>
      <c r="L85" s="8">
        <f ca="1"/>
        <v>1.465162843445547E-2</v>
      </c>
      <c r="M85" s="20">
        <f ca="1"/>
        <v>0</v>
      </c>
    </row>
    <row r="86" spans="9:13" x14ac:dyDescent="0.35">
      <c r="I86" s="8">
        <v>8.3000000000000007</v>
      </c>
      <c r="J86" s="8">
        <f ca="1"/>
        <v>0.64985405849697075</v>
      </c>
      <c r="K86" s="8">
        <f ca="1"/>
        <v>0.5166492894198631</v>
      </c>
      <c r="L86" s="8">
        <f ca="1"/>
        <v>1.372976394713148E-2</v>
      </c>
      <c r="M86" s="20">
        <f ca="1"/>
        <v>0</v>
      </c>
    </row>
    <row r="87" spans="9:13" x14ac:dyDescent="0.35">
      <c r="I87" s="8">
        <v>8.4</v>
      </c>
      <c r="J87" s="8">
        <f ca="1"/>
        <v>0.64985405849697075</v>
      </c>
      <c r="K87" s="8">
        <f ca="1"/>
        <v>0.51823506048030477</v>
      </c>
      <c r="L87" s="8">
        <f ca="1"/>
        <v>1.2865905280845387E-2</v>
      </c>
      <c r="M87" s="20">
        <f ca="1"/>
        <v>0</v>
      </c>
    </row>
    <row r="88" spans="9:13" x14ac:dyDescent="0.35">
      <c r="I88" s="8">
        <v>8.5</v>
      </c>
      <c r="J88" s="8">
        <f ca="1"/>
        <v>0.64985405849697075</v>
      </c>
      <c r="K88" s="8">
        <f ca="1"/>
        <v>0.51978351928050082</v>
      </c>
      <c r="L88" s="8">
        <f ca="1"/>
        <v>1.2056397438955674E-2</v>
      </c>
      <c r="M88" s="20">
        <f ca="1"/>
        <v>0</v>
      </c>
    </row>
    <row r="89" spans="9:13" x14ac:dyDescent="0.35">
      <c r="I89" s="8">
        <v>8.6</v>
      </c>
      <c r="J89" s="8">
        <f ca="1"/>
        <v>0.64985405849697075</v>
      </c>
      <c r="K89" s="8">
        <f ca="1"/>
        <v>0.52129596741092499</v>
      </c>
      <c r="L89" s="8">
        <f ca="1"/>
        <v>1.1297823019067876E-2</v>
      </c>
      <c r="M89" s="20">
        <f ca="1"/>
        <v>0</v>
      </c>
    </row>
    <row r="90" spans="9:13" x14ac:dyDescent="0.35">
      <c r="I90" s="8">
        <v>8.7000000000000011</v>
      </c>
      <c r="J90" s="8">
        <f ca="1"/>
        <v>0.64985405849697075</v>
      </c>
      <c r="K90" s="8">
        <f ca="1"/>
        <v>0.52277364661881054</v>
      </c>
      <c r="L90" s="8">
        <f ca="1"/>
        <v>1.0586977392453237E-2</v>
      </c>
      <c r="M90" s="20">
        <f ca="1"/>
        <v>0</v>
      </c>
    </row>
    <row r="91" spans="9:13" x14ac:dyDescent="0.35">
      <c r="I91" s="8">
        <v>8.8000000000000007</v>
      </c>
      <c r="J91" s="8">
        <f ca="1"/>
        <v>0.64985405849697075</v>
      </c>
      <c r="K91" s="8">
        <f ca="1"/>
        <v>0.52421774220833506</v>
      </c>
      <c r="L91" s="8">
        <f ca="1"/>
        <v>9.920857578544183E-3</v>
      </c>
      <c r="M91" s="20">
        <f ca="1"/>
        <v>0</v>
      </c>
    </row>
    <row r="92" spans="9:13" x14ac:dyDescent="0.35">
      <c r="I92" s="8">
        <v>8.9</v>
      </c>
      <c r="J92" s="8">
        <f ca="1"/>
        <v>0.64985405849697075</v>
      </c>
      <c r="K92" s="8">
        <f ca="1"/>
        <v>0.52562938621157818</v>
      </c>
      <c r="L92" s="8">
        <f ca="1"/>
        <v>9.296645923327693E-3</v>
      </c>
      <c r="M92" s="20">
        <f ca="1"/>
        <v>0</v>
      </c>
    </row>
    <row r="93" spans="9:13" x14ac:dyDescent="0.35">
      <c r="I93" s="8">
        <v>9</v>
      </c>
      <c r="J93" s="8">
        <f ca="1"/>
        <v>0.64985405849697075</v>
      </c>
      <c r="K93" s="8">
        <f ca="1"/>
        <v>0.52700966034808261</v>
      </c>
      <c r="L93" s="8">
        <f ca="1"/>
        <v>8.7117112782998819E-3</v>
      </c>
      <c r="M93" s="20">
        <f ca="1"/>
        <v>0</v>
      </c>
    </row>
    <row r="94" spans="9:13" x14ac:dyDescent="0.35">
      <c r="I94" s="8">
        <v>9.1</v>
      </c>
      <c r="J94" s="8">
        <f ca="1"/>
        <v>0.67190552850890617</v>
      </c>
      <c r="K94" s="8">
        <f ca="1"/>
        <v>0.52860192263556416</v>
      </c>
      <c r="L94" s="8">
        <f ca="1"/>
        <v>8.145597866874691E-3</v>
      </c>
      <c r="M94" s="20">
        <f ca="1"/>
        <v>0</v>
      </c>
    </row>
    <row r="95" spans="9:13" x14ac:dyDescent="0.35">
      <c r="I95" s="8">
        <v>9.2000000000000011</v>
      </c>
      <c r="J95" s="8">
        <f ca="1"/>
        <v>0.67190552850890617</v>
      </c>
      <c r="K95" s="8">
        <f ca="1"/>
        <v>0.53015957052549179</v>
      </c>
      <c r="L95" s="8">
        <f ca="1"/>
        <v>7.6162720276612608E-3</v>
      </c>
      <c r="M95" s="20">
        <f ca="1"/>
        <v>0</v>
      </c>
    </row>
    <row r="96" spans="9:13" x14ac:dyDescent="0.35">
      <c r="I96" s="8">
        <v>9.3000000000000007</v>
      </c>
      <c r="J96" s="8">
        <f ca="1"/>
        <v>0.67190552850890617</v>
      </c>
      <c r="K96" s="8">
        <f ca="1"/>
        <v>0.53168372061133495</v>
      </c>
      <c r="L96" s="8">
        <f ca="1"/>
        <v>7.1213431282365859E-3</v>
      </c>
      <c r="M96" s="20">
        <f ca="1"/>
        <v>0</v>
      </c>
    </row>
    <row r="97" spans="9:13" x14ac:dyDescent="0.35">
      <c r="I97" s="8">
        <v>9.4</v>
      </c>
      <c r="J97" s="8">
        <f ca="1"/>
        <v>0.67190552850890617</v>
      </c>
      <c r="K97" s="8">
        <f ca="1"/>
        <v>0.53317544197194744</v>
      </c>
      <c r="L97" s="8">
        <f ca="1"/>
        <v>6.6585797914262669E-3</v>
      </c>
      <c r="M97" s="20">
        <f ca="1"/>
        <v>0</v>
      </c>
    </row>
    <row r="98" spans="9:13" x14ac:dyDescent="0.35">
      <c r="I98" s="8">
        <v>9.5</v>
      </c>
      <c r="J98" s="8">
        <f ca="1"/>
        <v>0.67190552850890617</v>
      </c>
      <c r="K98" s="8">
        <f ca="1"/>
        <v>0.53463575867233648</v>
      </c>
      <c r="L98" s="8">
        <f ca="1"/>
        <v>6.2258857012460287E-3</v>
      </c>
      <c r="M98" s="20">
        <f ca="1"/>
        <v>0</v>
      </c>
    </row>
    <row r="99" spans="9:13" x14ac:dyDescent="0.35">
      <c r="I99" s="8">
        <v>9.6000000000000014</v>
      </c>
      <c r="J99" s="8">
        <f ca="1"/>
        <v>0.67190552850890617</v>
      </c>
      <c r="K99" s="8">
        <f ca="1"/>
        <v>0.53606565210813406</v>
      </c>
      <c r="L99" s="8">
        <f ca="1"/>
        <v>5.8213094904713755E-3</v>
      </c>
      <c r="M99" s="20">
        <f ca="1"/>
        <v>0</v>
      </c>
    </row>
    <row r="100" spans="9:13" x14ac:dyDescent="0.35">
      <c r="I100" s="8">
        <v>9.7000000000000011</v>
      </c>
      <c r="J100" s="8">
        <f ca="1"/>
        <v>0.67190552850890617</v>
      </c>
      <c r="K100" s="8">
        <f ca="1"/>
        <v>0.5374660632050493</v>
      </c>
      <c r="L100" s="8">
        <f ca="1"/>
        <v>5.4430240241051045E-3</v>
      </c>
      <c r="M100" s="20">
        <f ca="1"/>
        <v>0</v>
      </c>
    </row>
    <row r="101" spans="9:13" x14ac:dyDescent="0.35">
      <c r="I101" s="8">
        <v>9.8000000000000007</v>
      </c>
      <c r="J101" s="8">
        <f ca="1"/>
        <v>0.67190552850890617</v>
      </c>
      <c r="K101" s="8">
        <f ca="1"/>
        <v>0.53883789448366004</v>
      </c>
      <c r="L101" s="8">
        <f ca="1"/>
        <v>5.0893179290173078E-3</v>
      </c>
      <c r="M101" s="20">
        <f ca="1"/>
        <v>0</v>
      </c>
    </row>
    <row r="102" spans="9:13" x14ac:dyDescent="0.35">
      <c r="I102" s="8">
        <v>9.9</v>
      </c>
      <c r="J102" s="8">
        <f ca="1"/>
        <v>0.67190552850890617</v>
      </c>
      <c r="K102" s="8">
        <f ca="1"/>
        <v>0.54018201199906657</v>
      </c>
      <c r="L102" s="8">
        <f ca="1"/>
        <v>4.7585986222969303E-3</v>
      </c>
      <c r="M102" s="20">
        <f ca="1"/>
        <v>0</v>
      </c>
    </row>
    <row r="103" spans="9:13" x14ac:dyDescent="0.35">
      <c r="I103" s="8">
        <v>10</v>
      </c>
      <c r="J103" s="8">
        <f ca="1"/>
        <v>0.67190552850890617</v>
      </c>
      <c r="K103" s="8">
        <f ca="1"/>
        <v>0.54149924716416498</v>
      </c>
      <c r="L103" s="8">
        <f ca="1"/>
        <v>4.4493703499437131E-3</v>
      </c>
      <c r="M103" s="20">
        <f ca="1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1:L31"/>
  <sheetViews>
    <sheetView workbookViewId="0"/>
  </sheetViews>
  <sheetFormatPr defaultColWidth="9.109375" defaultRowHeight="18" x14ac:dyDescent="0.35"/>
  <cols>
    <col min="1" max="2" width="9.109375" style="16"/>
    <col min="3" max="3" width="15" style="47" customWidth="1"/>
    <col min="4" max="4" width="10.77734375" style="47" customWidth="1"/>
    <col min="5" max="5" width="10.88671875" style="43" customWidth="1"/>
    <col min="6" max="6" width="9.33203125" style="16" customWidth="1"/>
    <col min="7" max="8" width="17.109375" style="16" bestFit="1" customWidth="1"/>
    <col min="9" max="9" width="9.109375" style="16"/>
    <col min="10" max="10" width="14.5546875" style="17" bestFit="1" customWidth="1"/>
    <col min="11" max="14" width="9.109375" style="16"/>
    <col min="15" max="15" width="11.5546875" style="16" bestFit="1" customWidth="1"/>
    <col min="16" max="16384" width="9.109375" style="16"/>
  </cols>
  <sheetData>
    <row r="1" spans="2:12" x14ac:dyDescent="0.35">
      <c r="C1" s="16"/>
      <c r="D1" s="16"/>
    </row>
    <row r="2" spans="2:12" x14ac:dyDescent="0.35">
      <c r="B2" s="15" t="s">
        <v>16</v>
      </c>
      <c r="C2" s="45">
        <f ca="1">TODAY()</f>
        <v>45413</v>
      </c>
      <c r="D2" s="16"/>
      <c r="G2" s="18" t="s">
        <v>24</v>
      </c>
      <c r="H2" s="11" t="e" cm="1">
        <f t="array" aca="1" ref="H2" ca="1">_xll.\AKA.Bond(dated, maturity, coupon, _xll.ENUM(D5), _xll.ENUM(D6))</f>
        <v>#NAME?</v>
      </c>
      <c r="J2" s="17" t="e" cm="1">
        <f t="array" aca="1" ref="J2" ca="1">_xll.AKA.Value.FlowDate(H3)</f>
        <v>#NAME?</v>
      </c>
      <c r="K2" s="16" t="e" cm="1">
        <f t="array" aca="1" ref="K2" ca="1">_xll.AKA.Value.Interest(H3)</f>
        <v>#NAME?</v>
      </c>
      <c r="L2" s="16" t="e" cm="1">
        <f t="array" aca="1" ref="L2" ca="1">_xll.AKA.Value.Principal(H3)</f>
        <v>#NAME?</v>
      </c>
    </row>
    <row r="3" spans="2:12" x14ac:dyDescent="0.35">
      <c r="B3" s="15" t="s">
        <v>17</v>
      </c>
      <c r="C3" s="46" cm="1">
        <f t="array" aca="1" ref="C3" ca="1">_xll.TMX.DATE.ADDYEARS(dated,D3)</f>
        <v>49065.425000000003</v>
      </c>
      <c r="D3" s="37">
        <v>10</v>
      </c>
      <c r="G3" s="18" t="s">
        <v>25</v>
      </c>
      <c r="H3" s="11" t="e" cm="1">
        <f t="array" aca="1" ref="H3" ca="1">_xll.\AKA.Value(H2, pvdate, pvdate)</f>
        <v>#NAME?</v>
      </c>
    </row>
    <row r="4" spans="2:12" x14ac:dyDescent="0.35">
      <c r="B4" s="15" t="s">
        <v>18</v>
      </c>
      <c r="C4" s="32">
        <v>0.05</v>
      </c>
      <c r="D4" s="16"/>
    </row>
    <row r="5" spans="2:12" x14ac:dyDescent="0.35">
      <c r="B5" s="15" t="s">
        <v>19</v>
      </c>
      <c r="C5" s="35" t="s">
        <v>29</v>
      </c>
      <c r="D5" s="16" t="s">
        <v>28</v>
      </c>
      <c r="G5" s="16" t="e" cm="1">
        <f t="array" aca="1" ref="G5" ca="1">TRANSPOSE(_xll.FREQ_ENUM())</f>
        <v>#NAME?</v>
      </c>
      <c r="H5" s="16" t="e" cm="1">
        <f t="array" aca="1" ref="H5" ca="1">TRANSPOSE(_xll.DC_ENUM())</f>
        <v>#NAME?</v>
      </c>
    </row>
    <row r="6" spans="2:12" x14ac:dyDescent="0.35">
      <c r="B6" s="15" t="s">
        <v>20</v>
      </c>
      <c r="C6" s="35" t="s">
        <v>37</v>
      </c>
      <c r="D6" s="16" t="s">
        <v>27</v>
      </c>
    </row>
    <row r="7" spans="2:12" x14ac:dyDescent="0.35">
      <c r="B7" s="18" t="s">
        <v>26</v>
      </c>
      <c r="C7" s="3">
        <v>100</v>
      </c>
      <c r="D7" s="16"/>
    </row>
    <row r="8" spans="2:12" x14ac:dyDescent="0.35">
      <c r="B8" s="15" t="s">
        <v>21</v>
      </c>
      <c r="C8" s="11" cm="1">
        <f t="array" aca="1" ref="C8" ca="1">_xll.\TMX.BOND.BASIC(dated, maturity, coupon, _xll.ENUM(frequency), _xll.ENUM(day_count))</f>
        <v>2465832671632</v>
      </c>
      <c r="D8" s="16"/>
    </row>
    <row r="9" spans="2:12" x14ac:dyDescent="0.35">
      <c r="B9" s="16" t="s">
        <v>22</v>
      </c>
      <c r="C9" s="43">
        <f ca="1">dated+D9</f>
        <v>45613</v>
      </c>
      <c r="D9" s="38">
        <v>200</v>
      </c>
    </row>
    <row r="10" spans="2:12" x14ac:dyDescent="0.35">
      <c r="B10" s="15" t="s">
        <v>23</v>
      </c>
      <c r="C10" s="11" cm="1">
        <f t="array" aca="1" ref="C10" ca="1">_xll.\TMX.BOND.BASIC.INSTRUMENT(bond_basic,pvdate)</f>
        <v>2465833309376</v>
      </c>
      <c r="D10" s="16"/>
    </row>
    <row r="11" spans="2:12" x14ac:dyDescent="0.35">
      <c r="C11" s="16"/>
      <c r="D11" s="16"/>
    </row>
    <row r="12" spans="2:12" x14ac:dyDescent="0.35">
      <c r="C12" s="36" t="s">
        <v>8</v>
      </c>
      <c r="D12" s="36" t="s">
        <v>32</v>
      </c>
      <c r="E12" s="44" t="s">
        <v>2</v>
      </c>
    </row>
    <row r="13" spans="2:12" x14ac:dyDescent="0.35">
      <c r="C13" s="47" cm="1">
        <f t="array" aca="1" ref="C13:D31" ca="1">_xll.TMX.INSTRUMENT(C10)</f>
        <v>0.45175465615310378</v>
      </c>
      <c r="D13" s="47">
        <f ca="1"/>
        <v>2.2777777777777777</v>
      </c>
      <c r="E13" s="43" cm="1">
        <f t="array" aca="1" ref="E13:E31" ca="1">_xlfn.MAP(_xlfn.TAKE(_xlfn.ANCHORARRAY(C13),,1),_xlfn.LAMBDA(_xlpm.d,_xll.TMX.DATE.ADDYEARS(pvdate, _xlpm.d)))</f>
        <v>45778</v>
      </c>
      <c r="F13" s="16" cm="1">
        <f t="array" aca="1" ref="F13:F31" ca="1">_xlfn.MAP(_xlfn.TAKE(_xlfn.ANCHORARRAY(E13),,1),_xlfn.LAMBDA(_xlpm.t,_xll.TMX.DATE.DIFFYEARS(_xlpm.t,pvdate)))</f>
        <v>0.45175465615310373</v>
      </c>
      <c r="G13" s="16" t="b">
        <f ca="1">C13=F13</f>
        <v>1</v>
      </c>
    </row>
    <row r="14" spans="2:12" x14ac:dyDescent="0.35">
      <c r="C14" s="47">
        <f ca="1"/>
        <v>0.95552954543898916</v>
      </c>
      <c r="D14" s="47">
        <f ca="1"/>
        <v>2.5</v>
      </c>
      <c r="E14" s="43">
        <f ca="1"/>
        <v>45962</v>
      </c>
      <c r="F14" s="16">
        <f ca="1"/>
        <v>0.95552954543898916</v>
      </c>
    </row>
    <row r="15" spans="2:12" x14ac:dyDescent="0.35">
      <c r="C15" s="47">
        <f ca="1"/>
        <v>1.4510907137039091</v>
      </c>
      <c r="D15" s="47">
        <f ca="1"/>
        <v>2.5</v>
      </c>
      <c r="E15" s="43">
        <f ca="1"/>
        <v>46143</v>
      </c>
      <c r="F15" s="16">
        <f ca="1"/>
        <v>1.4510907137039091</v>
      </c>
    </row>
    <row r="16" spans="2:12" x14ac:dyDescent="0.35">
      <c r="C16" s="47">
        <f ca="1"/>
        <v>1.9548656029897944</v>
      </c>
      <c r="D16" s="47">
        <f ca="1"/>
        <v>2.5</v>
      </c>
      <c r="E16" s="43">
        <f ca="1"/>
        <v>46327</v>
      </c>
      <c r="F16" s="16">
        <f ca="1"/>
        <v>1.9548656029897944</v>
      </c>
    </row>
    <row r="17" spans="3:6" x14ac:dyDescent="0.35">
      <c r="C17" s="47">
        <f ca="1"/>
        <v>2.4504267712547145</v>
      </c>
      <c r="D17" s="47">
        <f ca="1"/>
        <v>2.5</v>
      </c>
      <c r="E17" s="43">
        <f ca="1"/>
        <v>46508</v>
      </c>
      <c r="F17" s="16">
        <f ca="1"/>
        <v>2.4504267712547141</v>
      </c>
    </row>
    <row r="18" spans="3:6" x14ac:dyDescent="0.35">
      <c r="C18" s="47">
        <f ca="1"/>
        <v>2.9542016605405998</v>
      </c>
      <c r="D18" s="47">
        <f ca="1"/>
        <v>2.5</v>
      </c>
      <c r="E18" s="43">
        <f ca="1"/>
        <v>46692</v>
      </c>
      <c r="F18" s="16">
        <f ca="1"/>
        <v>2.9542016605405998</v>
      </c>
    </row>
    <row r="19" spans="3:6" x14ac:dyDescent="0.35">
      <c r="C19" s="47">
        <f ca="1"/>
        <v>3.4525007358125079</v>
      </c>
      <c r="D19" s="47">
        <f ca="1"/>
        <v>2.5</v>
      </c>
      <c r="E19" s="43">
        <f ca="1"/>
        <v>46874</v>
      </c>
      <c r="F19" s="16">
        <f ca="1"/>
        <v>3.4525007358125079</v>
      </c>
    </row>
    <row r="20" spans="3:6" x14ac:dyDescent="0.35">
      <c r="C20" s="47">
        <f ca="1"/>
        <v>3.9562756250983937</v>
      </c>
      <c r="D20" s="47">
        <f ca="1"/>
        <v>2.5</v>
      </c>
      <c r="E20" s="43">
        <f ca="1"/>
        <v>47058</v>
      </c>
      <c r="F20" s="16">
        <f ca="1"/>
        <v>3.9562756250983933</v>
      </c>
    </row>
    <row r="21" spans="3:6" x14ac:dyDescent="0.35">
      <c r="C21" s="47">
        <f ca="1"/>
        <v>4.4518367933633138</v>
      </c>
      <c r="D21" s="47">
        <f ca="1"/>
        <v>2.5</v>
      </c>
      <c r="E21" s="43">
        <f ca="1"/>
        <v>47239</v>
      </c>
      <c r="F21" s="16">
        <f ca="1"/>
        <v>4.4518367933633129</v>
      </c>
    </row>
    <row r="22" spans="3:6" x14ac:dyDescent="0.35">
      <c r="C22" s="47">
        <f ca="1"/>
        <v>4.9556116826491987</v>
      </c>
      <c r="D22" s="47">
        <f ca="1"/>
        <v>2.5</v>
      </c>
      <c r="E22" s="43">
        <f ca="1"/>
        <v>47423</v>
      </c>
      <c r="F22" s="16">
        <f ca="1"/>
        <v>4.9556116826491987</v>
      </c>
    </row>
    <row r="23" spans="3:6" x14ac:dyDescent="0.35">
      <c r="C23" s="47">
        <f ca="1"/>
        <v>5.4511728509141184</v>
      </c>
      <c r="D23" s="47">
        <f ca="1"/>
        <v>2.5</v>
      </c>
      <c r="E23" s="43">
        <f ca="1"/>
        <v>47604</v>
      </c>
      <c r="F23" s="16">
        <f ca="1"/>
        <v>5.4511728509141184</v>
      </c>
    </row>
    <row r="24" spans="3:6" x14ac:dyDescent="0.35">
      <c r="C24" s="47">
        <f ca="1"/>
        <v>5.9549477402000042</v>
      </c>
      <c r="D24" s="47">
        <f ca="1"/>
        <v>2.5</v>
      </c>
      <c r="E24" s="43">
        <f ca="1"/>
        <v>47788</v>
      </c>
      <c r="F24" s="16">
        <f ca="1"/>
        <v>5.9549477402000042</v>
      </c>
    </row>
    <row r="25" spans="3:6" x14ac:dyDescent="0.35">
      <c r="C25" s="47">
        <f ca="1"/>
        <v>6.4505089084649239</v>
      </c>
      <c r="D25" s="47">
        <f ca="1"/>
        <v>2.5</v>
      </c>
      <c r="E25" s="43">
        <f ca="1"/>
        <v>47969</v>
      </c>
      <c r="F25" s="16">
        <f ca="1"/>
        <v>6.4505089084649239</v>
      </c>
    </row>
    <row r="26" spans="3:6" x14ac:dyDescent="0.35">
      <c r="C26" s="47">
        <f ca="1"/>
        <v>6.9542837977508096</v>
      </c>
      <c r="D26" s="47">
        <f ca="1"/>
        <v>2.5</v>
      </c>
      <c r="E26" s="43">
        <f ca="1"/>
        <v>48153</v>
      </c>
      <c r="F26" s="16">
        <f ca="1"/>
        <v>6.9542837977508096</v>
      </c>
    </row>
    <row r="27" spans="3:6" x14ac:dyDescent="0.35">
      <c r="C27" s="47">
        <f ca="1"/>
        <v>7.4525828730227177</v>
      </c>
      <c r="D27" s="47">
        <f ca="1"/>
        <v>2.5</v>
      </c>
      <c r="E27" s="43">
        <f ca="1"/>
        <v>48335</v>
      </c>
      <c r="F27" s="16">
        <f ca="1"/>
        <v>7.4525828730227177</v>
      </c>
    </row>
    <row r="28" spans="3:6" x14ac:dyDescent="0.35">
      <c r="C28" s="47">
        <f ca="1"/>
        <v>7.9563577623086035</v>
      </c>
      <c r="D28" s="47">
        <f ca="1"/>
        <v>2.5</v>
      </c>
      <c r="E28" s="43">
        <f ca="1"/>
        <v>48519</v>
      </c>
      <c r="F28" s="16">
        <f ca="1"/>
        <v>7.9563577623086035</v>
      </c>
    </row>
    <row r="29" spans="3:6" x14ac:dyDescent="0.35">
      <c r="C29" s="47">
        <f ca="1"/>
        <v>8.4519189305735232</v>
      </c>
      <c r="D29" s="47">
        <f ca="1"/>
        <v>2.5</v>
      </c>
      <c r="E29" s="43">
        <f ca="1"/>
        <v>48700</v>
      </c>
      <c r="F29" s="16">
        <f ca="1"/>
        <v>8.4519189305735232</v>
      </c>
    </row>
    <row r="30" spans="3:6" x14ac:dyDescent="0.35">
      <c r="C30" s="47">
        <f ca="1"/>
        <v>8.9556938198594089</v>
      </c>
      <c r="D30" s="47">
        <f ca="1"/>
        <v>2.5</v>
      </c>
      <c r="E30" s="43">
        <f ca="1"/>
        <v>48884</v>
      </c>
      <c r="F30" s="16">
        <f ca="1"/>
        <v>8.9556938198594089</v>
      </c>
    </row>
    <row r="31" spans="3:6" x14ac:dyDescent="0.35">
      <c r="C31" s="47">
        <f ca="1"/>
        <v>9.4512549881243277</v>
      </c>
      <c r="D31" s="47">
        <f ca="1"/>
        <v>102.5</v>
      </c>
      <c r="E31" s="43">
        <f ca="1"/>
        <v>49065</v>
      </c>
      <c r="F31" s="16">
        <f ca="1"/>
        <v>9.4512549881243277</v>
      </c>
    </row>
  </sheetData>
  <dataValidations disablePrompts="1" count="2">
    <dataValidation type="list" allowBlank="1" showInputMessage="1" showErrorMessage="1" sqref="D5" xr:uid="{039A4CED-EBEB-4BB9-833B-6F3EAEF47C51}">
      <formula1>_xlfn.ANCHORARRAY($G$5)</formula1>
    </dataValidation>
    <dataValidation type="list" allowBlank="1" showInputMessage="1" showErrorMessage="1" sqref="D6" xr:uid="{95B04539-D74B-418C-8C33-35D31A602B84}">
      <formula1>_xlfn.ANCHORARRAY($H$5)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30"/>
  <sheetViews>
    <sheetView tabSelected="1" workbookViewId="0">
      <selection activeCell="H4" sqref="H4"/>
    </sheetView>
  </sheetViews>
  <sheetFormatPr defaultColWidth="9.109375" defaultRowHeight="18" x14ac:dyDescent="0.35"/>
  <cols>
    <col min="1" max="1" width="3.6640625" style="21" customWidth="1"/>
    <col min="2" max="2" width="9.109375" style="21"/>
    <col min="3" max="3" width="19.109375" style="21" customWidth="1"/>
    <col min="4" max="4" width="10.44140625" style="21" bestFit="1" customWidth="1"/>
    <col min="5" max="5" width="11.5546875" style="25" bestFit="1" customWidth="1"/>
    <col min="6" max="6" width="11.5546875" style="21" bestFit="1" customWidth="1"/>
    <col min="7" max="7" width="12.21875" style="21" bestFit="1" customWidth="1"/>
    <col min="8" max="8" width="9.33203125" style="21" bestFit="1" customWidth="1"/>
    <col min="9" max="9" width="9.109375" style="21"/>
    <col min="10" max="11" width="13" style="21" bestFit="1" customWidth="1"/>
    <col min="12" max="12" width="9.33203125" style="21" customWidth="1"/>
    <col min="13" max="16384" width="9.109375" style="21"/>
  </cols>
  <sheetData>
    <row r="2" spans="2:12" ht="18.600000000000001" thickBot="1" x14ac:dyDescent="0.4">
      <c r="B2" s="33" t="s">
        <v>16</v>
      </c>
      <c r="C2" s="34">
        <f ca="1">TODAY()</f>
        <v>45413</v>
      </c>
      <c r="F2" s="22" t="s">
        <v>22</v>
      </c>
      <c r="G2" s="31">
        <f ca="1">TODAY()</f>
        <v>45413</v>
      </c>
      <c r="K2" s="11" cm="1">
        <f t="array" aca="1" ref="K2" ca="1">_xll.\TMX.BOND.BASIC(J3,J4,J5,_xll.ENUM(J6),_xll.ENUM(J7),J8)</f>
        <v>2465832675552</v>
      </c>
    </row>
    <row r="3" spans="2:12" ht="19.2" thickTop="1" thickBot="1" x14ac:dyDescent="0.4">
      <c r="B3" s="30" t="s">
        <v>17</v>
      </c>
      <c r="C3" s="3">
        <v>10</v>
      </c>
      <c r="F3" s="22" t="s">
        <v>31</v>
      </c>
      <c r="G3" s="11" cm="1">
        <f t="array" aca="1" ref="G3" ca="1">_xll.\TMX.CURVE.CONSTANT(H3+0*RAND())</f>
        <v>2465841449120</v>
      </c>
      <c r="H3" s="3">
        <v>0.01</v>
      </c>
      <c r="J3" s="28" cm="1">
        <f t="array" aca="1" ref="J3:J8" ca="1">_xll.TMX.BOND.BASIC(bond)</f>
        <v>45413</v>
      </c>
      <c r="K3" s="28" cm="1">
        <f t="array" aca="1" ref="K3:K8" ca="1">_xll.TMX.BOND.BASIC(K2)</f>
        <v>45413</v>
      </c>
      <c r="L3" s="27" t="b">
        <f ca="1">J3=K3</f>
        <v>1</v>
      </c>
    </row>
    <row r="4" spans="2:12" ht="19.2" thickTop="1" thickBot="1" x14ac:dyDescent="0.4">
      <c r="B4" s="30" t="s">
        <v>18</v>
      </c>
      <c r="C4" s="32">
        <v>0.05</v>
      </c>
      <c r="F4" s="22" t="s">
        <v>33</v>
      </c>
      <c r="G4" s="40" t="e" cm="1">
        <f t="array" aca="1" ref="G4" ca="1">_xll.TMX.VALUE.PRESENT(instrument, curve, H4)</f>
        <v>#NUM!</v>
      </c>
      <c r="H4" s="3">
        <v>1</v>
      </c>
      <c r="J4" s="28">
        <f ca="1"/>
        <v>49065</v>
      </c>
      <c r="K4" s="28">
        <f ca="1"/>
        <v>49065</v>
      </c>
      <c r="L4" s="27" t="b">
        <f t="shared" ref="L4:L8" ca="1" si="0">J4=K4</f>
        <v>1</v>
      </c>
    </row>
    <row r="5" spans="2:12" ht="19.2" thickTop="1" thickBot="1" x14ac:dyDescent="0.4">
      <c r="B5" s="33" t="s">
        <v>19</v>
      </c>
      <c r="C5" s="35" t="s">
        <v>29</v>
      </c>
      <c r="F5" s="24" t="s">
        <v>34</v>
      </c>
      <c r="G5" s="5" t="e" cm="1">
        <f t="array" aca="1" ref="G5" ca="1">_xll.TMX.VALUE.YIELD(instrument, present)</f>
        <v>#VALUE!</v>
      </c>
      <c r="J5" s="29">
        <f ca="1"/>
        <v>0.05</v>
      </c>
      <c r="K5" s="29">
        <f ca="1"/>
        <v>0.05</v>
      </c>
      <c r="L5" s="27" t="b">
        <f t="shared" ca="1" si="0"/>
        <v>1</v>
      </c>
    </row>
    <row r="6" spans="2:12" ht="19.2" thickTop="1" thickBot="1" x14ac:dyDescent="0.4">
      <c r="B6" s="33" t="s">
        <v>20</v>
      </c>
      <c r="C6" s="35" t="s">
        <v>37</v>
      </c>
      <c r="F6" s="33" t="s">
        <v>38</v>
      </c>
      <c r="G6" s="41" cm="1">
        <f t="array" aca="1" ref="G6" ca="1">_xll.TMX.VALUE.OAS(instrument, curve, H6)</f>
        <v>-1.0000000005432589E-2</v>
      </c>
      <c r="H6" s="3">
        <v>150</v>
      </c>
      <c r="J6" s="29" t="str">
        <f ca="1"/>
        <v>TMX_FREQUENCY_SEMIANNUALLY</v>
      </c>
      <c r="K6" s="29" t="str">
        <f ca="1"/>
        <v>TMX_FREQUENCY_SEMIANNUALLY</v>
      </c>
      <c r="L6" s="27" t="b">
        <f t="shared" ca="1" si="0"/>
        <v>1</v>
      </c>
    </row>
    <row r="7" spans="2:12" ht="19.2" thickTop="1" thickBot="1" x14ac:dyDescent="0.4">
      <c r="B7" s="33" t="s">
        <v>26</v>
      </c>
      <c r="C7" s="3">
        <v>100</v>
      </c>
      <c r="F7" s="24" t="s">
        <v>35</v>
      </c>
      <c r="G7" s="42" cm="1">
        <f t="array" aca="1" ref="G7" ca="1">_xll.TMX.VALUE.DURATION(instrument, curve)</f>
        <v>-1150.0225696174211</v>
      </c>
      <c r="J7" s="29" t="str">
        <f ca="1"/>
        <v>TMX_DAY_COUNT_30_360</v>
      </c>
      <c r="K7" s="29" t="str">
        <f ca="1"/>
        <v>TMX_DAY_COUNT_30_360</v>
      </c>
      <c r="L7" s="27" t="b">
        <f t="shared" ca="1" si="0"/>
        <v>1</v>
      </c>
    </row>
    <row r="8" spans="2:12" ht="19.2" thickTop="1" thickBot="1" x14ac:dyDescent="0.4">
      <c r="B8" s="22" t="s">
        <v>30</v>
      </c>
      <c r="C8" s="11" cm="1">
        <f t="array" aca="1" ref="C8" ca="1">_xll.\TMX.BOND.BASIC(dated,maturity,coupon,_xll.ENUM(frequency),_xll.ENUM(day_count))</f>
        <v>2465832650576</v>
      </c>
      <c r="D8"/>
      <c r="F8" s="24" t="s">
        <v>36</v>
      </c>
      <c r="G8" s="42" cm="1">
        <f t="array" aca="1" ref="G8" ca="1">_xll.TMX.VALUE.CONVEXITY(instrument,curve)</f>
        <v>10708.257622880607</v>
      </c>
      <c r="J8" s="29">
        <f ca="1"/>
        <v>100</v>
      </c>
      <c r="K8" s="29">
        <f ca="1"/>
        <v>100</v>
      </c>
      <c r="L8" s="27" t="b">
        <f t="shared" ca="1" si="0"/>
        <v>1</v>
      </c>
    </row>
    <row r="9" spans="2:12" ht="18.600000000000001" thickTop="1" x14ac:dyDescent="0.35">
      <c r="B9" s="22" t="s">
        <v>15</v>
      </c>
      <c r="C9" s="11" cm="1">
        <f t="array" aca="1" ref="C9" ca="1">_xll.\TMX.BOND.BASIC.INSTRUMENT(bond,pvdate)</f>
        <v>2465833300224</v>
      </c>
    </row>
    <row r="10" spans="2:12" x14ac:dyDescent="0.35">
      <c r="C10" s="23" t="s">
        <v>8</v>
      </c>
      <c r="D10" s="23" t="s">
        <v>32</v>
      </c>
      <c r="E10" s="39" t="s">
        <v>2</v>
      </c>
    </row>
    <row r="11" spans="2:12" x14ac:dyDescent="0.35">
      <c r="C11" s="26" cm="1">
        <f t="array" aca="1" ref="C11:D30" ca="1">_xll.TMX.INSTRUMENT(C9)</f>
        <v>0.50377488928588543</v>
      </c>
      <c r="D11" s="26">
        <f ca="1"/>
        <v>2.5</v>
      </c>
      <c r="E11" s="25" cm="1">
        <f t="array" aca="1" ref="E11:E30" ca="1">_xlfn.MAP(_xlfn.TAKE(_xlfn.ANCHORARRAY(C11),,1),_xlfn.LAMBDA(_xlpm.u,_xll.TMX.DATE.ADDYEARS(pvdate,_xlpm.u)))</f>
        <v>45597</v>
      </c>
    </row>
    <row r="12" spans="2:12" x14ac:dyDescent="0.35">
      <c r="C12" s="21">
        <f ca="1"/>
        <v>0.99933605755080523</v>
      </c>
      <c r="D12" s="21">
        <f ca="1"/>
        <v>2.5</v>
      </c>
      <c r="E12" s="25">
        <f ca="1"/>
        <v>45778</v>
      </c>
    </row>
    <row r="13" spans="2:12" x14ac:dyDescent="0.35">
      <c r="C13" s="21">
        <f ca="1"/>
        <v>1.5031109468366908</v>
      </c>
      <c r="D13" s="21">
        <f ca="1"/>
        <v>2.5</v>
      </c>
      <c r="E13" s="25">
        <f ca="1"/>
        <v>45962</v>
      </c>
      <c r="H13" s="30"/>
    </row>
    <row r="14" spans="2:12" x14ac:dyDescent="0.35">
      <c r="C14" s="21">
        <f ca="1"/>
        <v>1.9986721151016105</v>
      </c>
      <c r="D14" s="21">
        <f ca="1"/>
        <v>2.5</v>
      </c>
      <c r="E14" s="25">
        <f ca="1"/>
        <v>46143</v>
      </c>
    </row>
    <row r="15" spans="2:12" x14ac:dyDescent="0.35">
      <c r="C15" s="21">
        <f ca="1"/>
        <v>2.5024470043874958</v>
      </c>
      <c r="D15" s="21">
        <f ca="1"/>
        <v>2.5</v>
      </c>
      <c r="E15" s="25">
        <f ca="1"/>
        <v>46327</v>
      </c>
    </row>
    <row r="16" spans="2:12" x14ac:dyDescent="0.35">
      <c r="C16" s="21">
        <f ca="1"/>
        <v>2.9980081726524159</v>
      </c>
      <c r="D16" s="21">
        <f ca="1"/>
        <v>2.5</v>
      </c>
      <c r="E16" s="25">
        <f ca="1"/>
        <v>46508</v>
      </c>
    </row>
    <row r="17" spans="3:5" x14ac:dyDescent="0.35">
      <c r="C17" s="21">
        <f ca="1"/>
        <v>3.5017830619383012</v>
      </c>
      <c r="D17" s="21">
        <f ca="1"/>
        <v>2.5</v>
      </c>
      <c r="E17" s="25">
        <f ca="1"/>
        <v>46692</v>
      </c>
    </row>
    <row r="18" spans="3:5" x14ac:dyDescent="0.35">
      <c r="C18" s="21">
        <f ca="1"/>
        <v>4.0000821372102093</v>
      </c>
      <c r="D18" s="21">
        <f ca="1"/>
        <v>2.5</v>
      </c>
      <c r="E18" s="25">
        <f ca="1"/>
        <v>46874</v>
      </c>
    </row>
    <row r="19" spans="3:5" x14ac:dyDescent="0.35">
      <c r="C19" s="21">
        <f ca="1"/>
        <v>4.5038570264960951</v>
      </c>
      <c r="D19" s="21">
        <f ca="1"/>
        <v>2.5</v>
      </c>
      <c r="E19" s="25">
        <f ca="1"/>
        <v>47058</v>
      </c>
    </row>
    <row r="20" spans="3:5" x14ac:dyDescent="0.35">
      <c r="C20" s="21">
        <f ca="1"/>
        <v>4.9994181947610148</v>
      </c>
      <c r="D20" s="21">
        <f ca="1"/>
        <v>2.5</v>
      </c>
      <c r="E20" s="25">
        <f ca="1"/>
        <v>47239</v>
      </c>
    </row>
    <row r="21" spans="3:5" x14ac:dyDescent="0.35">
      <c r="C21" s="21">
        <f ca="1"/>
        <v>5.5031930840469006</v>
      </c>
      <c r="D21" s="21">
        <f ca="1"/>
        <v>2.5</v>
      </c>
      <c r="E21" s="25">
        <f ca="1"/>
        <v>47423</v>
      </c>
    </row>
    <row r="22" spans="3:5" x14ac:dyDescent="0.35">
      <c r="C22" s="21">
        <f ca="1"/>
        <v>5.9987542523118202</v>
      </c>
      <c r="D22" s="21">
        <f ca="1"/>
        <v>2.5</v>
      </c>
      <c r="E22" s="25">
        <f ca="1"/>
        <v>47604</v>
      </c>
    </row>
    <row r="23" spans="3:5" x14ac:dyDescent="0.35">
      <c r="C23" s="21">
        <f ca="1"/>
        <v>6.502529141597706</v>
      </c>
      <c r="D23" s="21">
        <f ca="1"/>
        <v>2.5</v>
      </c>
      <c r="E23" s="25">
        <f ca="1"/>
        <v>47788</v>
      </c>
    </row>
    <row r="24" spans="3:5" x14ac:dyDescent="0.35">
      <c r="C24" s="21">
        <f ca="1"/>
        <v>6.9980903098626257</v>
      </c>
      <c r="D24" s="21">
        <f ca="1"/>
        <v>2.5</v>
      </c>
      <c r="E24" s="25">
        <f ca="1"/>
        <v>47969</v>
      </c>
    </row>
    <row r="25" spans="3:5" x14ac:dyDescent="0.35">
      <c r="C25" s="21">
        <f ca="1"/>
        <v>7.5018651991485106</v>
      </c>
      <c r="D25" s="21">
        <f ca="1"/>
        <v>2.5</v>
      </c>
      <c r="E25" s="25">
        <f ca="1"/>
        <v>48153</v>
      </c>
    </row>
    <row r="26" spans="3:5" x14ac:dyDescent="0.35">
      <c r="C26" s="21">
        <f ca="1"/>
        <v>8.0001642744204187</v>
      </c>
      <c r="D26" s="21">
        <f ca="1"/>
        <v>2.5</v>
      </c>
      <c r="E26" s="25">
        <f ca="1"/>
        <v>48335</v>
      </c>
    </row>
    <row r="27" spans="3:5" x14ac:dyDescent="0.35">
      <c r="C27" s="21">
        <f ca="1"/>
        <v>8.5039391637063044</v>
      </c>
      <c r="D27" s="21">
        <f ca="1"/>
        <v>2.5</v>
      </c>
      <c r="E27" s="25">
        <f ca="1"/>
        <v>48519</v>
      </c>
    </row>
    <row r="28" spans="3:5" x14ac:dyDescent="0.35">
      <c r="C28" s="21">
        <f ca="1"/>
        <v>8.999500331971225</v>
      </c>
      <c r="D28" s="21">
        <f ca="1"/>
        <v>2.5</v>
      </c>
      <c r="E28" s="25">
        <f ca="1"/>
        <v>48700</v>
      </c>
    </row>
    <row r="29" spans="3:5" x14ac:dyDescent="0.35">
      <c r="C29" s="21">
        <f ca="1"/>
        <v>9.5032752212571108</v>
      </c>
      <c r="D29" s="21">
        <f ca="1"/>
        <v>2.5</v>
      </c>
      <c r="E29" s="25">
        <f ca="1"/>
        <v>48884</v>
      </c>
    </row>
    <row r="30" spans="3:5" x14ac:dyDescent="0.35">
      <c r="C30" s="21">
        <f ca="1"/>
        <v>9.9988363895220296</v>
      </c>
      <c r="D30" s="21">
        <f ca="1"/>
        <v>102.5</v>
      </c>
      <c r="E30" s="25">
        <f ca="1"/>
        <v>49065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07CDED-52BA-4236-9AB4-270D2D758A2D}">
          <x14:formula1>
            <xm:f>_xlfn.ANCHORARRAY(ENUM!$G$3)</xm:f>
          </x14:formula1>
          <xm:sqref>C5</xm:sqref>
        </x14:dataValidation>
        <x14:dataValidation type="list" allowBlank="1" showInputMessage="1" showErrorMessage="1" xr:uid="{4F940A22-B041-4372-AF7C-03B1471C3CC9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ENUM</vt:lpstr>
      <vt:lpstr>INSTRUMENT</vt:lpstr>
      <vt:lpstr>PWFLAT</vt:lpstr>
      <vt:lpstr>BOND</vt:lpstr>
      <vt:lpstr>VALUATION</vt:lpstr>
      <vt:lpstr>bond</vt:lpstr>
      <vt:lpstr>bond_basic</vt:lpstr>
      <vt:lpstr>VALUATION!coupon</vt:lpstr>
      <vt:lpstr>coupon</vt:lpstr>
      <vt:lpstr>curve</vt:lpstr>
      <vt:lpstr>date</vt:lpstr>
      <vt:lpstr>VALUATION!dated</vt:lpstr>
      <vt:lpstr>dated</vt:lpstr>
      <vt:lpstr>BOND!day_count</vt:lpstr>
      <vt:lpstr>VALUATION!day_count</vt:lpstr>
      <vt:lpstr>DAY_COUNT</vt:lpstr>
      <vt:lpstr>days</vt:lpstr>
      <vt:lpstr>dcf</vt:lpstr>
      <vt:lpstr>VALUATION!face</vt:lpstr>
      <vt:lpstr>face</vt:lpstr>
      <vt:lpstr>VALUATION!frequency</vt:lpstr>
      <vt:lpstr>frequency</vt:lpstr>
      <vt:lpstr>instrument</vt:lpstr>
      <vt:lpstr>VALUATION!maturity</vt:lpstr>
      <vt:lpstr>maturity</vt:lpstr>
      <vt:lpstr>present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2024-04-10T18:18:41Z</dcterms:created>
  <dcterms:modified xsi:type="dcterms:W3CDTF">2024-05-01T11:14:38Z</dcterms:modified>
</cp:coreProperties>
</file>