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tmcrossx\bondxll\"/>
    </mc:Choice>
  </mc:AlternateContent>
  <xr:revisionPtr revIDLastSave="0" documentId="13_ncr:1_{D76D6DB4-9BCF-4A08-B891-7E121B9C6B59}" xr6:coauthVersionLast="47" xr6:coauthVersionMax="47" xr10:uidLastSave="{00000000-0000-0000-0000-000000000000}"/>
  <bookViews>
    <workbookView xWindow="3585" yWindow="1665" windowWidth="32415" windowHeight="17685" activeTab="4" xr2:uid="{B41655E8-20ED-4B49-A343-A4ADF5D922ED}"/>
  </bookViews>
  <sheets>
    <sheet name="ENUM" sheetId="1" r:id="rId1"/>
    <sheet name="INSTRUMENT" sheetId="3" r:id="rId2"/>
    <sheet name="PWFLAT" sheetId="2" r:id="rId3"/>
    <sheet name="BOND" sheetId="4" r:id="rId4"/>
    <sheet name="VALUATION" sheetId="5" r:id="rId5"/>
  </sheets>
  <definedNames>
    <definedName name="bond">VALUATION!$C$8</definedName>
    <definedName name="bond_basic">BOND!$C$8</definedName>
    <definedName name="coupon" localSheetId="4">VALUATION!$C$4</definedName>
    <definedName name="coupon">BOND!$C$4</definedName>
    <definedName name="curve">VALUATION!$G$3</definedName>
    <definedName name="date">ENUM!$E$3</definedName>
    <definedName name="dated" localSheetId="4">VALUATION!$C$2</definedName>
    <definedName name="dated">BOND!$C$2</definedName>
    <definedName name="day_count" localSheetId="3">BOND!$C$6</definedName>
    <definedName name="day_count" localSheetId="4">VALUATION!$C$6</definedName>
    <definedName name="DAY_COUNT">ENUM!$E$2</definedName>
    <definedName name="days">ENUM!$E$4</definedName>
    <definedName name="dcf">ENUM!$E$5</definedName>
    <definedName name="face" localSheetId="4">VALUATION!$C$7</definedName>
    <definedName name="face">BOND!$C$7</definedName>
    <definedName name="frequency" localSheetId="4">VALUATION!$C$5</definedName>
    <definedName name="frequency">BOND!$C$5</definedName>
    <definedName name="instrument">VALUATION!$C$9</definedName>
    <definedName name="maturity" localSheetId="4">VALUATION!$C$3</definedName>
    <definedName name="maturity">BOND!$C$3</definedName>
    <definedName name="present">VALUATION!$G$4</definedName>
    <definedName name="pvdate" localSheetId="4">VALUATION!$G$2</definedName>
    <definedName name="pvdate">BOND!$C$9</definedName>
    <definedName name="pwflat">PWFLAT!$F$2</definedName>
    <definedName name="rate">PWFLAT!$C$3:$C$12</definedName>
    <definedName name="time">PWFLAT!$B$3:$B$12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5" l="1"/>
  <c r="G2" i="5"/>
  <c r="C2" i="4"/>
  <c r="C9" i="4" s="1"/>
  <c r="C3" i="3" a="1"/>
  <c r="C3" i="3" s="1"/>
  <c r="B3" i="3" a="1"/>
  <c r="B3" i="3" s="1"/>
  <c r="E3" i="1"/>
  <c r="J5" i="4" a="1"/>
  <c r="K5" i="4" a="1"/>
  <c r="G3" i="1" a="1"/>
  <c r="K2" i="1" a="1"/>
  <c r="B3" i="2" a="1"/>
  <c r="B3" i="1" a="1"/>
  <c r="I3" i="2" a="1"/>
  <c r="C3" i="4" a="1"/>
  <c r="G3" i="5" a="1"/>
  <c r="E5" i="1" a="1"/>
  <c r="C8" i="5" a="1"/>
  <c r="E2" i="3" a="1"/>
  <c r="G3" i="5" l="1"/>
  <c r="C8" i="5"/>
  <c r="I3" i="2"/>
  <c r="B3" i="2"/>
  <c r="B3" i="1"/>
  <c r="J5" i="4"/>
  <c r="K5" i="4"/>
  <c r="C3" i="4"/>
  <c r="E2" i="3"/>
  <c r="K2" i="1"/>
  <c r="G3" i="1"/>
  <c r="E5" i="1"/>
  <c r="E3" i="3" a="1"/>
  <c r="C9" i="5" a="1"/>
  <c r="J3" i="5" a="1"/>
  <c r="K2" i="4" a="1"/>
  <c r="C8" i="4" a="1"/>
  <c r="J3" i="5" l="1"/>
  <c r="C9" i="5"/>
  <c r="K2" i="4"/>
  <c r="C3" i="2" a="1"/>
  <c r="C3" i="2" s="1"/>
  <c r="C8" i="4"/>
  <c r="E3" i="3"/>
  <c r="K3" i="4" a="1"/>
  <c r="G7" i="5" a="1"/>
  <c r="F2" i="2" a="1"/>
  <c r="K2" i="5" a="1"/>
  <c r="G8" i="5" a="1"/>
  <c r="G4" i="5" a="1"/>
  <c r="M2" i="2" a="1"/>
  <c r="C11" i="5" a="1"/>
  <c r="C10" i="4" a="1"/>
  <c r="C11" i="5" l="1"/>
  <c r="G8" i="5"/>
  <c r="G7" i="5"/>
  <c r="G4" i="5"/>
  <c r="K2" i="5"/>
  <c r="M2" i="2"/>
  <c r="F2" i="2"/>
  <c r="K3" i="4"/>
  <c r="C10" i="4"/>
  <c r="N2" i="4" a="1"/>
  <c r="O2" i="4" a="1"/>
  <c r="M2" i="4" a="1"/>
  <c r="G6" i="5" a="1"/>
  <c r="K3" i="5" a="1"/>
  <c r="F2" i="4" a="1"/>
  <c r="M3" i="2" a="1"/>
  <c r="G5" i="5" a="1"/>
  <c r="F3" i="2" a="1"/>
  <c r="J3" i="2" a="1"/>
  <c r="L3" i="2" a="1"/>
  <c r="K3" i="2" a="1"/>
  <c r="G6" i="5" l="1"/>
  <c r="G5" i="5"/>
  <c r="L8" i="5"/>
  <c r="L7" i="5"/>
  <c r="L6" i="5"/>
  <c r="L5" i="5"/>
  <c r="L4" i="5"/>
  <c r="K3" i="5"/>
  <c r="L3" i="5" s="1"/>
  <c r="M3" i="2"/>
  <c r="L3" i="2"/>
  <c r="K3" i="2"/>
  <c r="J3" i="2"/>
  <c r="O2" i="4"/>
  <c r="N2" i="4"/>
  <c r="M2" i="4"/>
  <c r="F3" i="2"/>
  <c r="F2" i="4"/>
  <c r="E11" i="5" a="1"/>
  <c r="H2" i="4" a="1"/>
  <c r="E11" i="5" l="1"/>
  <c r="H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<sst xmlns="http://schemas.openxmlformats.org/spreadsheetml/2006/main" count="51" uniqueCount="40">
  <si>
    <t>TMX_DAY_COUNT_ENUM</t>
  </si>
  <si>
    <t>DAY_COUNT</t>
  </si>
  <si>
    <t>date</t>
  </si>
  <si>
    <t>days</t>
  </si>
  <si>
    <t>dcf</t>
  </si>
  <si>
    <t>TMX_DAY_COUNT_ACTUAL_360</t>
  </si>
  <si>
    <t>TMX_FREQUENCY_ENUM</t>
  </si>
  <si>
    <t>FREQUENCY</t>
  </si>
  <si>
    <t>time</t>
  </si>
  <si>
    <t>rate</t>
  </si>
  <si>
    <t>forward</t>
  </si>
  <si>
    <t>spot</t>
  </si>
  <si>
    <t>discount</t>
  </si>
  <si>
    <t>pwflat</t>
  </si>
  <si>
    <t>years</t>
  </si>
  <si>
    <t>instrument</t>
  </si>
  <si>
    <t>dated</t>
  </si>
  <si>
    <t>maturity</t>
  </si>
  <si>
    <t>coupon</t>
  </si>
  <si>
    <t>frequency</t>
  </si>
  <si>
    <t>day_count</t>
  </si>
  <si>
    <t>bond_basic</t>
  </si>
  <si>
    <t>pvdate</t>
  </si>
  <si>
    <t>bond_basic_instrument</t>
  </si>
  <si>
    <t>aka_bond</t>
  </si>
  <si>
    <t>value</t>
  </si>
  <si>
    <t>face</t>
  </si>
  <si>
    <t>DC_ACT_ACT</t>
  </si>
  <si>
    <t>TMX_FREQUENCY_ANNUALLY</t>
  </si>
  <si>
    <t>FREQ_ANNUAL</t>
  </si>
  <si>
    <t>TMX_FREQUENCY_SEMIANNUALLY</t>
  </si>
  <si>
    <t>bond</t>
  </si>
  <si>
    <t>curve</t>
  </si>
  <si>
    <t>cash</t>
  </si>
  <si>
    <t>present</t>
  </si>
  <si>
    <t>yield</t>
  </si>
  <si>
    <t>duration</t>
  </si>
  <si>
    <t>convexity</t>
  </si>
  <si>
    <t>TMX_DAY_COUNT_30_360</t>
  </si>
  <si>
    <t>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</si>
</sst>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0x&quot;#"/>
    <numFmt numFmtId="165" formatCode="m/d/yy"/>
    <numFmt numFmtId="166" formatCode="0.0000"/>
    <numFmt numFmtId="167" formatCode="0.000"/>
    <numFmt numFmtId="171" formatCode="0.00000"/>
  </numFmts>
  <fonts count="2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sz val="8"/>
      <color rgb="FFFF0000"/>
      <name val="Aptos Narrow"/>
      <family val="2"/>
      <scheme val="minor"/>
    </font>
    <font>
      <sz val="8"/>
      <color theme="0" tint="-0.34998626667073579"/>
      <name val="Aptos Narrow"/>
      <family val="2"/>
      <scheme val="minor"/>
    </font>
    <font>
      <sz val="14"/>
      <color theme="0" tint="-0.34998626667073579"/>
      <name val="Aptos Narrow"/>
      <family val="2"/>
      <scheme val="minor"/>
    </font>
    <font>
      <sz val="14"/>
      <color rgb="FFFF0000"/>
      <name val="Aptos Narrow"/>
      <family val="2"/>
      <scheme val="minor"/>
    </font>
    <font>
      <b/>
      <sz val="14"/>
      <color theme="0"/>
      <name val="Aptos Narrow"/>
      <family val="2"/>
    </font>
    <font>
      <sz val="14"/>
      <color theme="0" tint="-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1" fillId="2" borderId="1" applyNumberFormat="0" applyAlignment="0" applyProtection="0"/>
    <xf numFmtId="0" fontId="12" fillId="3" borderId="2" applyNumberFormat="0" applyAlignment="0" applyProtection="0"/>
    <xf numFmtId="0" fontId="20" fillId="4" borderId="4" applyNumberFormat="0" applyAlignment="0" applyProtection="0"/>
  </cellStyleXfs>
  <cellXfs count="42">
    <xf numFmtId="0" fontId="0" fillId="0" borderId="0" xfId="0"/>
    <xf numFmtId="0" fontId="10" fillId="0" borderId="0" xfId="0" applyFont="1"/>
    <xf numFmtId="0" fontId="10" fillId="0" borderId="0" xfId="0" applyFont="1" applyAlignment="1">
      <alignment horizontal="right"/>
    </xf>
    <xf numFmtId="0" fontId="14" fillId="2" borderId="1" xfId="1" applyFont="1"/>
    <xf numFmtId="14" fontId="14" fillId="2" borderId="1" xfId="1" applyNumberFormat="1" applyFont="1"/>
    <xf numFmtId="0" fontId="15" fillId="3" borderId="2" xfId="2" applyFont="1"/>
    <xf numFmtId="0" fontId="13" fillId="0" borderId="3" xfId="0" applyFont="1" applyBorder="1" applyAlignment="1">
      <alignment horizontal="center"/>
    </xf>
    <xf numFmtId="0" fontId="9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164" fontId="1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11" fillId="2" borderId="1" xfId="1"/>
    <xf numFmtId="0" fontId="5" fillId="0" borderId="0" xfId="0" applyFont="1" applyAlignment="1">
      <alignment horizontal="right"/>
    </xf>
    <xf numFmtId="0" fontId="5" fillId="0" borderId="0" xfId="0" applyFont="1"/>
    <xf numFmtId="14" fontId="5" fillId="0" borderId="0" xfId="0" applyNumberFormat="1" applyFont="1"/>
    <xf numFmtId="9" fontId="5" fillId="0" borderId="0" xfId="0" applyNumberFormat="1" applyFont="1"/>
    <xf numFmtId="0" fontId="4" fillId="0" borderId="0" xfId="0" applyFont="1" applyAlignment="1">
      <alignment horizontal="right"/>
    </xf>
    <xf numFmtId="164" fontId="17" fillId="0" borderId="0" xfId="0" applyNumberFormat="1" applyFont="1" applyAlignment="1">
      <alignment horizontal="center" vertical="center"/>
    </xf>
    <xf numFmtId="0" fontId="18" fillId="0" borderId="0" xfId="0" applyFont="1"/>
    <xf numFmtId="0" fontId="3" fillId="0" borderId="0" xfId="0" applyFont="1"/>
    <xf numFmtId="164" fontId="19" fillId="0" borderId="0" xfId="0" quotePrefix="1" applyNumberFormat="1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/>
    <xf numFmtId="0" fontId="1" fillId="0" borderId="0" xfId="0" quotePrefix="1" applyFont="1"/>
    <xf numFmtId="14" fontId="3" fillId="0" borderId="0" xfId="0" applyNumberFormat="1" applyFont="1"/>
    <xf numFmtId="0" fontId="20" fillId="4" borderId="4" xfId="3"/>
    <xf numFmtId="14" fontId="21" fillId="0" borderId="0" xfId="0" applyNumberFormat="1" applyFont="1"/>
    <xf numFmtId="0" fontId="21" fillId="0" borderId="0" xfId="0" applyFont="1"/>
    <xf numFmtId="0" fontId="1" fillId="0" borderId="0" xfId="0" applyFont="1"/>
    <xf numFmtId="165" fontId="14" fillId="2" borderId="1" xfId="1" applyNumberFormat="1" applyFont="1"/>
    <xf numFmtId="9" fontId="14" fillId="2" borderId="1" xfId="1" applyNumberFormat="1" applyFont="1"/>
    <xf numFmtId="0" fontId="1" fillId="0" borderId="0" xfId="0" applyFont="1" applyAlignment="1">
      <alignment horizontal="right"/>
    </xf>
    <xf numFmtId="166" fontId="3" fillId="0" borderId="0" xfId="0" applyNumberFormat="1" applyFont="1"/>
    <xf numFmtId="167" fontId="3" fillId="0" borderId="0" xfId="0" applyNumberFormat="1" applyFont="1"/>
    <xf numFmtId="171" fontId="3" fillId="0" borderId="0" xfId="0" applyNumberFormat="1" applyFont="1"/>
  </cellXfs>
  <cellStyles count="4">
    <cellStyle name="Check Cell" xfId="3" builtinId="2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PWFLAT!$J$2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PWFLAT!$I$3:$I$103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PWFLAT!$J$3:$J$103</c:f>
              <c:numCache>
                <c:formatCode>General</c:formatCode>
                <c:ptCount val="101"/>
                <c:pt idx="0">
                  <c:v>0.32283416468956183</c:v>
                </c:pt>
                <c:pt idx="1">
                  <c:v>0.32283416468956183</c:v>
                </c:pt>
                <c:pt idx="2">
                  <c:v>0.32283416468956183</c:v>
                </c:pt>
                <c:pt idx="3">
                  <c:v>0.32283416468956183</c:v>
                </c:pt>
                <c:pt idx="4">
                  <c:v>0.32283416468956183</c:v>
                </c:pt>
                <c:pt idx="5">
                  <c:v>0.32283416468956183</c:v>
                </c:pt>
                <c:pt idx="6">
                  <c:v>0.32283416468956183</c:v>
                </c:pt>
                <c:pt idx="7">
                  <c:v>0.32283416468956183</c:v>
                </c:pt>
                <c:pt idx="8">
                  <c:v>0.32283416468956183</c:v>
                </c:pt>
                <c:pt idx="9">
                  <c:v>0.32283416468956183</c:v>
                </c:pt>
                <c:pt idx="10">
                  <c:v>0.32283416468956183</c:v>
                </c:pt>
                <c:pt idx="11">
                  <c:v>0.79453585160743101</c:v>
                </c:pt>
                <c:pt idx="12">
                  <c:v>0.79453585160743101</c:v>
                </c:pt>
                <c:pt idx="13">
                  <c:v>0.79453585160743101</c:v>
                </c:pt>
                <c:pt idx="14">
                  <c:v>0.79453585160743101</c:v>
                </c:pt>
                <c:pt idx="15">
                  <c:v>0.79453585160743101</c:v>
                </c:pt>
                <c:pt idx="16">
                  <c:v>0.79453585160743101</c:v>
                </c:pt>
                <c:pt idx="17">
                  <c:v>0.79453585160743101</c:v>
                </c:pt>
                <c:pt idx="18">
                  <c:v>0.79453585160743101</c:v>
                </c:pt>
                <c:pt idx="19">
                  <c:v>0.79453585160743101</c:v>
                </c:pt>
                <c:pt idx="20">
                  <c:v>0.79453585160743101</c:v>
                </c:pt>
                <c:pt idx="21">
                  <c:v>0.242849658381314</c:v>
                </c:pt>
                <c:pt idx="22">
                  <c:v>0.242849658381314</c:v>
                </c:pt>
                <c:pt idx="23">
                  <c:v>0.242849658381314</c:v>
                </c:pt>
                <c:pt idx="24">
                  <c:v>0.242849658381314</c:v>
                </c:pt>
                <c:pt idx="25">
                  <c:v>0.242849658381314</c:v>
                </c:pt>
                <c:pt idx="26">
                  <c:v>0.242849658381314</c:v>
                </c:pt>
                <c:pt idx="27">
                  <c:v>0.242849658381314</c:v>
                </c:pt>
                <c:pt idx="28">
                  <c:v>0.242849658381314</c:v>
                </c:pt>
                <c:pt idx="29">
                  <c:v>0.242849658381314</c:v>
                </c:pt>
                <c:pt idx="30">
                  <c:v>0.242849658381314</c:v>
                </c:pt>
                <c:pt idx="31">
                  <c:v>0.74945515068588553</c:v>
                </c:pt>
                <c:pt idx="32">
                  <c:v>0.74945515068588553</c:v>
                </c:pt>
                <c:pt idx="33">
                  <c:v>0.74945515068588553</c:v>
                </c:pt>
                <c:pt idx="34">
                  <c:v>0.74945515068588553</c:v>
                </c:pt>
                <c:pt idx="35">
                  <c:v>0.74945515068588553</c:v>
                </c:pt>
                <c:pt idx="36">
                  <c:v>0.74945515068588553</c:v>
                </c:pt>
                <c:pt idx="37">
                  <c:v>0.74945515068588553</c:v>
                </c:pt>
                <c:pt idx="38">
                  <c:v>0.74945515068588553</c:v>
                </c:pt>
                <c:pt idx="39">
                  <c:v>0.74945515068588553</c:v>
                </c:pt>
                <c:pt idx="40">
                  <c:v>0.74945515068588553</c:v>
                </c:pt>
                <c:pt idx="41">
                  <c:v>1.2016145554805346E-2</c:v>
                </c:pt>
                <c:pt idx="42">
                  <c:v>1.2016145554805346E-2</c:v>
                </c:pt>
                <c:pt idx="43">
                  <c:v>1.2016145554805346E-2</c:v>
                </c:pt>
                <c:pt idx="44">
                  <c:v>1.2016145554805346E-2</c:v>
                </c:pt>
                <c:pt idx="45">
                  <c:v>1.2016145554805346E-2</c:v>
                </c:pt>
                <c:pt idx="46">
                  <c:v>1.2016145554805346E-2</c:v>
                </c:pt>
                <c:pt idx="47">
                  <c:v>1.2016145554805346E-2</c:v>
                </c:pt>
                <c:pt idx="48">
                  <c:v>1.2016145554805346E-2</c:v>
                </c:pt>
                <c:pt idx="49">
                  <c:v>1.2016145554805346E-2</c:v>
                </c:pt>
                <c:pt idx="50">
                  <c:v>1.2016145554805346E-2</c:v>
                </c:pt>
                <c:pt idx="51">
                  <c:v>0.85140762941610237</c:v>
                </c:pt>
                <c:pt idx="52">
                  <c:v>0.85140762941610237</c:v>
                </c:pt>
                <c:pt idx="53">
                  <c:v>0.85140762941610237</c:v>
                </c:pt>
                <c:pt idx="54">
                  <c:v>0.85140762941610237</c:v>
                </c:pt>
                <c:pt idx="55">
                  <c:v>0.85140762941610237</c:v>
                </c:pt>
                <c:pt idx="56">
                  <c:v>0.85140762941610237</c:v>
                </c:pt>
                <c:pt idx="57">
                  <c:v>0.85140762941610237</c:v>
                </c:pt>
                <c:pt idx="58">
                  <c:v>0.85140762941610237</c:v>
                </c:pt>
                <c:pt idx="59">
                  <c:v>0.85140762941610237</c:v>
                </c:pt>
                <c:pt idx="60">
                  <c:v>0.85140762941610237</c:v>
                </c:pt>
                <c:pt idx="61">
                  <c:v>0.11763237961991213</c:v>
                </c:pt>
                <c:pt idx="62">
                  <c:v>0.11763237961991213</c:v>
                </c:pt>
                <c:pt idx="63">
                  <c:v>0.11763237961991213</c:v>
                </c:pt>
                <c:pt idx="64">
                  <c:v>0.11763237961991213</c:v>
                </c:pt>
                <c:pt idx="65">
                  <c:v>0.11763237961991213</c:v>
                </c:pt>
                <c:pt idx="66">
                  <c:v>0.11763237961991213</c:v>
                </c:pt>
                <c:pt idx="67">
                  <c:v>0.11763237961991213</c:v>
                </c:pt>
                <c:pt idx="68">
                  <c:v>0.11763237961991213</c:v>
                </c:pt>
                <c:pt idx="69">
                  <c:v>0.11763237961991213</c:v>
                </c:pt>
                <c:pt idx="70">
                  <c:v>0.11763237961991213</c:v>
                </c:pt>
                <c:pt idx="71">
                  <c:v>0.47263522532870339</c:v>
                </c:pt>
                <c:pt idx="72">
                  <c:v>0.47263522532870339</c:v>
                </c:pt>
                <c:pt idx="73">
                  <c:v>0.47263522532870339</c:v>
                </c:pt>
                <c:pt idx="74">
                  <c:v>0.47263522532870339</c:v>
                </c:pt>
                <c:pt idx="75">
                  <c:v>0.47263522532870339</c:v>
                </c:pt>
                <c:pt idx="76">
                  <c:v>0.47263522532870339</c:v>
                </c:pt>
                <c:pt idx="77">
                  <c:v>0.47263522532870339</c:v>
                </c:pt>
                <c:pt idx="78">
                  <c:v>0.47263522532870339</c:v>
                </c:pt>
                <c:pt idx="79">
                  <c:v>0.47263522532870339</c:v>
                </c:pt>
                <c:pt idx="80">
                  <c:v>0.47263522532870339</c:v>
                </c:pt>
                <c:pt idx="81">
                  <c:v>0.91905236752737207</c:v>
                </c:pt>
                <c:pt idx="82">
                  <c:v>0.91905236752737207</c:v>
                </c:pt>
                <c:pt idx="83">
                  <c:v>0.91905236752737207</c:v>
                </c:pt>
                <c:pt idx="84">
                  <c:v>0.91905236752737207</c:v>
                </c:pt>
                <c:pt idx="85">
                  <c:v>0.91905236752737207</c:v>
                </c:pt>
                <c:pt idx="86">
                  <c:v>0.91905236752737207</c:v>
                </c:pt>
                <c:pt idx="87">
                  <c:v>0.91905236752737207</c:v>
                </c:pt>
                <c:pt idx="88">
                  <c:v>0.91905236752737207</c:v>
                </c:pt>
                <c:pt idx="89">
                  <c:v>0.91905236752737207</c:v>
                </c:pt>
                <c:pt idx="90">
                  <c:v>0.91905236752737207</c:v>
                </c:pt>
                <c:pt idx="91">
                  <c:v>0.76489947289387872</c:v>
                </c:pt>
                <c:pt idx="92">
                  <c:v>0.76489947289387872</c:v>
                </c:pt>
                <c:pt idx="93">
                  <c:v>0.76489947289387872</c:v>
                </c:pt>
                <c:pt idx="94">
                  <c:v>0.76489947289387872</c:v>
                </c:pt>
                <c:pt idx="95">
                  <c:v>0.76489947289387872</c:v>
                </c:pt>
                <c:pt idx="96">
                  <c:v>0.76489947289387872</c:v>
                </c:pt>
                <c:pt idx="97">
                  <c:v>0.76489947289387872</c:v>
                </c:pt>
                <c:pt idx="98">
                  <c:v>0.76489947289387872</c:v>
                </c:pt>
                <c:pt idx="99">
                  <c:v>0.76489947289387872</c:v>
                </c:pt>
                <c:pt idx="100">
                  <c:v>0.76489947289387872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63-4AE5-B51D-033A042789E9}"/>
            </c:ext>
          </c:extLst>
        </c:ser>
        <c:ser>
          <c:idx val="1"/>
          <c:order val="1"/>
          <c:tx>
            <c:strRef>
              <c:f>PWFLAT!$K$2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PWFLAT!$I$3:$I$103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PWFLAT!$K$3:$K$103</c:f>
              <c:numCache>
                <c:formatCode>General</c:formatCode>
                <c:ptCount val="101"/>
                <c:pt idx="0">
                  <c:v>0.32283416468956183</c:v>
                </c:pt>
                <c:pt idx="1">
                  <c:v>0.32283416468956178</c:v>
                </c:pt>
                <c:pt idx="2">
                  <c:v>0.32283416468956178</c:v>
                </c:pt>
                <c:pt idx="3">
                  <c:v>0.32283416468956183</c:v>
                </c:pt>
                <c:pt idx="4">
                  <c:v>0.32283416468956178</c:v>
                </c:pt>
                <c:pt idx="5">
                  <c:v>0.32283416468956183</c:v>
                </c:pt>
                <c:pt idx="6">
                  <c:v>0.32283416468956183</c:v>
                </c:pt>
                <c:pt idx="7">
                  <c:v>0.32283416468956183</c:v>
                </c:pt>
                <c:pt idx="8">
                  <c:v>0.32283416468956178</c:v>
                </c:pt>
                <c:pt idx="9">
                  <c:v>0.32283416468956183</c:v>
                </c:pt>
                <c:pt idx="10">
                  <c:v>0.32283416468956183</c:v>
                </c:pt>
                <c:pt idx="11">
                  <c:v>0.36571613622755</c:v>
                </c:pt>
                <c:pt idx="12">
                  <c:v>0.40145111250920679</c:v>
                </c:pt>
                <c:pt idx="13">
                  <c:v>0.43168840013214704</c:v>
                </c:pt>
                <c:pt idx="14">
                  <c:v>0.4576060752375245</c:v>
                </c:pt>
                <c:pt idx="15">
                  <c:v>0.48006806032885158</c:v>
                </c:pt>
                <c:pt idx="16">
                  <c:v>0.49972229728376283</c:v>
                </c:pt>
                <c:pt idx="17">
                  <c:v>0.51706427106750796</c:v>
                </c:pt>
                <c:pt idx="18">
                  <c:v>0.53247935887528153</c:v>
                </c:pt>
                <c:pt idx="19">
                  <c:v>0.54627180586118407</c:v>
                </c:pt>
                <c:pt idx="20">
                  <c:v>0.55868500814849642</c:v>
                </c:pt>
                <c:pt idx="21">
                  <c:v>0.54364522958815442</c:v>
                </c:pt>
                <c:pt idx="22">
                  <c:v>0.52997270362420712</c:v>
                </c:pt>
                <c:pt idx="23">
                  <c:v>0.51748909296147261</c:v>
                </c:pt>
                <c:pt idx="24">
                  <c:v>0.50604578318729931</c:v>
                </c:pt>
                <c:pt idx="25">
                  <c:v>0.49551793819505996</c:v>
                </c:pt>
                <c:pt idx="26">
                  <c:v>0.48579992743299277</c:v>
                </c:pt>
                <c:pt idx="27">
                  <c:v>0.47680176931996765</c:v>
                </c:pt>
                <c:pt idx="28">
                  <c:v>0.46844633678644432</c:v>
                </c:pt>
                <c:pt idx="29">
                  <c:v>0.46066714097937084</c:v>
                </c:pt>
                <c:pt idx="30">
                  <c:v>0.45340655822610226</c:v>
                </c:pt>
                <c:pt idx="31">
                  <c:v>0.46295651282157918</c:v>
                </c:pt>
                <c:pt idx="32">
                  <c:v>0.47190959525483872</c:v>
                </c:pt>
                <c:pt idx="33">
                  <c:v>0.48032006663153715</c:v>
                </c:pt>
                <c:pt idx="34">
                  <c:v>0.48823580439784148</c:v>
                </c:pt>
                <c:pt idx="35">
                  <c:v>0.49569921429178559</c:v>
                </c:pt>
                <c:pt idx="36">
                  <c:v>0.50274799030273287</c:v>
                </c:pt>
                <c:pt idx="37">
                  <c:v>0.50941575139416939</c:v>
                </c:pt>
                <c:pt idx="38">
                  <c:v>0.51573257769131986</c:v>
                </c:pt>
                <c:pt idx="39">
                  <c:v>0.52172546417835997</c:v>
                </c:pt>
                <c:pt idx="40">
                  <c:v>0.52741870634104804</c:v>
                </c:pt>
                <c:pt idx="41">
                  <c:v>0.51484791217552994</c:v>
                </c:pt>
                <c:pt idx="42">
                  <c:v>0.50287572725598884</c:v>
                </c:pt>
                <c:pt idx="43">
                  <c:v>0.49146038814665904</c:v>
                </c:pt>
                <c:pt idx="44">
                  <c:v>0.48056392808775317</c:v>
                </c:pt>
                <c:pt idx="45">
                  <c:v>0.47015175514257668</c:v>
                </c:pt>
                <c:pt idx="46">
                  <c:v>0.46019228536892937</c:v>
                </c:pt>
                <c:pt idx="47">
                  <c:v>0.45065662281969276</c:v>
                </c:pt>
                <c:pt idx="48">
                  <c:v>0.44151827954334083</c:v>
                </c:pt>
                <c:pt idx="49">
                  <c:v>0.4327529298701055</c:v>
                </c:pt>
                <c:pt idx="50">
                  <c:v>0.42433819418379953</c:v>
                </c:pt>
                <c:pt idx="51">
                  <c:v>0.43271210467855065</c:v>
                </c:pt>
                <c:pt idx="52">
                  <c:v>0.44076394169273431</c:v>
                </c:pt>
                <c:pt idx="53">
                  <c:v>0.44851193580072241</c:v>
                </c:pt>
                <c:pt idx="54">
                  <c:v>0.45597296716397018</c:v>
                </c:pt>
                <c:pt idx="55">
                  <c:v>0.46316268829582707</c:v>
                </c:pt>
                <c:pt idx="56">
                  <c:v>0.47009563367297491</c:v>
                </c:pt>
                <c:pt idx="57">
                  <c:v>0.47678531780881922</c:v>
                </c:pt>
                <c:pt idx="58">
                  <c:v>0.48324432318135863</c:v>
                </c:pt>
                <c:pt idx="59">
                  <c:v>0.4894843792192356</c:v>
                </c:pt>
                <c:pt idx="60">
                  <c:v>0.49551643338918333</c:v>
                </c:pt>
                <c:pt idx="61">
                  <c:v>0.48932161283558867</c:v>
                </c:pt>
                <c:pt idx="62">
                  <c:v>0.48332662520307779</c:v>
                </c:pt>
                <c:pt idx="63">
                  <c:v>0.47752195463826563</c:v>
                </c:pt>
                <c:pt idx="64">
                  <c:v>0.47189868002860386</c:v>
                </c:pt>
                <c:pt idx="65">
                  <c:v>0.46644842925308555</c:v>
                </c:pt>
                <c:pt idx="66">
                  <c:v>0.46116333759197681</c:v>
                </c:pt>
                <c:pt idx="67">
                  <c:v>0.45603600986105047</c:v>
                </c:pt>
                <c:pt idx="68">
                  <c:v>0.45105948588691613</c:v>
                </c:pt>
                <c:pt idx="69">
                  <c:v>0.4462272089844958</c:v>
                </c:pt>
                <c:pt idx="70">
                  <c:v>0.44153299713643029</c:v>
                </c:pt>
                <c:pt idx="71">
                  <c:v>0.44197105668843417</c:v>
                </c:pt>
                <c:pt idx="72">
                  <c:v>0.44239694791954898</c:v>
                </c:pt>
                <c:pt idx="73">
                  <c:v>0.44281117089775662</c:v>
                </c:pt>
                <c:pt idx="74">
                  <c:v>0.44321419866033696</c:v>
                </c:pt>
                <c:pt idx="75">
                  <c:v>0.44360647901591516</c:v>
                </c:pt>
                <c:pt idx="76">
                  <c:v>0.44398843620424133</c:v>
                </c:pt>
                <c:pt idx="77">
                  <c:v>0.44436047242663695</c:v>
                </c:pt>
                <c:pt idx="78">
                  <c:v>0.44472296925871468</c:v>
                </c:pt>
                <c:pt idx="79">
                  <c:v>0.4450762889558032</c:v>
                </c:pt>
                <c:pt idx="80">
                  <c:v>0.44542077566046445</c:v>
                </c:pt>
                <c:pt idx="81">
                  <c:v>0.45126807926375961</c:v>
                </c:pt>
                <c:pt idx="82">
                  <c:v>0.45697276570599887</c:v>
                </c:pt>
                <c:pt idx="83">
                  <c:v>0.46253998982432859</c:v>
                </c:pt>
                <c:pt idx="84">
                  <c:v>0.4679746609874601</c:v>
                </c:pt>
                <c:pt idx="85">
                  <c:v>0.47328145753498846</c:v>
                </c:pt>
                <c:pt idx="86">
                  <c:v>0.4784648402093184</c:v>
                </c:pt>
                <c:pt idx="87">
                  <c:v>0.48352906466125017</c:v>
                </c:pt>
                <c:pt idx="88">
                  <c:v>0.48847819310291068</c:v>
                </c:pt>
                <c:pt idx="89">
                  <c:v>0.49331610517509561</c:v>
                </c:pt>
                <c:pt idx="90">
                  <c:v>0.49804650809012085</c:v>
                </c:pt>
                <c:pt idx="91">
                  <c:v>0.50097895825279948</c:v>
                </c:pt>
                <c:pt idx="92">
                  <c:v>0.5038476594988982</c:v>
                </c:pt>
                <c:pt idx="93">
                  <c:v>0.50665466824508076</c:v>
                </c:pt>
                <c:pt idx="94">
                  <c:v>0.50940195340091898</c:v>
                </c:pt>
                <c:pt idx="95">
                  <c:v>0.5120914009745291</c:v>
                </c:pt>
                <c:pt idx="96">
                  <c:v>0.51472481839035567</c:v>
                </c:pt>
                <c:pt idx="97">
                  <c:v>0.51730393853987655</c:v>
                </c:pt>
                <c:pt idx="98">
                  <c:v>0.5198304235843052</c:v>
                </c:pt>
                <c:pt idx="99">
                  <c:v>0.52230586852682603</c:v>
                </c:pt>
                <c:pt idx="100">
                  <c:v>0.52473180457049662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63-4AE5-B51D-033A04278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020672"/>
        <c:axId val="1903008192"/>
      </c:scatterChart>
      <c:valAx>
        <c:axId val="1903020672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08192"/>
        <c:crosses val="autoZero"/>
        <c:crossBetween val="midCat"/>
      </c:valAx>
      <c:valAx>
        <c:axId val="190300819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2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338137</xdr:colOff>
      <xdr:row>2</xdr:row>
      <xdr:rowOff>185737</xdr:rowOff>
    </xdr:from>
    <xdr:to>
      <xdr:col>21</xdr:col>
      <xdr:colOff>33337</xdr:colOff>
      <xdr:row>14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D28D46-80BD-3BA2-E0D3-8C3D1990E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A502-D294-49DE-A9D7-C71F5820CCB0}">
  <dimension ref="B2:K7"/>
  <sheetViews>
    <sheetView workbookViewId="0">
      <selection activeCell="E15" sqref="E15"/>
    </sheetView>
  </sheetViews>
  <sheetFormatPr defaultColWidth="9.140625" defaultRowHeight="18.75" x14ac:dyDescent="0.3"/>
  <cols>
    <col min="1" max="1" width="3.7109375" style="1" customWidth="1"/>
    <col min="2" max="2" width="41.42578125" style="1" bestFit="1" customWidth="1"/>
    <col min="3" max="3" width="3.7109375" style="1" customWidth="1"/>
    <col min="4" max="4" width="15.140625" style="1" bestFit="1" customWidth="1"/>
    <col min="5" max="5" width="41.42578125" style="1" bestFit="1" customWidth="1"/>
    <col min="6" max="6" width="3.7109375" style="1" customWidth="1"/>
    <col min="7" max="7" width="40.5703125" style="1" bestFit="1" customWidth="1"/>
    <col min="8" max="8" width="3.7109375" style="1" customWidth="1"/>
    <col min="9" max="9" width="15.42578125" style="1" bestFit="1" customWidth="1"/>
    <col min="10" max="10" width="40.5703125" style="1" bestFit="1" customWidth="1"/>
    <col min="11" max="16384" width="9.140625" style="1"/>
  </cols>
  <sheetData>
    <row r="2" spans="2:11" x14ac:dyDescent="0.3">
      <c r="B2" s="6" t="s">
        <v>0</v>
      </c>
      <c r="D2" s="2" t="s">
        <v>1</v>
      </c>
      <c r="E2" s="3" t="s">
        <v>5</v>
      </c>
      <c r="G2" s="6" t="s">
        <v>6</v>
      </c>
      <c r="I2" s="7" t="s">
        <v>7</v>
      </c>
      <c r="J2" s="3" t="s">
        <v>30</v>
      </c>
      <c r="K2" s="1" cm="1">
        <f t="array" ref="K2">_xll.ENUM(J2)</f>
        <v>2</v>
      </c>
    </row>
    <row r="3" spans="2:11" x14ac:dyDescent="0.3">
      <c r="B3" s="1" t="str" cm="1">
        <f t="array" ref="B3:B7">TRANSPOSE(_xll.ENUM(B2))</f>
        <v>TMX_DAY_COUNT_30_360</v>
      </c>
      <c r="D3" s="2" t="s">
        <v>2</v>
      </c>
      <c r="E3" s="4">
        <f ca="1">TODAY()</f>
        <v>45412</v>
      </c>
      <c r="G3" s="1" t="str" cm="1">
        <f t="array" ref="G3:G6">TRANSPOSE(_xll.ENUM(G2))</f>
        <v>TMX_FREQUENCY_ANNUALLY</v>
      </c>
    </row>
    <row r="4" spans="2:11" x14ac:dyDescent="0.3">
      <c r="B4" s="1" t="str">
        <v>TMX_DAY_COUNT_30E_360</v>
      </c>
      <c r="D4" s="2" t="s">
        <v>3</v>
      </c>
      <c r="E4" s="3">
        <v>180</v>
      </c>
      <c r="G4" s="1" t="str">
        <v>TMX_FREQUENCY_SEMIANNUALLY</v>
      </c>
    </row>
    <row r="5" spans="2:11" x14ac:dyDescent="0.3">
      <c r="B5" s="1" t="str">
        <v>TMX_DAY_COUNT_ACTUAL_ACTUAL</v>
      </c>
      <c r="D5" s="2" t="s">
        <v>4</v>
      </c>
      <c r="E5" s="5" cm="1">
        <f t="array" aca="1" ref="E5" ca="1">_xll.TMX.DATE.DAY_COUNT(date,date+days,_xll.ENUM(DAY_COUNT))</f>
        <v>0.5</v>
      </c>
      <c r="G5" s="1" t="str">
        <v>TMX_FREQUENCY_QUARTERLY</v>
      </c>
    </row>
    <row r="6" spans="2:11" x14ac:dyDescent="0.3">
      <c r="B6" s="1" t="str">
        <v>TMX_DAY_COUNT_ACTUAL_360</v>
      </c>
      <c r="G6" s="1" t="str">
        <v>TMX_FREQUENCY_MONTHLY</v>
      </c>
    </row>
    <row r="7" spans="2:11" x14ac:dyDescent="0.3">
      <c r="B7" s="1" t="str">
        <v>TMX_DAY_COUNT_ACTUAL_365</v>
      </c>
    </row>
  </sheetData>
  <dataValidations count="2">
    <dataValidation type="list" allowBlank="1" showInputMessage="1" showErrorMessage="1" sqref="E2" xr:uid="{020A661B-D0A7-4D9A-9D97-5C89B8254AB2}">
      <formula1>_xlfn.ANCHORARRAY($B$3)</formula1>
    </dataValidation>
    <dataValidation type="list" allowBlank="1" showInputMessage="1" showErrorMessage="1" sqref="J2" xr:uid="{2ECFD487-718F-4483-AAC1-E734D307F002}">
      <formula1>_xlfn.ANCHORARRAY($G$3)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35DD-ADD1-43A6-94D0-1926D9A51F0B}">
  <dimension ref="B2:F12"/>
  <sheetViews>
    <sheetView workbookViewId="0">
      <selection activeCell="J16" sqref="J16"/>
    </sheetView>
  </sheetViews>
  <sheetFormatPr defaultColWidth="9.140625" defaultRowHeight="18.75" x14ac:dyDescent="0.3"/>
  <cols>
    <col min="1" max="1" width="3.7109375" style="13" customWidth="1"/>
    <col min="2" max="3" width="9.28515625" style="13" bestFit="1" customWidth="1"/>
    <col min="4" max="4" width="3.7109375" style="13" customWidth="1"/>
    <col min="5" max="5" width="13.7109375" style="13" bestFit="1" customWidth="1"/>
    <col min="6" max="6" width="9.28515625" style="13" bestFit="1" customWidth="1"/>
    <col min="7" max="16384" width="9.140625" style="13"/>
  </cols>
  <sheetData>
    <row r="2" spans="2:6" x14ac:dyDescent="0.3">
      <c r="B2" s="3">
        <v>10</v>
      </c>
      <c r="D2" s="14" t="s">
        <v>15</v>
      </c>
      <c r="E2" s="11" cm="1">
        <f t="array" aca="1" ref="E2" ca="1">_xll.\TMX.INSTRUMENT(_xlfn.ANCHORARRAY(B3),_xlfn.ANCHORARRAY(C3))</f>
        <v>1521044377504</v>
      </c>
    </row>
    <row r="3" spans="2:6" x14ac:dyDescent="0.3">
      <c r="B3" s="13" cm="1">
        <f t="array" ref="B3:B12">_xlfn.SEQUENCE(B2,1,1)</f>
        <v>1</v>
      </c>
      <c r="C3" s="13" cm="1">
        <f t="array" aca="1" ref="C3:C12" ca="1">_xlfn.RANDARRAY(B2,1)</f>
        <v>8.5139449099762343E-2</v>
      </c>
      <c r="E3" s="13" cm="1">
        <f t="array" aca="1" ref="E3:F12" ca="1">_xll.TMX.INSTRUMENT(E2)</f>
        <v>1</v>
      </c>
      <c r="F3" s="13">
        <f ca="1"/>
        <v>8.5139449099762343E-2</v>
      </c>
    </row>
    <row r="4" spans="2:6" x14ac:dyDescent="0.3">
      <c r="B4" s="13">
        <v>2</v>
      </c>
      <c r="C4" s="13">
        <f ca="1"/>
        <v>0.4269311202523145</v>
      </c>
      <c r="E4" s="13">
        <f ca="1"/>
        <v>2</v>
      </c>
      <c r="F4" s="13">
        <f ca="1"/>
        <v>0.4269311202523145</v>
      </c>
    </row>
    <row r="5" spans="2:6" x14ac:dyDescent="0.3">
      <c r="B5" s="13">
        <v>3</v>
      </c>
      <c r="C5" s="13">
        <f ca="1"/>
        <v>0.26579143885957057</v>
      </c>
      <c r="E5" s="13">
        <f ca="1"/>
        <v>3</v>
      </c>
      <c r="F5" s="13">
        <f ca="1"/>
        <v>0.26579143885957057</v>
      </c>
    </row>
    <row r="6" spans="2:6" x14ac:dyDescent="0.3">
      <c r="B6" s="13">
        <v>4</v>
      </c>
      <c r="C6" s="13">
        <f ca="1"/>
        <v>0.50639962796242388</v>
      </c>
      <c r="E6" s="13">
        <f ca="1"/>
        <v>4</v>
      </c>
      <c r="F6" s="13">
        <f ca="1"/>
        <v>0.50639962796242388</v>
      </c>
    </row>
    <row r="7" spans="2:6" x14ac:dyDescent="0.3">
      <c r="B7" s="13">
        <v>5</v>
      </c>
      <c r="C7" s="13">
        <f ca="1"/>
        <v>0.4226585336927593</v>
      </c>
      <c r="E7" s="13">
        <f ca="1"/>
        <v>5</v>
      </c>
      <c r="F7" s="13">
        <f ca="1"/>
        <v>0.4226585336927593</v>
      </c>
    </row>
    <row r="8" spans="2:6" x14ac:dyDescent="0.3">
      <c r="B8" s="13">
        <v>6</v>
      </c>
      <c r="C8" s="13">
        <f ca="1"/>
        <v>0.39055904915126072</v>
      </c>
      <c r="E8" s="13">
        <f ca="1"/>
        <v>6</v>
      </c>
      <c r="F8" s="13">
        <f ca="1"/>
        <v>0.39055904915126072</v>
      </c>
    </row>
    <row r="9" spans="2:6" x14ac:dyDescent="0.3">
      <c r="B9" s="13">
        <v>7</v>
      </c>
      <c r="C9" s="13">
        <f ca="1"/>
        <v>0.9144784094379006</v>
      </c>
      <c r="E9" s="13">
        <f ca="1"/>
        <v>7</v>
      </c>
      <c r="F9" s="13">
        <f ca="1"/>
        <v>0.9144784094379006</v>
      </c>
    </row>
    <row r="10" spans="2:6" x14ac:dyDescent="0.3">
      <c r="B10" s="13">
        <v>8</v>
      </c>
      <c r="C10" s="13">
        <f ca="1"/>
        <v>0.6514604791187546</v>
      </c>
      <c r="E10" s="13">
        <f ca="1"/>
        <v>8</v>
      </c>
      <c r="F10" s="13">
        <f ca="1"/>
        <v>0.6514604791187546</v>
      </c>
    </row>
    <row r="11" spans="2:6" x14ac:dyDescent="0.3">
      <c r="B11" s="13">
        <v>9</v>
      </c>
      <c r="C11" s="13">
        <f ca="1"/>
        <v>0.40009338252089188</v>
      </c>
      <c r="E11" s="13">
        <f ca="1"/>
        <v>9</v>
      </c>
      <c r="F11" s="13">
        <f ca="1"/>
        <v>0.40009338252089188</v>
      </c>
    </row>
    <row r="12" spans="2:6" x14ac:dyDescent="0.3">
      <c r="B12" s="13">
        <v>10</v>
      </c>
      <c r="C12" s="13">
        <f ca="1"/>
        <v>0.85222715656285697</v>
      </c>
      <c r="E12" s="13">
        <f ca="1"/>
        <v>10</v>
      </c>
      <c r="F12" s="13">
        <f ca="1"/>
        <v>0.85222715656285697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0266-91BE-4B2E-A8BC-1082BDC425C0}">
  <dimension ref="B2:M103"/>
  <sheetViews>
    <sheetView workbookViewId="0"/>
  </sheetViews>
  <sheetFormatPr defaultColWidth="9.140625" defaultRowHeight="18.75" x14ac:dyDescent="0.3"/>
  <cols>
    <col min="1" max="1" width="3.7109375" style="8" customWidth="1"/>
    <col min="2" max="5" width="9.140625" style="8"/>
    <col min="6" max="6" width="9.140625" style="8" customWidth="1"/>
    <col min="7" max="12" width="9.140625" style="8"/>
    <col min="13" max="13" width="9.140625" style="22" customWidth="1"/>
    <col min="14" max="16384" width="9.140625" style="8"/>
  </cols>
  <sheetData>
    <row r="2" spans="2:13" x14ac:dyDescent="0.3">
      <c r="B2" s="9" t="s">
        <v>8</v>
      </c>
      <c r="C2" s="9" t="s">
        <v>9</v>
      </c>
      <c r="D2" s="15">
        <v>10</v>
      </c>
      <c r="E2" s="10" t="s">
        <v>13</v>
      </c>
      <c r="F2" s="11" cm="1">
        <f t="array" aca="1" ref="F2" ca="1">_xll.\TMX.CURVE.PWFLAT(_xlfn.ANCHORARRAY(B3),_xlfn.ANCHORARRAY(C3))</f>
        <v>1521042482912</v>
      </c>
      <c r="I2" s="12" t="s">
        <v>14</v>
      </c>
      <c r="J2" s="9" t="s">
        <v>10</v>
      </c>
      <c r="K2" s="9" t="s">
        <v>11</v>
      </c>
      <c r="L2" s="9" t="s">
        <v>12</v>
      </c>
      <c r="M2" s="21" cm="1">
        <f t="array" aca="1" ref="M2" ca="1">_xll.\TMX.CURVE.CONSTANT(C3)</f>
        <v>1521042510848</v>
      </c>
    </row>
    <row r="3" spans="2:13" x14ac:dyDescent="0.3">
      <c r="B3" s="8" cm="1">
        <f t="array" ref="B3:B12">_xll.ARRAY.SEQUENCE(1,D2)</f>
        <v>1</v>
      </c>
      <c r="C3" s="8" cm="1">
        <f t="array" aca="1" ref="C3:C12" ca="1">_xlfn.RANDARRAY(ROWS(_xlfn.ANCHORARRAY(B3)))</f>
        <v>0.32283416468956183</v>
      </c>
      <c r="F3" s="8" cm="1">
        <f t="array" aca="1" ref="F3:G13" ca="1">TRANSPOSE(_xll.TMX.CURVE.PWFLAT(F2))</f>
        <v>1</v>
      </c>
      <c r="G3" s="8">
        <f ca="1"/>
        <v>0.32283416468956183</v>
      </c>
      <c r="I3" s="8" cm="1">
        <f t="array" ref="I3:I103">_xll.ARRAY.SEQUENCE(0,D2,0.1)</f>
        <v>0</v>
      </c>
      <c r="J3" s="8" cm="1">
        <f t="array" aca="1" ref="J3:J103" ca="1">_xlfn.MAP(_xlfn.ANCHORARRAY($I3),_xlfn.LAMBDA(_xlpm.t,_xll.TMX.CURVE.FORWARD(pwflat,_xlpm.t)))</f>
        <v>0.32283416468956183</v>
      </c>
      <c r="K3" s="8" cm="1">
        <f t="array" aca="1" ref="K3:K103" ca="1">_xlfn.MAP(_xlfn.ANCHORARRAY($I3),_xlfn.LAMBDA(_xlpm.t,_xll.TMX.CURVE.SPOT(pwflat,_xlpm.t)))</f>
        <v>0.32283416468956183</v>
      </c>
      <c r="L3" s="8" cm="1">
        <f t="array" aca="1" ref="L3:L103" ca="1">_xlfn.MAP(_xlfn.ANCHORARRAY($I3),_xlfn.LAMBDA(_xlpm.t,_xll.TMX.CURVE.DISCOUNT(pwflat,_xlpm.t)))</f>
        <v>1</v>
      </c>
      <c r="M3" s="22" cm="1">
        <f t="array" aca="1" ref="M3:M103" ca="1">_xlfn.MAP(_xlfn.ANCHORARRAY(I3),_xlfn.LAMBDA(_xlpm.t,_xll.TMX.CURVE.FORWARD(M2,_xlpm.t)))</f>
        <v>0.32283416468956183</v>
      </c>
    </row>
    <row r="4" spans="2:13" x14ac:dyDescent="0.3">
      <c r="B4" s="8">
        <v>2</v>
      </c>
      <c r="C4" s="8">
        <f ca="1"/>
        <v>0.79453585160743101</v>
      </c>
      <c r="F4" s="8">
        <f ca="1"/>
        <v>2</v>
      </c>
      <c r="G4" s="8">
        <f ca="1"/>
        <v>0.79453585160743101</v>
      </c>
      <c r="I4" s="8">
        <v>0.1</v>
      </c>
      <c r="J4" s="8">
        <f ca="1"/>
        <v>0.32283416468956183</v>
      </c>
      <c r="K4" s="8">
        <f ca="1"/>
        <v>0.32283416468956178</v>
      </c>
      <c r="L4" s="8">
        <f ca="1"/>
        <v>0.96823213025589894</v>
      </c>
      <c r="M4" s="22">
        <f ca="1"/>
        <v>0.32283416468956183</v>
      </c>
    </row>
    <row r="5" spans="2:13" x14ac:dyDescent="0.3">
      <c r="B5" s="8">
        <v>3</v>
      </c>
      <c r="C5" s="8">
        <f ca="1"/>
        <v>0.242849658381314</v>
      </c>
      <c r="F5" s="8">
        <f ca="1"/>
        <v>3</v>
      </c>
      <c r="G5" s="8">
        <f ca="1"/>
        <v>0.242849658381314</v>
      </c>
      <c r="I5" s="8">
        <v>0.2</v>
      </c>
      <c r="J5" s="8">
        <f ca="1"/>
        <v>0.32283416468956183</v>
      </c>
      <c r="K5" s="8">
        <f ca="1"/>
        <v>0.32283416468956178</v>
      </c>
      <c r="L5" s="8">
        <f ca="1"/>
        <v>0.93747345796319836</v>
      </c>
      <c r="M5" s="22">
        <f ca="1"/>
        <v>0.32283416468956183</v>
      </c>
    </row>
    <row r="6" spans="2:13" x14ac:dyDescent="0.3">
      <c r="B6" s="8">
        <v>4</v>
      </c>
      <c r="C6" s="8">
        <f ca="1"/>
        <v>0.74945515068588553</v>
      </c>
      <c r="F6" s="8">
        <f ca="1"/>
        <v>4</v>
      </c>
      <c r="G6" s="8">
        <f ca="1"/>
        <v>0.74945515068588553</v>
      </c>
      <c r="I6" s="8">
        <v>0.30000000000000004</v>
      </c>
      <c r="J6" s="8">
        <f ca="1"/>
        <v>0.32283416468956183</v>
      </c>
      <c r="K6" s="8">
        <f ca="1"/>
        <v>0.32283416468956183</v>
      </c>
      <c r="L6" s="8">
        <f ca="1"/>
        <v>0.90769192337574878</v>
      </c>
      <c r="M6" s="22">
        <f ca="1"/>
        <v>0.32283416468956183</v>
      </c>
    </row>
    <row r="7" spans="2:13" x14ac:dyDescent="0.3">
      <c r="B7" s="8">
        <v>5</v>
      </c>
      <c r="C7" s="8">
        <f ca="1"/>
        <v>1.2016145554805346E-2</v>
      </c>
      <c r="F7" s="8">
        <f ca="1"/>
        <v>5</v>
      </c>
      <c r="G7" s="8">
        <f ca="1"/>
        <v>1.2016145554805346E-2</v>
      </c>
      <c r="I7" s="8">
        <v>0.4</v>
      </c>
      <c r="J7" s="8">
        <f ca="1"/>
        <v>0.32283416468956183</v>
      </c>
      <c r="K7" s="8">
        <f ca="1"/>
        <v>0.32283416468956178</v>
      </c>
      <c r="L7" s="8">
        <f ca="1"/>
        <v>0.8788564846893423</v>
      </c>
      <c r="M7" s="22">
        <f ca="1"/>
        <v>0.32283416468956183</v>
      </c>
    </row>
    <row r="8" spans="2:13" x14ac:dyDescent="0.3">
      <c r="B8" s="8">
        <v>6</v>
      </c>
      <c r="C8" s="8">
        <f ca="1"/>
        <v>0.85140762941610237</v>
      </c>
      <c r="F8" s="8">
        <f ca="1"/>
        <v>6</v>
      </c>
      <c r="G8" s="8">
        <f ca="1"/>
        <v>0.85140762941610237</v>
      </c>
      <c r="I8" s="8">
        <v>0.5</v>
      </c>
      <c r="J8" s="8">
        <f ca="1"/>
        <v>0.32283416468956183</v>
      </c>
      <c r="K8" s="8">
        <f ca="1"/>
        <v>0.32283416468956183</v>
      </c>
      <c r="L8" s="8">
        <f ca="1"/>
        <v>0.85093708623691611</v>
      </c>
      <c r="M8" s="22">
        <f ca="1"/>
        <v>0.32283416468956183</v>
      </c>
    </row>
    <row r="9" spans="2:13" x14ac:dyDescent="0.3">
      <c r="B9" s="8">
        <v>7</v>
      </c>
      <c r="C9" s="8">
        <f ca="1"/>
        <v>0.11763237961991213</v>
      </c>
      <c r="F9" s="8">
        <f ca="1"/>
        <v>7</v>
      </c>
      <c r="G9" s="8">
        <f ca="1"/>
        <v>0.11763237961991213</v>
      </c>
      <c r="I9" s="8">
        <v>0.60000000000000009</v>
      </c>
      <c r="J9" s="8">
        <f ca="1"/>
        <v>0.32283416468956183</v>
      </c>
      <c r="K9" s="8">
        <f ca="1"/>
        <v>0.32283416468956183</v>
      </c>
      <c r="L9" s="8">
        <f ca="1"/>
        <v>0.82390462768500827</v>
      </c>
      <c r="M9" s="22">
        <f ca="1"/>
        <v>0.32283416468956183</v>
      </c>
    </row>
    <row r="10" spans="2:13" x14ac:dyDescent="0.3">
      <c r="B10" s="8">
        <v>8</v>
      </c>
      <c r="C10" s="8">
        <f ca="1"/>
        <v>0.47263522532870339</v>
      </c>
      <c r="F10" s="8">
        <f ca="1"/>
        <v>8</v>
      </c>
      <c r="G10" s="8">
        <f ca="1"/>
        <v>0.47263522532870339</v>
      </c>
      <c r="I10" s="8">
        <v>0.70000000000000007</v>
      </c>
      <c r="J10" s="8">
        <f ca="1"/>
        <v>0.32283416468956183</v>
      </c>
      <c r="K10" s="8">
        <f ca="1"/>
        <v>0.32283416468956183</v>
      </c>
      <c r="L10" s="8">
        <f ca="1"/>
        <v>0.79773093267447071</v>
      </c>
      <c r="M10" s="22">
        <f ca="1"/>
        <v>0.32283416468956183</v>
      </c>
    </row>
    <row r="11" spans="2:13" x14ac:dyDescent="0.3">
      <c r="B11" s="8">
        <v>9</v>
      </c>
      <c r="C11" s="8">
        <f ca="1"/>
        <v>0.91905236752737207</v>
      </c>
      <c r="F11" s="8">
        <f ca="1"/>
        <v>9</v>
      </c>
      <c r="G11" s="8">
        <f ca="1"/>
        <v>0.91905236752737207</v>
      </c>
      <c r="I11" s="8">
        <v>0.8</v>
      </c>
      <c r="J11" s="8">
        <f ca="1"/>
        <v>0.32283416468956183</v>
      </c>
      <c r="K11" s="8">
        <f ca="1"/>
        <v>0.32283416468956178</v>
      </c>
      <c r="L11" s="8">
        <f ca="1"/>
        <v>0.77238872048873375</v>
      </c>
      <c r="M11" s="22">
        <f ca="1"/>
        <v>0.32283416468956183</v>
      </c>
    </row>
    <row r="12" spans="2:13" x14ac:dyDescent="0.3">
      <c r="B12" s="8">
        <v>10</v>
      </c>
      <c r="C12" s="8">
        <f ca="1"/>
        <v>0.76489947289387872</v>
      </c>
      <c r="F12" s="8">
        <f ca="1"/>
        <v>10</v>
      </c>
      <c r="G12" s="8">
        <f ca="1"/>
        <v>0.76489947289387872</v>
      </c>
      <c r="I12" s="8">
        <v>0.9</v>
      </c>
      <c r="J12" s="8">
        <f ca="1"/>
        <v>0.32283416468956183</v>
      </c>
      <c r="K12" s="8">
        <f ca="1"/>
        <v>0.32283416468956183</v>
      </c>
      <c r="L12" s="8">
        <f ca="1"/>
        <v>0.74785157625186238</v>
      </c>
      <c r="M12" s="22">
        <f ca="1"/>
        <v>0.32283416468956183</v>
      </c>
    </row>
    <row r="13" spans="2:13" x14ac:dyDescent="0.3">
      <c r="F13" s="8">
        <f ca="1"/>
        <v>10</v>
      </c>
      <c r="G13" s="8" t="e">
        <f ca="1"/>
        <v>#NUM!</v>
      </c>
      <c r="I13" s="8">
        <v>1</v>
      </c>
      <c r="J13" s="8">
        <f ca="1"/>
        <v>0.32283416468956183</v>
      </c>
      <c r="K13" s="8">
        <f ca="1"/>
        <v>0.32283416468956183</v>
      </c>
      <c r="L13" s="8">
        <f ca="1"/>
        <v>0.72409392485415824</v>
      </c>
      <c r="M13" s="22">
        <f ca="1"/>
        <v>0.32283416468956183</v>
      </c>
    </row>
    <row r="14" spans="2:13" x14ac:dyDescent="0.3">
      <c r="I14" s="8">
        <v>1.1000000000000001</v>
      </c>
      <c r="J14" s="8">
        <f ca="1"/>
        <v>0.79453585160743101</v>
      </c>
      <c r="K14" s="8">
        <f ca="1"/>
        <v>0.36571613622755</v>
      </c>
      <c r="L14" s="8">
        <f ca="1"/>
        <v>0.66878827424454668</v>
      </c>
      <c r="M14" s="22">
        <f ca="1"/>
        <v>0.32283416468956183</v>
      </c>
    </row>
    <row r="15" spans="2:13" x14ac:dyDescent="0.3">
      <c r="I15" s="8">
        <v>1.2000000000000002</v>
      </c>
      <c r="J15" s="8">
        <f ca="1"/>
        <v>0.79453585160743101</v>
      </c>
      <c r="K15" s="8">
        <f ca="1"/>
        <v>0.40145111250920679</v>
      </c>
      <c r="L15" s="8">
        <f ca="1"/>
        <v>0.61770682005195499</v>
      </c>
      <c r="M15" s="22">
        <f ca="1"/>
        <v>0.32283416468956183</v>
      </c>
    </row>
    <row r="16" spans="2:13" x14ac:dyDescent="0.3">
      <c r="I16" s="8">
        <v>1.3</v>
      </c>
      <c r="J16" s="8">
        <f ca="1"/>
        <v>0.79453585160743101</v>
      </c>
      <c r="K16" s="8">
        <f ca="1"/>
        <v>0.43168840013214704</v>
      </c>
      <c r="L16" s="8">
        <f ca="1"/>
        <v>0.570526922291264</v>
      </c>
      <c r="M16" s="22">
        <f ca="1"/>
        <v>0.32283416468956183</v>
      </c>
    </row>
    <row r="17" spans="9:13" x14ac:dyDescent="0.3">
      <c r="I17" s="8">
        <v>1.4000000000000001</v>
      </c>
      <c r="J17" s="8">
        <f ca="1"/>
        <v>0.79453585160743101</v>
      </c>
      <c r="K17" s="8">
        <f ca="1"/>
        <v>0.4576060752375245</v>
      </c>
      <c r="L17" s="8">
        <f ca="1"/>
        <v>0.52695058312653187</v>
      </c>
      <c r="M17" s="22">
        <f ca="1"/>
        <v>0.32283416468956183</v>
      </c>
    </row>
    <row r="18" spans="9:13" x14ac:dyDescent="0.3">
      <c r="I18" s="8">
        <v>1.5</v>
      </c>
      <c r="J18" s="8">
        <f ca="1"/>
        <v>0.79453585160743101</v>
      </c>
      <c r="K18" s="8">
        <f ca="1"/>
        <v>0.48006806032885158</v>
      </c>
      <c r="L18" s="8">
        <f ca="1"/>
        <v>0.48670256635646286</v>
      </c>
      <c r="M18" s="22">
        <f ca="1"/>
        <v>0.32283416468956183</v>
      </c>
    </row>
    <row r="19" spans="9:13" x14ac:dyDescent="0.3">
      <c r="I19" s="8">
        <v>1.6</v>
      </c>
      <c r="J19" s="8">
        <f ca="1"/>
        <v>0.79453585160743101</v>
      </c>
      <c r="K19" s="8">
        <f ca="1"/>
        <v>0.49972229728376283</v>
      </c>
      <c r="L19" s="8">
        <f ca="1"/>
        <v>0.44952865614187038</v>
      </c>
      <c r="M19" s="22">
        <f ca="1"/>
        <v>0.32283416468956183</v>
      </c>
    </row>
    <row r="20" spans="9:13" x14ac:dyDescent="0.3">
      <c r="I20" s="8">
        <v>1.7000000000000002</v>
      </c>
      <c r="J20" s="8">
        <f ca="1"/>
        <v>0.79453585160743101</v>
      </c>
      <c r="K20" s="8">
        <f ca="1"/>
        <v>0.51706427106750796</v>
      </c>
      <c r="L20" s="8">
        <f ca="1"/>
        <v>0.41519405658485792</v>
      </c>
      <c r="M20" s="22">
        <f ca="1"/>
        <v>0.32283416468956183</v>
      </c>
    </row>
    <row r="21" spans="9:13" x14ac:dyDescent="0.3">
      <c r="I21" s="8">
        <v>1.8</v>
      </c>
      <c r="J21" s="8">
        <f ca="1"/>
        <v>0.79453585160743101</v>
      </c>
      <c r="K21" s="8">
        <f ca="1"/>
        <v>0.53247935887528153</v>
      </c>
      <c r="L21" s="8">
        <f ca="1"/>
        <v>0.38348190399196003</v>
      </c>
      <c r="M21" s="22">
        <f ca="1"/>
        <v>0.32283416468956183</v>
      </c>
    </row>
    <row r="22" spans="9:13" x14ac:dyDescent="0.3">
      <c r="I22" s="8">
        <v>1.9000000000000001</v>
      </c>
      <c r="J22" s="8">
        <f ca="1"/>
        <v>0.79453585160743101</v>
      </c>
      <c r="K22" s="8">
        <f ca="1"/>
        <v>0.54627180586118407</v>
      </c>
      <c r="L22" s="8">
        <f ca="1"/>
        <v>0.35419189712363663</v>
      </c>
      <c r="M22" s="22">
        <f ca="1"/>
        <v>0.32283416468956183</v>
      </c>
    </row>
    <row r="23" spans="9:13" x14ac:dyDescent="0.3">
      <c r="I23" s="8">
        <v>2</v>
      </c>
      <c r="J23" s="8">
        <f ca="1"/>
        <v>0.79453585160743101</v>
      </c>
      <c r="K23" s="8">
        <f ca="1"/>
        <v>0.55868500814849642</v>
      </c>
      <c r="L23" s="8">
        <f ca="1"/>
        <v>0.32713903519294757</v>
      </c>
      <c r="M23" s="22">
        <f ca="1"/>
        <v>0.32283416468956183</v>
      </c>
    </row>
    <row r="24" spans="9:13" x14ac:dyDescent="0.3">
      <c r="I24" s="8">
        <v>2.1</v>
      </c>
      <c r="J24" s="8">
        <f ca="1"/>
        <v>0.242849658381314</v>
      </c>
      <c r="K24" s="8">
        <f ca="1"/>
        <v>0.54364522958815442</v>
      </c>
      <c r="L24" s="8">
        <f ca="1"/>
        <v>0.31929016562462759</v>
      </c>
      <c r="M24" s="22">
        <f ca="1"/>
        <v>0.32283416468956183</v>
      </c>
    </row>
    <row r="25" spans="9:13" x14ac:dyDescent="0.3">
      <c r="I25" s="8">
        <v>2.2000000000000002</v>
      </c>
      <c r="J25" s="8">
        <f ca="1"/>
        <v>0.242849658381314</v>
      </c>
      <c r="K25" s="8">
        <f ca="1"/>
        <v>0.52997270362420712</v>
      </c>
      <c r="L25" s="8">
        <f ca="1"/>
        <v>0.31162960979809373</v>
      </c>
      <c r="M25" s="22">
        <f ca="1"/>
        <v>0.32283416468956183</v>
      </c>
    </row>
    <row r="26" spans="9:13" x14ac:dyDescent="0.3">
      <c r="I26" s="8">
        <v>2.3000000000000003</v>
      </c>
      <c r="J26" s="8">
        <f ca="1"/>
        <v>0.242849658381314</v>
      </c>
      <c r="K26" s="8">
        <f ca="1"/>
        <v>0.51748909296147261</v>
      </c>
      <c r="L26" s="8">
        <f ca="1"/>
        <v>0.30415284807518017</v>
      </c>
      <c r="M26" s="22">
        <f ca="1"/>
        <v>0.32283416468956183</v>
      </c>
    </row>
    <row r="27" spans="9:13" x14ac:dyDescent="0.3">
      <c r="I27" s="8">
        <v>2.4000000000000004</v>
      </c>
      <c r="J27" s="8">
        <f ca="1"/>
        <v>0.242849658381314</v>
      </c>
      <c r="K27" s="8">
        <f ca="1"/>
        <v>0.50604578318729931</v>
      </c>
      <c r="L27" s="8">
        <f ca="1"/>
        <v>0.29685547339244911</v>
      </c>
      <c r="M27" s="22">
        <f ca="1"/>
        <v>0.32283416468956183</v>
      </c>
    </row>
    <row r="28" spans="9:13" x14ac:dyDescent="0.3">
      <c r="I28" s="8">
        <v>2.5</v>
      </c>
      <c r="J28" s="8">
        <f ca="1"/>
        <v>0.242849658381314</v>
      </c>
      <c r="K28" s="8">
        <f ca="1"/>
        <v>0.49551793819505996</v>
      </c>
      <c r="L28" s="8">
        <f ca="1"/>
        <v>0.28973318065768738</v>
      </c>
      <c r="M28" s="22">
        <f ca="1"/>
        <v>0.32283416468956183</v>
      </c>
    </row>
    <row r="29" spans="9:13" x14ac:dyDescent="0.3">
      <c r="I29" s="8">
        <v>2.6</v>
      </c>
      <c r="J29" s="8">
        <f ca="1"/>
        <v>0.242849658381314</v>
      </c>
      <c r="K29" s="8">
        <f ca="1"/>
        <v>0.48579992743299277</v>
      </c>
      <c r="L29" s="8">
        <f ca="1"/>
        <v>0.28278176922111914</v>
      </c>
      <c r="M29" s="22">
        <f ca="1"/>
        <v>0.32283416468956183</v>
      </c>
    </row>
    <row r="30" spans="9:13" x14ac:dyDescent="0.3">
      <c r="I30" s="8">
        <v>2.7</v>
      </c>
      <c r="J30" s="8">
        <f ca="1"/>
        <v>0.242849658381314</v>
      </c>
      <c r="K30" s="8">
        <f ca="1"/>
        <v>0.47680176931996765</v>
      </c>
      <c r="L30" s="8">
        <f ca="1"/>
        <v>0.27599713921607372</v>
      </c>
      <c r="M30" s="22">
        <f ca="1"/>
        <v>0.32283416468956183</v>
      </c>
    </row>
    <row r="31" spans="9:13" x14ac:dyDescent="0.3">
      <c r="I31" s="8">
        <v>2.8000000000000003</v>
      </c>
      <c r="J31" s="8">
        <f ca="1"/>
        <v>0.242849658381314</v>
      </c>
      <c r="K31" s="8">
        <f ca="1"/>
        <v>0.46844633678644432</v>
      </c>
      <c r="L31" s="8">
        <f ca="1"/>
        <v>0.2693752891407778</v>
      </c>
      <c r="M31" s="22">
        <f ca="1"/>
        <v>0.32283416468956183</v>
      </c>
    </row>
    <row r="32" spans="9:13" x14ac:dyDescent="0.3">
      <c r="I32" s="8">
        <v>2.9000000000000004</v>
      </c>
      <c r="J32" s="8">
        <f ca="1"/>
        <v>0.242849658381314</v>
      </c>
      <c r="K32" s="8">
        <f ca="1"/>
        <v>0.46066714097937084</v>
      </c>
      <c r="L32" s="8">
        <f ca="1"/>
        <v>0.26291231349813321</v>
      </c>
      <c r="M32" s="22">
        <f ca="1"/>
        <v>0.32283416468956183</v>
      </c>
    </row>
    <row r="33" spans="9:13" x14ac:dyDescent="0.3">
      <c r="I33" s="8">
        <v>3</v>
      </c>
      <c r="J33" s="8">
        <f ca="1"/>
        <v>0.242849658381314</v>
      </c>
      <c r="K33" s="8">
        <f ca="1"/>
        <v>0.45340655822610226</v>
      </c>
      <c r="L33" s="8">
        <f ca="1"/>
        <v>0.25660440049208433</v>
      </c>
      <c r="M33" s="22">
        <f ca="1"/>
        <v>0.32283416468956183</v>
      </c>
    </row>
    <row r="34" spans="9:13" x14ac:dyDescent="0.3">
      <c r="I34" s="8">
        <v>3.1</v>
      </c>
      <c r="J34" s="8">
        <f ca="1"/>
        <v>0.74945515068588553</v>
      </c>
      <c r="K34" s="8">
        <f ca="1"/>
        <v>0.46295651282157918</v>
      </c>
      <c r="L34" s="8">
        <f ca="1"/>
        <v>0.23807603320492313</v>
      </c>
      <c r="M34" s="22">
        <f ca="1"/>
        <v>0.32283416468956183</v>
      </c>
    </row>
    <row r="35" spans="9:13" x14ac:dyDescent="0.3">
      <c r="I35" s="8">
        <v>3.2</v>
      </c>
      <c r="J35" s="8">
        <f ca="1"/>
        <v>0.74945515068588553</v>
      </c>
      <c r="K35" s="8">
        <f ca="1"/>
        <v>0.47190959525483872</v>
      </c>
      <c r="L35" s="8">
        <f ca="1"/>
        <v>0.22088552385294191</v>
      </c>
      <c r="M35" s="22">
        <f ca="1"/>
        <v>0.32283416468956183</v>
      </c>
    </row>
    <row r="36" spans="9:13" x14ac:dyDescent="0.3">
      <c r="I36" s="8">
        <v>3.3000000000000003</v>
      </c>
      <c r="J36" s="8">
        <f ca="1"/>
        <v>0.74945515068588553</v>
      </c>
      <c r="K36" s="8">
        <f ca="1"/>
        <v>0.48032006663153715</v>
      </c>
      <c r="L36" s="8">
        <f ca="1"/>
        <v>0.20493627199603032</v>
      </c>
      <c r="M36" s="22">
        <f ca="1"/>
        <v>0.32283416468956183</v>
      </c>
    </row>
    <row r="37" spans="9:13" x14ac:dyDescent="0.3">
      <c r="I37" s="8">
        <v>3.4000000000000004</v>
      </c>
      <c r="J37" s="8">
        <f ca="1"/>
        <v>0.74945515068588553</v>
      </c>
      <c r="K37" s="8">
        <f ca="1"/>
        <v>0.48823580439784148</v>
      </c>
      <c r="L37" s="8">
        <f ca="1"/>
        <v>0.19013865160652069</v>
      </c>
      <c r="M37" s="22">
        <f ca="1"/>
        <v>0.32283416468956183</v>
      </c>
    </row>
    <row r="38" spans="9:13" x14ac:dyDescent="0.3">
      <c r="I38" s="8">
        <v>3.5</v>
      </c>
      <c r="J38" s="8">
        <f ca="1"/>
        <v>0.74945515068588553</v>
      </c>
      <c r="K38" s="8">
        <f ca="1"/>
        <v>0.49569921429178559</v>
      </c>
      <c r="L38" s="8">
        <f ca="1"/>
        <v>0.17640950534647309</v>
      </c>
      <c r="M38" s="22">
        <f ca="1"/>
        <v>0.32283416468956183</v>
      </c>
    </row>
    <row r="39" spans="9:13" x14ac:dyDescent="0.3">
      <c r="I39" s="8">
        <v>3.6</v>
      </c>
      <c r="J39" s="8">
        <f ca="1"/>
        <v>0.74945515068588553</v>
      </c>
      <c r="K39" s="8">
        <f ca="1"/>
        <v>0.50274799030273287</v>
      </c>
      <c r="L39" s="8">
        <f ca="1"/>
        <v>0.16367168660800263</v>
      </c>
      <c r="M39" s="22">
        <f ca="1"/>
        <v>0.32283416468956183</v>
      </c>
    </row>
    <row r="40" spans="9:13" x14ac:dyDescent="0.3">
      <c r="I40" s="8">
        <v>3.7</v>
      </c>
      <c r="J40" s="8">
        <f ca="1"/>
        <v>0.74945515068588553</v>
      </c>
      <c r="K40" s="8">
        <f ca="1"/>
        <v>0.50941575139416939</v>
      </c>
      <c r="L40" s="8">
        <f ca="1"/>
        <v>0.15185361409531142</v>
      </c>
      <c r="M40" s="22">
        <f ca="1"/>
        <v>0.32283416468956183</v>
      </c>
    </row>
    <row r="41" spans="9:13" x14ac:dyDescent="0.3">
      <c r="I41" s="8">
        <v>3.8000000000000003</v>
      </c>
      <c r="J41" s="8">
        <f ca="1"/>
        <v>0.74945515068588553</v>
      </c>
      <c r="K41" s="8">
        <f ca="1"/>
        <v>0.51573257769131986</v>
      </c>
      <c r="L41" s="8">
        <f ca="1"/>
        <v>0.14088887871153832</v>
      </c>
      <c r="M41" s="22">
        <f ca="1"/>
        <v>0.32283416468956183</v>
      </c>
    </row>
    <row r="42" spans="9:13" x14ac:dyDescent="0.3">
      <c r="I42" s="8">
        <v>3.9000000000000004</v>
      </c>
      <c r="J42" s="8">
        <f ca="1"/>
        <v>0.74945515068588553</v>
      </c>
      <c r="K42" s="8">
        <f ca="1"/>
        <v>0.52172546417835997</v>
      </c>
      <c r="L42" s="8">
        <f ca="1"/>
        <v>0.13071586159670365</v>
      </c>
      <c r="M42" s="22">
        <f ca="1"/>
        <v>0.32283416468956183</v>
      </c>
    </row>
    <row r="43" spans="9:13" x14ac:dyDescent="0.3">
      <c r="I43" s="8">
        <v>4</v>
      </c>
      <c r="J43" s="8">
        <f ca="1"/>
        <v>0.74945515068588553</v>
      </c>
      <c r="K43" s="8">
        <f ca="1"/>
        <v>0.52741870634104804</v>
      </c>
      <c r="L43" s="8">
        <f ca="1"/>
        <v>0.12127739717239043</v>
      </c>
      <c r="M43" s="22">
        <f ca="1"/>
        <v>0.32283416468956183</v>
      </c>
    </row>
    <row r="44" spans="9:13" x14ac:dyDescent="0.3">
      <c r="I44" s="8">
        <v>4.1000000000000005</v>
      </c>
      <c r="J44" s="8">
        <f ca="1"/>
        <v>1.2016145554805346E-2</v>
      </c>
      <c r="K44" s="8">
        <f ca="1"/>
        <v>0.51484791217552994</v>
      </c>
      <c r="L44" s="8">
        <f ca="1"/>
        <v>0.12113175601537184</v>
      </c>
      <c r="M44" s="22">
        <f ca="1"/>
        <v>0.32283416468956183</v>
      </c>
    </row>
    <row r="45" spans="9:13" x14ac:dyDescent="0.3">
      <c r="I45" s="8">
        <v>4.2</v>
      </c>
      <c r="J45" s="8">
        <f ca="1"/>
        <v>1.2016145554805346E-2</v>
      </c>
      <c r="K45" s="8">
        <f ca="1"/>
        <v>0.50287572725598884</v>
      </c>
      <c r="L45" s="8">
        <f ca="1"/>
        <v>0.12098628975786654</v>
      </c>
      <c r="M45" s="22">
        <f ca="1"/>
        <v>0.32283416468956183</v>
      </c>
    </row>
    <row r="46" spans="9:13" x14ac:dyDescent="0.3">
      <c r="I46" s="8">
        <v>4.3</v>
      </c>
      <c r="J46" s="8">
        <f ca="1"/>
        <v>1.2016145554805346E-2</v>
      </c>
      <c r="K46" s="8">
        <f ca="1"/>
        <v>0.49146038814665904</v>
      </c>
      <c r="L46" s="8">
        <f ca="1"/>
        <v>0.12084099818983977</v>
      </c>
      <c r="M46" s="22">
        <f ca="1"/>
        <v>0.32283416468956183</v>
      </c>
    </row>
    <row r="47" spans="9:13" x14ac:dyDescent="0.3">
      <c r="I47" s="8">
        <v>4.4000000000000004</v>
      </c>
      <c r="J47" s="8">
        <f ca="1"/>
        <v>1.2016145554805346E-2</v>
      </c>
      <c r="K47" s="8">
        <f ca="1"/>
        <v>0.48056392808775317</v>
      </c>
      <c r="L47" s="8">
        <f ca="1"/>
        <v>0.12069588110150918</v>
      </c>
      <c r="M47" s="22">
        <f ca="1"/>
        <v>0.32283416468956183</v>
      </c>
    </row>
    <row r="48" spans="9:13" x14ac:dyDescent="0.3">
      <c r="I48" s="8">
        <v>4.5</v>
      </c>
      <c r="J48" s="8">
        <f ca="1"/>
        <v>1.2016145554805346E-2</v>
      </c>
      <c r="K48" s="8">
        <f ca="1"/>
        <v>0.47015175514257668</v>
      </c>
      <c r="L48" s="8">
        <f ca="1"/>
        <v>0.12055093828334357</v>
      </c>
      <c r="M48" s="22">
        <f ca="1"/>
        <v>0.32283416468956183</v>
      </c>
    </row>
    <row r="49" spans="9:13" x14ac:dyDescent="0.3">
      <c r="I49" s="8">
        <v>4.6000000000000005</v>
      </c>
      <c r="J49" s="8">
        <f ca="1"/>
        <v>1.2016145554805346E-2</v>
      </c>
      <c r="K49" s="8">
        <f ca="1"/>
        <v>0.46019228536892937</v>
      </c>
      <c r="L49" s="8">
        <f ca="1"/>
        <v>0.1204061695260641</v>
      </c>
      <c r="M49" s="22">
        <f ca="1"/>
        <v>0.32283416468956183</v>
      </c>
    </row>
    <row r="50" spans="9:13" x14ac:dyDescent="0.3">
      <c r="I50" s="8">
        <v>4.7</v>
      </c>
      <c r="J50" s="8">
        <f ca="1"/>
        <v>1.2016145554805346E-2</v>
      </c>
      <c r="K50" s="8">
        <f ca="1"/>
        <v>0.45065662281969276</v>
      </c>
      <c r="L50" s="8">
        <f ca="1"/>
        <v>0.12026157462064305</v>
      </c>
      <c r="M50" s="22">
        <f ca="1"/>
        <v>0.32283416468956183</v>
      </c>
    </row>
    <row r="51" spans="9:13" x14ac:dyDescent="0.3">
      <c r="I51" s="8">
        <v>4.8000000000000007</v>
      </c>
      <c r="J51" s="8">
        <f ca="1"/>
        <v>1.2016145554805346E-2</v>
      </c>
      <c r="K51" s="8">
        <f ca="1"/>
        <v>0.44151827954334083</v>
      </c>
      <c r="L51" s="8">
        <f ca="1"/>
        <v>0.12011715335830372</v>
      </c>
      <c r="M51" s="22">
        <f ca="1"/>
        <v>0.32283416468956183</v>
      </c>
    </row>
    <row r="52" spans="9:13" x14ac:dyDescent="0.3">
      <c r="I52" s="8">
        <v>4.9000000000000004</v>
      </c>
      <c r="J52" s="8">
        <f ca="1"/>
        <v>1.2016145554805346E-2</v>
      </c>
      <c r="K52" s="8">
        <f ca="1"/>
        <v>0.4327529298701055</v>
      </c>
      <c r="L52" s="8">
        <f ca="1"/>
        <v>0.11997290553051994</v>
      </c>
      <c r="M52" s="22">
        <f ca="1"/>
        <v>0.32283416468956183</v>
      </c>
    </row>
    <row r="53" spans="9:13" x14ac:dyDescent="0.3">
      <c r="I53" s="8">
        <v>5</v>
      </c>
      <c r="J53" s="8">
        <f ca="1"/>
        <v>1.2016145554805346E-2</v>
      </c>
      <c r="K53" s="8">
        <f ca="1"/>
        <v>0.42433819418379953</v>
      </c>
      <c r="L53" s="8">
        <f ca="1"/>
        <v>0.11982883092901617</v>
      </c>
      <c r="M53" s="22">
        <f ca="1"/>
        <v>0.32283416468956183</v>
      </c>
    </row>
    <row r="54" spans="9:13" x14ac:dyDescent="0.3">
      <c r="I54" s="8">
        <v>5.1000000000000005</v>
      </c>
      <c r="J54" s="8">
        <f ca="1"/>
        <v>0.85140762941610237</v>
      </c>
      <c r="K54" s="8">
        <f ca="1"/>
        <v>0.43271210467855065</v>
      </c>
      <c r="L54" s="8">
        <f ca="1"/>
        <v>0.11004876031468627</v>
      </c>
      <c r="M54" s="22">
        <f ca="1"/>
        <v>0.32283416468956183</v>
      </c>
    </row>
    <row r="55" spans="9:13" x14ac:dyDescent="0.3">
      <c r="I55" s="8">
        <v>5.2</v>
      </c>
      <c r="J55" s="8">
        <f ca="1"/>
        <v>0.85140762941610237</v>
      </c>
      <c r="K55" s="8">
        <f ca="1"/>
        <v>0.44076394169273431</v>
      </c>
      <c r="L55" s="8">
        <f ca="1"/>
        <v>0.10106691052882588</v>
      </c>
      <c r="M55" s="22">
        <f ca="1"/>
        <v>0.32283416468956183</v>
      </c>
    </row>
    <row r="56" spans="9:13" x14ac:dyDescent="0.3">
      <c r="I56" s="8">
        <v>5.3000000000000007</v>
      </c>
      <c r="J56" s="8">
        <f ca="1"/>
        <v>0.85140762941610237</v>
      </c>
      <c r="K56" s="8">
        <f ca="1"/>
        <v>0.44851193580072241</v>
      </c>
      <c r="L56" s="8">
        <f ca="1"/>
        <v>9.2818132169083495E-2</v>
      </c>
      <c r="M56" s="22">
        <f ca="1"/>
        <v>0.32283416468956183</v>
      </c>
    </row>
    <row r="57" spans="9:13" x14ac:dyDescent="0.3">
      <c r="I57" s="8">
        <v>5.4</v>
      </c>
      <c r="J57" s="8">
        <f ca="1"/>
        <v>0.85140762941610237</v>
      </c>
      <c r="K57" s="8">
        <f ca="1"/>
        <v>0.45597296716397018</v>
      </c>
      <c r="L57" s="8">
        <f ca="1"/>
        <v>8.5242593988821835E-2</v>
      </c>
      <c r="M57" s="22">
        <f ca="1"/>
        <v>0.32283416468956183</v>
      </c>
    </row>
    <row r="58" spans="9:13" x14ac:dyDescent="0.3">
      <c r="I58" s="8">
        <v>5.5</v>
      </c>
      <c r="J58" s="8">
        <f ca="1"/>
        <v>0.85140762941610237</v>
      </c>
      <c r="K58" s="8">
        <f ca="1"/>
        <v>0.46316268829582707</v>
      </c>
      <c r="L58" s="8">
        <f ca="1"/>
        <v>7.8285351064404235E-2</v>
      </c>
      <c r="M58" s="22">
        <f ca="1"/>
        <v>0.32283416468956183</v>
      </c>
    </row>
    <row r="59" spans="9:13" x14ac:dyDescent="0.3">
      <c r="I59" s="8">
        <v>5.6000000000000005</v>
      </c>
      <c r="J59" s="8">
        <f ca="1"/>
        <v>0.85140762941610237</v>
      </c>
      <c r="K59" s="8">
        <f ca="1"/>
        <v>0.47009563367297491</v>
      </c>
      <c r="L59" s="8">
        <f ca="1"/>
        <v>7.1895936002493735E-2</v>
      </c>
      <c r="M59" s="22">
        <f ca="1"/>
        <v>0.32283416468956183</v>
      </c>
    </row>
    <row r="60" spans="9:13" x14ac:dyDescent="0.3">
      <c r="I60" s="8">
        <v>5.7</v>
      </c>
      <c r="J60" s="8">
        <f ca="1"/>
        <v>0.85140762941610237</v>
      </c>
      <c r="K60" s="8">
        <f ca="1"/>
        <v>0.47678531780881922</v>
      </c>
      <c r="L60" s="8">
        <f ca="1"/>
        <v>6.6028006104521808E-2</v>
      </c>
      <c r="M60" s="22">
        <f ca="1"/>
        <v>0.32283416468956183</v>
      </c>
    </row>
    <row r="61" spans="9:13" x14ac:dyDescent="0.3">
      <c r="I61" s="8">
        <v>5.8000000000000007</v>
      </c>
      <c r="J61" s="8">
        <f ca="1"/>
        <v>0.85140762941610237</v>
      </c>
      <c r="K61" s="8">
        <f ca="1"/>
        <v>0.48324432318135863</v>
      </c>
      <c r="L61" s="8">
        <f ca="1"/>
        <v>6.0638996892104349E-2</v>
      </c>
      <c r="M61" s="22">
        <f ca="1"/>
        <v>0.32283416468956183</v>
      </c>
    </row>
    <row r="62" spans="9:13" x14ac:dyDescent="0.3">
      <c r="I62" s="8">
        <v>5.9</v>
      </c>
      <c r="J62" s="8">
        <f ca="1"/>
        <v>0.85140762941610237</v>
      </c>
      <c r="K62" s="8">
        <f ca="1"/>
        <v>0.4894843792192356</v>
      </c>
      <c r="L62" s="8">
        <f ca="1"/>
        <v>5.5689823653834583E-2</v>
      </c>
      <c r="M62" s="22">
        <f ca="1"/>
        <v>0.32283416468956183</v>
      </c>
    </row>
    <row r="63" spans="9:13" x14ac:dyDescent="0.3">
      <c r="I63" s="8">
        <v>6</v>
      </c>
      <c r="J63" s="8">
        <f ca="1"/>
        <v>0.85140762941610237</v>
      </c>
      <c r="K63" s="8">
        <f ca="1"/>
        <v>0.49551643338918333</v>
      </c>
      <c r="L63" s="8">
        <f ca="1"/>
        <v>5.1144586865274379E-2</v>
      </c>
      <c r="M63" s="22">
        <f ca="1"/>
        <v>0.32283416468956183</v>
      </c>
    </row>
    <row r="64" spans="9:13" x14ac:dyDescent="0.3">
      <c r="I64" s="8">
        <v>6.1000000000000005</v>
      </c>
      <c r="J64" s="8">
        <f ca="1"/>
        <v>0.11763237961991213</v>
      </c>
      <c r="K64" s="8">
        <f ca="1"/>
        <v>0.48932161283558867</v>
      </c>
      <c r="L64" s="8">
        <f ca="1"/>
        <v>5.0546485522135261E-2</v>
      </c>
      <c r="M64" s="22">
        <f ca="1"/>
        <v>0.32283416468956183</v>
      </c>
    </row>
    <row r="65" spans="9:13" x14ac:dyDescent="0.3">
      <c r="I65" s="8">
        <v>6.2</v>
      </c>
      <c r="J65" s="8">
        <f ca="1"/>
        <v>0.11763237961991213</v>
      </c>
      <c r="K65" s="8">
        <f ca="1"/>
        <v>0.48332662520307779</v>
      </c>
      <c r="L65" s="8">
        <f ca="1"/>
        <v>4.9955378560831577E-2</v>
      </c>
      <c r="M65" s="22">
        <f ca="1"/>
        <v>0.32283416468956183</v>
      </c>
    </row>
    <row r="66" spans="9:13" x14ac:dyDescent="0.3">
      <c r="I66" s="8">
        <v>6.3000000000000007</v>
      </c>
      <c r="J66" s="8">
        <f ca="1"/>
        <v>0.11763237961991213</v>
      </c>
      <c r="K66" s="8">
        <f ca="1"/>
        <v>0.47752195463826563</v>
      </c>
      <c r="L66" s="8">
        <f ca="1"/>
        <v>4.9371184186253442E-2</v>
      </c>
      <c r="M66" s="22">
        <f ca="1"/>
        <v>0.32283416468956183</v>
      </c>
    </row>
    <row r="67" spans="9:13" x14ac:dyDescent="0.3">
      <c r="I67" s="8">
        <v>6.4</v>
      </c>
      <c r="J67" s="8">
        <f ca="1"/>
        <v>0.11763237961991213</v>
      </c>
      <c r="K67" s="8">
        <f ca="1"/>
        <v>0.47189868002860386</v>
      </c>
      <c r="L67" s="8">
        <f ca="1"/>
        <v>4.8793821559793851E-2</v>
      </c>
      <c r="M67" s="22">
        <f ca="1"/>
        <v>0.32283416468956183</v>
      </c>
    </row>
    <row r="68" spans="9:13" x14ac:dyDescent="0.3">
      <c r="I68" s="8">
        <v>6.5</v>
      </c>
      <c r="J68" s="8">
        <f ca="1"/>
        <v>0.11763237961991213</v>
      </c>
      <c r="K68" s="8">
        <f ca="1"/>
        <v>0.46644842925308555</v>
      </c>
      <c r="L68" s="8">
        <f ca="1"/>
        <v>4.8223210788156445E-2</v>
      </c>
      <c r="M68" s="22">
        <f ca="1"/>
        <v>0.32283416468956183</v>
      </c>
    </row>
    <row r="69" spans="9:13" x14ac:dyDescent="0.3">
      <c r="I69" s="8">
        <v>6.6000000000000005</v>
      </c>
      <c r="J69" s="8">
        <f ca="1"/>
        <v>0.11763237961991213</v>
      </c>
      <c r="K69" s="8">
        <f ca="1"/>
        <v>0.46116333759197681</v>
      </c>
      <c r="L69" s="8">
        <f ca="1"/>
        <v>4.7659272912297226E-2</v>
      </c>
      <c r="M69" s="22">
        <f ca="1"/>
        <v>0.32283416468956183</v>
      </c>
    </row>
    <row r="70" spans="9:13" x14ac:dyDescent="0.3">
      <c r="I70" s="8">
        <v>6.7</v>
      </c>
      <c r="J70" s="8">
        <f ca="1"/>
        <v>0.11763237961991213</v>
      </c>
      <c r="K70" s="8">
        <f ca="1"/>
        <v>0.45603600986105047</v>
      </c>
      <c r="L70" s="8">
        <f ca="1"/>
        <v>4.7101929896501402E-2</v>
      </c>
      <c r="M70" s="22">
        <f ca="1"/>
        <v>0.32283416468956183</v>
      </c>
    </row>
    <row r="71" spans="9:13" x14ac:dyDescent="0.3">
      <c r="I71" s="8">
        <v>6.8000000000000007</v>
      </c>
      <c r="J71" s="8">
        <f ca="1"/>
        <v>0.11763237961991213</v>
      </c>
      <c r="K71" s="8">
        <f ca="1"/>
        <v>0.45105948588691613</v>
      </c>
      <c r="L71" s="8">
        <f ca="1"/>
        <v>4.6551104617577152E-2</v>
      </c>
      <c r="M71" s="22">
        <f ca="1"/>
        <v>0.32283416468956183</v>
      </c>
    </row>
    <row r="72" spans="9:13" x14ac:dyDescent="0.3">
      <c r="I72" s="8">
        <v>6.9</v>
      </c>
      <c r="J72" s="8">
        <f ca="1"/>
        <v>0.11763237961991213</v>
      </c>
      <c r="K72" s="8">
        <f ca="1"/>
        <v>0.4462272089844958</v>
      </c>
      <c r="L72" s="8">
        <f ca="1"/>
        <v>4.6006723263969547E-2</v>
      </c>
      <c r="M72" s="22">
        <f ca="1"/>
        <v>0.32283416468956183</v>
      </c>
    </row>
    <row r="73" spans="9:13" x14ac:dyDescent="0.3">
      <c r="I73" s="8">
        <v>7</v>
      </c>
      <c r="J73" s="8">
        <f ca="1"/>
        <v>0.11763237961991213</v>
      </c>
      <c r="K73" s="8">
        <f ca="1"/>
        <v>0.44153299713643029</v>
      </c>
      <c r="L73" s="8">
        <f ca="1"/>
        <v>4.5468705877041458E-2</v>
      </c>
      <c r="M73" s="22">
        <f ca="1"/>
        <v>0.32283416468956183</v>
      </c>
    </row>
    <row r="74" spans="9:13" x14ac:dyDescent="0.3">
      <c r="I74" s="8">
        <v>7.1000000000000005</v>
      </c>
      <c r="J74" s="8">
        <f ca="1"/>
        <v>0.47263522532870339</v>
      </c>
      <c r="K74" s="8">
        <f ca="1"/>
        <v>0.44197105668843417</v>
      </c>
      <c r="L74" s="8">
        <f ca="1"/>
        <v>4.3369689006246964E-2</v>
      </c>
      <c r="M74" s="22">
        <f ca="1"/>
        <v>0.32283416468956183</v>
      </c>
    </row>
    <row r="75" spans="9:13" x14ac:dyDescent="0.3">
      <c r="I75" s="8">
        <v>7.2</v>
      </c>
      <c r="J75" s="8">
        <f ca="1"/>
        <v>0.47263522532870339</v>
      </c>
      <c r="K75" s="8">
        <f ca="1"/>
        <v>0.44239694791954898</v>
      </c>
      <c r="L75" s="8">
        <f ca="1"/>
        <v>4.136757118455376E-2</v>
      </c>
      <c r="M75" s="22">
        <f ca="1"/>
        <v>0.32283416468956183</v>
      </c>
    </row>
    <row r="76" spans="9:13" x14ac:dyDescent="0.3">
      <c r="I76" s="8">
        <v>7.3000000000000007</v>
      </c>
      <c r="J76" s="8">
        <f ca="1"/>
        <v>0.47263522532870339</v>
      </c>
      <c r="K76" s="8">
        <f ca="1"/>
        <v>0.44281117089775662</v>
      </c>
      <c r="L76" s="8">
        <f ca="1"/>
        <v>3.9457879181157049E-2</v>
      </c>
      <c r="M76" s="22">
        <f ca="1"/>
        <v>0.32283416468956183</v>
      </c>
    </row>
    <row r="77" spans="9:13" x14ac:dyDescent="0.3">
      <c r="I77" s="8">
        <v>7.4</v>
      </c>
      <c r="J77" s="8">
        <f ca="1"/>
        <v>0.47263522532870339</v>
      </c>
      <c r="K77" s="8">
        <f ca="1"/>
        <v>0.44321419866033696</v>
      </c>
      <c r="L77" s="8">
        <f ca="1"/>
        <v>3.7636346272403504E-2</v>
      </c>
      <c r="M77" s="22">
        <f ca="1"/>
        <v>0.32283416468956183</v>
      </c>
    </row>
    <row r="78" spans="9:13" x14ac:dyDescent="0.3">
      <c r="I78" s="8">
        <v>7.5</v>
      </c>
      <c r="J78" s="8">
        <f ca="1"/>
        <v>0.47263522532870339</v>
      </c>
      <c r="K78" s="8">
        <f ca="1"/>
        <v>0.44360647901591516</v>
      </c>
      <c r="L78" s="8">
        <f ca="1"/>
        <v>3.5898902710000499E-2</v>
      </c>
      <c r="M78" s="22">
        <f ca="1"/>
        <v>0.32283416468956183</v>
      </c>
    </row>
    <row r="79" spans="9:13" x14ac:dyDescent="0.3">
      <c r="I79" s="8">
        <v>7.6000000000000005</v>
      </c>
      <c r="J79" s="8">
        <f ca="1"/>
        <v>0.47263522532870339</v>
      </c>
      <c r="K79" s="8">
        <f ca="1"/>
        <v>0.44398843620424133</v>
      </c>
      <c r="L79" s="8">
        <f ca="1"/>
        <v>3.424166421112658E-2</v>
      </c>
      <c r="M79" s="22">
        <f ca="1"/>
        <v>0.32283416468956183</v>
      </c>
    </row>
    <row r="80" spans="9:13" x14ac:dyDescent="0.3">
      <c r="I80" s="8">
        <v>7.7</v>
      </c>
      <c r="J80" s="8">
        <f ca="1"/>
        <v>0.47263522532870339</v>
      </c>
      <c r="K80" s="8">
        <f ca="1"/>
        <v>0.44436047242663695</v>
      </c>
      <c r="L80" s="8">
        <f ca="1"/>
        <v>3.266093214074714E-2</v>
      </c>
      <c r="M80" s="22">
        <f ca="1"/>
        <v>0.32283416468956183</v>
      </c>
    </row>
    <row r="81" spans="9:13" x14ac:dyDescent="0.3">
      <c r="I81" s="8">
        <v>7.8000000000000007</v>
      </c>
      <c r="J81" s="8">
        <f ca="1"/>
        <v>0.47263522532870339</v>
      </c>
      <c r="K81" s="8">
        <f ca="1"/>
        <v>0.44472296925871468</v>
      </c>
      <c r="L81" s="8">
        <f ca="1"/>
        <v>3.1153172930619505E-2</v>
      </c>
      <c r="M81" s="22">
        <f ca="1"/>
        <v>0.32283416468956183</v>
      </c>
    </row>
    <row r="82" spans="9:13" x14ac:dyDescent="0.3">
      <c r="I82" s="8">
        <v>7.9</v>
      </c>
      <c r="J82" s="8">
        <f ca="1"/>
        <v>0.47263522532870339</v>
      </c>
      <c r="K82" s="8">
        <f ca="1"/>
        <v>0.4450762889558032</v>
      </c>
      <c r="L82" s="8">
        <f ca="1"/>
        <v>2.971501784836449E-2</v>
      </c>
      <c r="M82" s="22">
        <f ca="1"/>
        <v>0.32283416468956183</v>
      </c>
    </row>
    <row r="83" spans="9:13" x14ac:dyDescent="0.3">
      <c r="I83" s="8">
        <v>8</v>
      </c>
      <c r="J83" s="8">
        <f ca="1"/>
        <v>0.47263522532870339</v>
      </c>
      <c r="K83" s="8">
        <f ca="1"/>
        <v>0.44542077566046445</v>
      </c>
      <c r="L83" s="8">
        <f ca="1"/>
        <v>2.834325367167604E-2</v>
      </c>
      <c r="M83" s="22">
        <f ca="1"/>
        <v>0.32283416468956183</v>
      </c>
    </row>
    <row r="84" spans="9:13" x14ac:dyDescent="0.3">
      <c r="I84" s="8">
        <v>8.1</v>
      </c>
      <c r="J84" s="8">
        <f ca="1"/>
        <v>0.91905236752737207</v>
      </c>
      <c r="K84" s="8">
        <f ca="1"/>
        <v>0.45126807926375961</v>
      </c>
      <c r="L84" s="8">
        <f ca="1"/>
        <v>2.5854476680211631E-2</v>
      </c>
      <c r="M84" s="22">
        <f ca="1"/>
        <v>0.32283416468956183</v>
      </c>
    </row>
    <row r="85" spans="9:13" x14ac:dyDescent="0.3">
      <c r="I85" s="8">
        <v>8.2000000000000011</v>
      </c>
      <c r="J85" s="8">
        <f ca="1"/>
        <v>0.91905236752737207</v>
      </c>
      <c r="K85" s="8">
        <f ca="1"/>
        <v>0.45697276570599887</v>
      </c>
      <c r="L85" s="8">
        <f ca="1"/>
        <v>2.3584238350689221E-2</v>
      </c>
      <c r="M85" s="22">
        <f ca="1"/>
        <v>0.32283416468956183</v>
      </c>
    </row>
    <row r="86" spans="9:13" x14ac:dyDescent="0.3">
      <c r="I86" s="8">
        <v>8.3000000000000007</v>
      </c>
      <c r="J86" s="8">
        <f ca="1"/>
        <v>0.91905236752737207</v>
      </c>
      <c r="K86" s="8">
        <f ca="1"/>
        <v>0.46253998982432859</v>
      </c>
      <c r="L86" s="8">
        <f ca="1"/>
        <v>2.151334425937439E-2</v>
      </c>
      <c r="M86" s="22">
        <f ca="1"/>
        <v>0.32283416468956183</v>
      </c>
    </row>
    <row r="87" spans="9:13" x14ac:dyDescent="0.3">
      <c r="I87" s="8">
        <v>8.4</v>
      </c>
      <c r="J87" s="8">
        <f ca="1"/>
        <v>0.91905236752737207</v>
      </c>
      <c r="K87" s="8">
        <f ca="1"/>
        <v>0.4679746609874601</v>
      </c>
      <c r="L87" s="8">
        <f ca="1"/>
        <v>1.9624292390652033E-2</v>
      </c>
      <c r="M87" s="22">
        <f ca="1"/>
        <v>0.32283416468956183</v>
      </c>
    </row>
    <row r="88" spans="9:13" x14ac:dyDescent="0.3">
      <c r="I88" s="8">
        <v>8.5</v>
      </c>
      <c r="J88" s="8">
        <f ca="1"/>
        <v>0.91905236752737207</v>
      </c>
      <c r="K88" s="8">
        <f ca="1"/>
        <v>0.47328145753498846</v>
      </c>
      <c r="L88" s="8">
        <f ca="1"/>
        <v>1.7901112556672826E-2</v>
      </c>
      <c r="M88" s="22">
        <f ca="1"/>
        <v>0.32283416468956183</v>
      </c>
    </row>
    <row r="89" spans="9:13" x14ac:dyDescent="0.3">
      <c r="I89" s="8">
        <v>8.6</v>
      </c>
      <c r="J89" s="8">
        <f ca="1"/>
        <v>0.91905236752737207</v>
      </c>
      <c r="K89" s="8">
        <f ca="1"/>
        <v>0.4784648402093184</v>
      </c>
      <c r="L89" s="8">
        <f ca="1"/>
        <v>1.6329243925291833E-2</v>
      </c>
      <c r="M89" s="22">
        <f ca="1"/>
        <v>0.32283416468956183</v>
      </c>
    </row>
    <row r="90" spans="9:13" x14ac:dyDescent="0.3">
      <c r="I90" s="8">
        <v>8.7000000000000011</v>
      </c>
      <c r="J90" s="8">
        <f ca="1"/>
        <v>0.91905236752737207</v>
      </c>
      <c r="K90" s="8">
        <f ca="1"/>
        <v>0.48352906466125017</v>
      </c>
      <c r="L90" s="8">
        <f ca="1"/>
        <v>1.4895398341965682E-2</v>
      </c>
      <c r="M90" s="22">
        <f ca="1"/>
        <v>0.32283416468956183</v>
      </c>
    </row>
    <row r="91" spans="9:13" x14ac:dyDescent="0.3">
      <c r="I91" s="8">
        <v>8.8000000000000007</v>
      </c>
      <c r="J91" s="8">
        <f ca="1"/>
        <v>0.91905236752737207</v>
      </c>
      <c r="K91" s="8">
        <f ca="1"/>
        <v>0.48847819310291068</v>
      </c>
      <c r="L91" s="8">
        <f ca="1"/>
        <v>1.3587456071638113E-2</v>
      </c>
      <c r="M91" s="22">
        <f ca="1"/>
        <v>0.32283416468956183</v>
      </c>
    </row>
    <row r="92" spans="9:13" x14ac:dyDescent="0.3">
      <c r="I92" s="8">
        <v>8.9</v>
      </c>
      <c r="J92" s="8">
        <f ca="1"/>
        <v>0.91905236752737207</v>
      </c>
      <c r="K92" s="8">
        <f ca="1"/>
        <v>0.49331610517509561</v>
      </c>
      <c r="L92" s="8">
        <f ca="1"/>
        <v>1.2394365749572481E-2</v>
      </c>
      <c r="M92" s="22">
        <f ca="1"/>
        <v>0.32283416468956183</v>
      </c>
    </row>
    <row r="93" spans="9:13" x14ac:dyDescent="0.3">
      <c r="I93" s="8">
        <v>9</v>
      </c>
      <c r="J93" s="8">
        <f ca="1"/>
        <v>0.91905236752737207</v>
      </c>
      <c r="K93" s="8">
        <f ca="1"/>
        <v>0.49804650809012085</v>
      </c>
      <c r="L93" s="8">
        <f ca="1"/>
        <v>1.1306036656360359E-2</v>
      </c>
      <c r="M93" s="22">
        <f ca="1"/>
        <v>0.32283416468956183</v>
      </c>
    </row>
    <row r="94" spans="9:13" x14ac:dyDescent="0.3">
      <c r="I94" s="8">
        <v>9.1</v>
      </c>
      <c r="J94" s="8">
        <f ca="1"/>
        <v>0.76489947289387872</v>
      </c>
      <c r="K94" s="8">
        <f ca="1"/>
        <v>0.50097895825279948</v>
      </c>
      <c r="L94" s="8">
        <f ca="1"/>
        <v>1.047348592771659E-2</v>
      </c>
      <c r="M94" s="22">
        <f ca="1"/>
        <v>0.32283416468956183</v>
      </c>
    </row>
    <row r="95" spans="9:13" x14ac:dyDescent="0.3">
      <c r="I95" s="8">
        <v>9.2000000000000011</v>
      </c>
      <c r="J95" s="8">
        <f ca="1"/>
        <v>0.76489947289387872</v>
      </c>
      <c r="K95" s="8">
        <f ca="1"/>
        <v>0.5038476594988982</v>
      </c>
      <c r="L95" s="8">
        <f ca="1"/>
        <v>9.7022398016162574E-3</v>
      </c>
      <c r="M95" s="22">
        <f ca="1"/>
        <v>0.32283416468956183</v>
      </c>
    </row>
    <row r="96" spans="9:13" x14ac:dyDescent="0.3">
      <c r="I96" s="8">
        <v>9.3000000000000007</v>
      </c>
      <c r="J96" s="8">
        <f ca="1"/>
        <v>0.76489947289387872</v>
      </c>
      <c r="K96" s="8">
        <f ca="1"/>
        <v>0.50665466824508076</v>
      </c>
      <c r="L96" s="8">
        <f ca="1"/>
        <v>8.987788202374768E-3</v>
      </c>
      <c r="M96" s="22">
        <f ca="1"/>
        <v>0.32283416468956183</v>
      </c>
    </row>
    <row r="97" spans="9:13" x14ac:dyDescent="0.3">
      <c r="I97" s="8">
        <v>9.4</v>
      </c>
      <c r="J97" s="8">
        <f ca="1"/>
        <v>0.76489947289387872</v>
      </c>
      <c r="K97" s="8">
        <f ca="1"/>
        <v>0.50940195340091898</v>
      </c>
      <c r="L97" s="8">
        <f ca="1"/>
        <v>8.3259470959000919E-3</v>
      </c>
      <c r="M97" s="22">
        <f ca="1"/>
        <v>0.32283416468956183</v>
      </c>
    </row>
    <row r="98" spans="9:13" x14ac:dyDescent="0.3">
      <c r="I98" s="8">
        <v>9.5</v>
      </c>
      <c r="J98" s="8">
        <f ca="1"/>
        <v>0.76489947289387872</v>
      </c>
      <c r="K98" s="8">
        <f ca="1"/>
        <v>0.5120914009745291</v>
      </c>
      <c r="L98" s="8">
        <f ca="1"/>
        <v>7.7128423004067361E-3</v>
      </c>
      <c r="M98" s="22">
        <f ca="1"/>
        <v>0.32283416468956183</v>
      </c>
    </row>
    <row r="99" spans="9:13" x14ac:dyDescent="0.3">
      <c r="I99" s="8">
        <v>9.6000000000000014</v>
      </c>
      <c r="J99" s="8">
        <f ca="1"/>
        <v>0.76489947289387872</v>
      </c>
      <c r="K99" s="8">
        <f ca="1"/>
        <v>0.51472481839035567</v>
      </c>
      <c r="L99" s="8">
        <f ca="1"/>
        <v>7.1448848926201529E-3</v>
      </c>
      <c r="M99" s="22">
        <f ca="1"/>
        <v>0.32283416468956183</v>
      </c>
    </row>
    <row r="100" spans="9:13" x14ac:dyDescent="0.3">
      <c r="I100" s="8">
        <v>9.7000000000000011</v>
      </c>
      <c r="J100" s="8">
        <f ca="1"/>
        <v>0.76489947289387872</v>
      </c>
      <c r="K100" s="8">
        <f ca="1"/>
        <v>0.51730393853987655</v>
      </c>
      <c r="L100" s="8">
        <f ca="1"/>
        <v>6.6187542440837212E-3</v>
      </c>
      <c r="M100" s="22">
        <f ca="1"/>
        <v>0.32283416468956183</v>
      </c>
    </row>
    <row r="101" spans="9:13" x14ac:dyDescent="0.3">
      <c r="I101" s="8">
        <v>9.8000000000000007</v>
      </c>
      <c r="J101" s="8">
        <f ca="1"/>
        <v>0.76489947289387872</v>
      </c>
      <c r="K101" s="8">
        <f ca="1"/>
        <v>0.5198304235843052</v>
      </c>
      <c r="L101" s="8">
        <f ca="1"/>
        <v>6.1313642862995121E-3</v>
      </c>
      <c r="M101" s="22">
        <f ca="1"/>
        <v>0.32283416468956183</v>
      </c>
    </row>
    <row r="102" spans="9:13" x14ac:dyDescent="0.3">
      <c r="I102" s="8">
        <v>9.9</v>
      </c>
      <c r="J102" s="8">
        <f ca="1"/>
        <v>0.76489947289387872</v>
      </c>
      <c r="K102" s="8">
        <f ca="1"/>
        <v>0.52230586852682603</v>
      </c>
      <c r="L102" s="8">
        <f ca="1"/>
        <v>5.6798648147911067E-3</v>
      </c>
      <c r="M102" s="22">
        <f ca="1"/>
        <v>0.32283416468956183</v>
      </c>
    </row>
    <row r="103" spans="9:13" x14ac:dyDescent="0.3">
      <c r="I103" s="8">
        <v>10</v>
      </c>
      <c r="J103" s="8">
        <f ca="1"/>
        <v>0.76489947289387872</v>
      </c>
      <c r="K103" s="8">
        <f ca="1"/>
        <v>0.52473180457049662</v>
      </c>
      <c r="L103" s="8">
        <f ca="1"/>
        <v>5.2616130130143822E-3</v>
      </c>
      <c r="M103" s="22">
        <f ca="1"/>
        <v>0.32283416468956183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F235-2370-447F-B1BD-46AD74C3D800}">
  <dimension ref="B2:O11"/>
  <sheetViews>
    <sheetView workbookViewId="0">
      <selection activeCell="C8" sqref="C8"/>
    </sheetView>
  </sheetViews>
  <sheetFormatPr defaultColWidth="9.140625" defaultRowHeight="18.75" x14ac:dyDescent="0.3"/>
  <cols>
    <col min="1" max="2" width="9.140625" style="17"/>
    <col min="3" max="3" width="17.140625" style="17" bestFit="1" customWidth="1"/>
    <col min="4" max="5" width="9.140625" style="17"/>
    <col min="6" max="6" width="9.28515625" style="17" customWidth="1"/>
    <col min="7" max="7" width="9.140625" style="17"/>
    <col min="8" max="8" width="15.7109375" style="18" bestFit="1" customWidth="1"/>
    <col min="9" max="9" width="9.140625" style="17"/>
    <col min="10" max="11" width="17.140625" style="17" bestFit="1" customWidth="1"/>
    <col min="12" max="12" width="9.140625" style="17"/>
    <col min="13" max="13" width="14.5703125" style="18" bestFit="1" customWidth="1"/>
    <col min="14" max="17" width="9.140625" style="17"/>
    <col min="18" max="18" width="11.5703125" style="17" bestFit="1" customWidth="1"/>
    <col min="19" max="16384" width="9.140625" style="17"/>
  </cols>
  <sheetData>
    <row r="2" spans="2:15" x14ac:dyDescent="0.3">
      <c r="B2" s="16" t="s">
        <v>16</v>
      </c>
      <c r="C2" s="18">
        <f ca="1">TODAY()</f>
        <v>45412</v>
      </c>
      <c r="F2" s="17" cm="1">
        <f t="array" aca="1" ref="F2:G11" ca="1">_xll.TMX.INSTRUMENT(C10)</f>
        <v>0.50651279629287393</v>
      </c>
      <c r="G2" s="17">
        <f ca="1"/>
        <v>2.5694444444444442</v>
      </c>
      <c r="H2" s="18" cm="1">
        <f t="array" aca="1" ref="H2:H11" ca="1">_xlfn.MAP(_xlfn.TAKE(_xlfn.ANCHORARRAY(F2),,1),_xlfn.LAMBDA(_xlpm.d,_xll.TMX.DATE.ADDYEARS(pvdate, _xlpm.d)))</f>
        <v>45777</v>
      </c>
      <c r="J2" s="20" t="s">
        <v>24</v>
      </c>
      <c r="K2" s="11" t="e" cm="1">
        <f t="array" aca="1" ref="K2" ca="1">_xll.\AKA.Bond(dated, maturity, coupon, _xll.ENUM(D5), _xll.ENUM(D6))</f>
        <v>#NAME?</v>
      </c>
      <c r="M2" s="18" t="e" cm="1">
        <f t="array" aca="1" ref="M2" ca="1">_xll.AKA.Value.FlowDate(K3)</f>
        <v>#NAME?</v>
      </c>
      <c r="N2" s="17" t="e" cm="1">
        <f t="array" aca="1" ref="N2" ca="1">_xll.AKA.Value.Interest(K3)</f>
        <v>#NAME?</v>
      </c>
      <c r="O2" s="17" t="e" cm="1">
        <f t="array" aca="1" ref="O2" ca="1">_xll.AKA.Value.Principal(K3)</f>
        <v>#NAME?</v>
      </c>
    </row>
    <row r="3" spans="2:15" x14ac:dyDescent="0.3">
      <c r="B3" s="16" t="s">
        <v>17</v>
      </c>
      <c r="C3" s="18" cm="1">
        <f t="array" aca="1" ref="C3" ca="1">_xll.TMX.DATE.ADDYEARS(dated,D3)</f>
        <v>49064.425000000003</v>
      </c>
      <c r="D3" s="17">
        <v>10</v>
      </c>
      <c r="F3" s="17">
        <f ca="1"/>
        <v>1.5058488538436792</v>
      </c>
      <c r="G3" s="17">
        <f ca="1"/>
        <v>5.0694444444444446</v>
      </c>
      <c r="H3" s="18">
        <f ca="1"/>
        <v>46142</v>
      </c>
      <c r="J3" s="20" t="s">
        <v>25</v>
      </c>
      <c r="K3" s="11" t="e" cm="1">
        <f t="array" aca="1" ref="K3" ca="1">_xll.\AKA.Value(K2, pvdate, pvdate)</f>
        <v>#NAME?</v>
      </c>
    </row>
    <row r="4" spans="2:15" x14ac:dyDescent="0.3">
      <c r="B4" s="16" t="s">
        <v>18</v>
      </c>
      <c r="C4" s="19">
        <v>0.05</v>
      </c>
      <c r="F4" s="17">
        <f ca="1"/>
        <v>2.5051849113944846</v>
      </c>
      <c r="G4" s="17">
        <f ca="1"/>
        <v>5.0694444444444446</v>
      </c>
      <c r="H4" s="18">
        <f ca="1"/>
        <v>46507</v>
      </c>
    </row>
    <row r="5" spans="2:15" x14ac:dyDescent="0.3">
      <c r="B5" s="16" t="s">
        <v>19</v>
      </c>
      <c r="C5" s="16" t="s">
        <v>28</v>
      </c>
      <c r="D5" s="17" t="s">
        <v>29</v>
      </c>
      <c r="F5" s="17">
        <f ca="1"/>
        <v>3.5072588759522785</v>
      </c>
      <c r="G5" s="17">
        <f ca="1"/>
        <v>5.083333333333333</v>
      </c>
      <c r="H5" s="18">
        <f ca="1"/>
        <v>46873</v>
      </c>
      <c r="J5" s="17" t="e" cm="1">
        <f t="array" aca="1" ref="J5" ca="1">TRANSPOSE(_xll.FREQ_ENUM())</f>
        <v>#NAME?</v>
      </c>
      <c r="K5" s="17" t="e" cm="1">
        <f t="array" aca="1" ref="K5" ca="1">TRANSPOSE(_xll.DC_ENUM())</f>
        <v>#NAME?</v>
      </c>
    </row>
    <row r="6" spans="2:15" x14ac:dyDescent="0.3">
      <c r="B6" s="16" t="s">
        <v>20</v>
      </c>
      <c r="C6" s="16" t="s">
        <v>5</v>
      </c>
      <c r="D6" s="17" t="s">
        <v>27</v>
      </c>
      <c r="F6" s="17">
        <f ca="1"/>
        <v>4.5065949335030835</v>
      </c>
      <c r="G6" s="17">
        <f ca="1"/>
        <v>5.0694444444444446</v>
      </c>
      <c r="H6" s="18">
        <f ca="1"/>
        <v>47238</v>
      </c>
    </row>
    <row r="7" spans="2:15" x14ac:dyDescent="0.3">
      <c r="B7" s="20" t="s">
        <v>26</v>
      </c>
      <c r="C7" s="17">
        <v>100</v>
      </c>
      <c r="F7" s="17">
        <f ca="1"/>
        <v>5.5059309910538889</v>
      </c>
      <c r="G7" s="17">
        <f ca="1"/>
        <v>5.0694444444444446</v>
      </c>
      <c r="H7" s="18">
        <f ca="1"/>
        <v>47603</v>
      </c>
    </row>
    <row r="8" spans="2:15" x14ac:dyDescent="0.3">
      <c r="B8" s="16" t="s">
        <v>21</v>
      </c>
      <c r="C8" s="11" cm="1">
        <f t="array" aca="1" ref="C8" ca="1">_xll.\TMX.BOND.BASIC(dated, maturity, coupon, _xll.ENUM(frequency), _xll.ENUM(day_count))</f>
        <v>1520972156752</v>
      </c>
      <c r="F8" s="17">
        <f ca="1"/>
        <v>6.5052670486046944</v>
      </c>
      <c r="G8" s="17">
        <f ca="1"/>
        <v>5.0694444444444446</v>
      </c>
      <c r="H8" s="18">
        <f ca="1"/>
        <v>47968</v>
      </c>
    </row>
    <row r="9" spans="2:15" x14ac:dyDescent="0.3">
      <c r="B9" s="17" t="s">
        <v>22</v>
      </c>
      <c r="C9" s="18">
        <f ca="1">dated+D9</f>
        <v>45592</v>
      </c>
      <c r="D9" s="17">
        <v>180</v>
      </c>
      <c r="F9" s="17">
        <f ca="1"/>
        <v>7.5073410131624883</v>
      </c>
      <c r="G9" s="17">
        <f ca="1"/>
        <v>5.083333333333333</v>
      </c>
      <c r="H9" s="18">
        <f ca="1"/>
        <v>48334</v>
      </c>
    </row>
    <row r="10" spans="2:15" x14ac:dyDescent="0.3">
      <c r="B10" s="16" t="s">
        <v>23</v>
      </c>
      <c r="C10" s="11" cm="1">
        <f t="array" aca="1" ref="C10" ca="1">_xll.\TMX.BOND.BASIC.INSTRUMENT(bond_basic,pvdate)</f>
        <v>1521044381200</v>
      </c>
      <c r="F10" s="17">
        <f ca="1"/>
        <v>8.5066770707132928</v>
      </c>
      <c r="G10" s="17">
        <f ca="1"/>
        <v>5.0694444444444446</v>
      </c>
      <c r="H10" s="18">
        <f ca="1"/>
        <v>48699</v>
      </c>
    </row>
    <row r="11" spans="2:15" x14ac:dyDescent="0.3">
      <c r="F11" s="17">
        <f ca="1"/>
        <v>9.5060131282640992</v>
      </c>
      <c r="G11" s="17">
        <f ca="1"/>
        <v>105.06944444444444</v>
      </c>
      <c r="H11" s="18">
        <f ca="1"/>
        <v>49064</v>
      </c>
    </row>
  </sheetData>
  <dataValidations count="2">
    <dataValidation type="list" allowBlank="1" showInputMessage="1" showErrorMessage="1" sqref="D5" xr:uid="{039A4CED-EBEB-4BB9-833B-6F3EAEF47C51}">
      <formula1>_xlfn.ANCHORARRAY($J$5)</formula1>
    </dataValidation>
    <dataValidation type="list" allowBlank="1" showInputMessage="1" showErrorMessage="1" sqref="D6" xr:uid="{95B04539-D74B-418C-8C33-35D31A602B84}">
      <formula1>_xlfn.ANCHORARRAY($K$5)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32C381-C5EC-4A69-A816-1DE21A3D38A4}">
          <x14:formula1>
            <xm:f>_xlfn.ANCHORARRAY(ENUM!$G$3)</xm:f>
          </x14:formula1>
          <xm:sqref>C5</xm:sqref>
        </x14:dataValidation>
        <x14:dataValidation type="list" allowBlank="1" showInputMessage="1" showErrorMessage="1" xr:uid="{92A6719E-159A-4A3B-A16C-1894E12468CE}">
          <x14:formula1>
            <xm:f>_xlfn.ANCHORARRAY(ENUM!$B$3)</xm:f>
          </x14:formula1>
          <xm:sqref>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D57E-B813-416C-A1C4-B7528B2439C2}">
  <dimension ref="B2:L30"/>
  <sheetViews>
    <sheetView tabSelected="1" workbookViewId="0">
      <selection activeCell="G6" sqref="G6"/>
    </sheetView>
  </sheetViews>
  <sheetFormatPr defaultRowHeight="18.75" x14ac:dyDescent="0.3"/>
  <cols>
    <col min="1" max="1" width="3.7109375" style="23" customWidth="1"/>
    <col min="2" max="2" width="9.140625" style="23"/>
    <col min="3" max="3" width="19.140625" style="23" customWidth="1"/>
    <col min="4" max="4" width="10.42578125" style="23" bestFit="1" customWidth="1"/>
    <col min="5" max="5" width="11.5703125" style="29" bestFit="1" customWidth="1"/>
    <col min="6" max="6" width="11.5703125" style="23" bestFit="1" customWidth="1"/>
    <col min="7" max="7" width="17.85546875" style="23" customWidth="1"/>
    <col min="8" max="8" width="9.28515625" style="23" bestFit="1" customWidth="1"/>
    <col min="9" max="9" width="9.140625" style="23"/>
    <col min="10" max="11" width="13" style="23" bestFit="1" customWidth="1"/>
    <col min="12" max="12" width="9.28515625" style="23" customWidth="1"/>
    <col min="13" max="16384" width="9.140625" style="23"/>
  </cols>
  <sheetData>
    <row r="2" spans="2:12" ht="19.5" thickBot="1" x14ac:dyDescent="0.35">
      <c r="B2" s="38" t="s">
        <v>16</v>
      </c>
      <c r="C2" s="31">
        <f ca="1">TODAY()</f>
        <v>45412</v>
      </c>
      <c r="F2" s="26" t="s">
        <v>22</v>
      </c>
      <c r="G2" s="36">
        <f ca="1">TODAY()</f>
        <v>45412</v>
      </c>
      <c r="K2" s="25" cm="1">
        <f t="array" aca="1" ref="K2" ca="1">_xll.\TMX.BOND.BASIC(J3,J4,J5,_xll.ENUM(J6),_xll.ENUM(J7),J8)</f>
        <v>1520972158096</v>
      </c>
    </row>
    <row r="3" spans="2:12" ht="20.25" thickTop="1" thickBot="1" x14ac:dyDescent="0.35">
      <c r="B3" s="35" t="s">
        <v>17</v>
      </c>
      <c r="C3" s="3">
        <v>10</v>
      </c>
      <c r="F3" s="26" t="s">
        <v>32</v>
      </c>
      <c r="G3" s="24" cm="1">
        <f t="array" aca="1" ref="G3" ca="1">_xll.\TMX.CURVE.CONSTANT(H3+0*RAND())</f>
        <v>1520986619520</v>
      </c>
      <c r="H3" s="3">
        <v>0.05</v>
      </c>
      <c r="J3" s="33" cm="1">
        <f t="array" aca="1" ref="J3:J8" ca="1">_xll.TMX.BOND.BASIC(bond)</f>
        <v>45412</v>
      </c>
      <c r="K3" s="33" cm="1">
        <f t="array" aca="1" ref="K3:K8" ca="1">_xll.TMX.BOND.BASIC(K2)</f>
        <v>45412</v>
      </c>
      <c r="L3" s="32" t="b">
        <f ca="1">J3=K3</f>
        <v>1</v>
      </c>
    </row>
    <row r="4" spans="2:12" ht="20.25" thickTop="1" thickBot="1" x14ac:dyDescent="0.35">
      <c r="B4" s="35" t="s">
        <v>18</v>
      </c>
      <c r="C4" s="37">
        <v>0.05</v>
      </c>
      <c r="F4" s="26" t="s">
        <v>34</v>
      </c>
      <c r="G4" s="39" cm="1">
        <f t="array" aca="1" ref="G4" ca="1">_xll.TMX.VALUE.PRESENT(instrument, curve, H4)</f>
        <v>99.511699960922385</v>
      </c>
      <c r="H4" s="3">
        <v>0</v>
      </c>
      <c r="J4" s="33">
        <f ca="1"/>
        <v>49064</v>
      </c>
      <c r="K4" s="33">
        <f ca="1"/>
        <v>49064</v>
      </c>
      <c r="L4" s="32" t="b">
        <f t="shared" ref="L4:L8" ca="1" si="0">J4=K4</f>
        <v>1</v>
      </c>
    </row>
    <row r="5" spans="2:12" ht="20.25" thickTop="1" thickBot="1" x14ac:dyDescent="0.35">
      <c r="B5" s="38" t="s">
        <v>19</v>
      </c>
      <c r="C5" s="26" t="s">
        <v>30</v>
      </c>
      <c r="F5" s="28" t="s">
        <v>35</v>
      </c>
      <c r="G5" s="23" cm="1">
        <f t="array" aca="1" ref="G5" ca="1">_xll.TMX.VALUE.YIELD(instrument, present)</f>
        <v>4.9999999999861489E-2</v>
      </c>
      <c r="J5" s="34">
        <f ca="1"/>
        <v>0.05</v>
      </c>
      <c r="K5" s="34">
        <f ca="1"/>
        <v>0.05</v>
      </c>
      <c r="L5" s="32" t="b">
        <f t="shared" ca="1" si="0"/>
        <v>1</v>
      </c>
    </row>
    <row r="6" spans="2:12" ht="20.25" thickTop="1" thickBot="1" x14ac:dyDescent="0.35">
      <c r="B6" s="38" t="s">
        <v>20</v>
      </c>
      <c r="C6" s="26" t="s">
        <v>38</v>
      </c>
      <c r="F6" s="38" t="s">
        <v>39</v>
      </c>
      <c r="G6" s="41" cm="1">
        <f t="array" aca="1" ref="G6" ca="1">_xll.TMX.VALUE.OAS(instrument, curve, H6)</f>
        <v>1.2681947238615968E-2</v>
      </c>
      <c r="H6" s="23">
        <v>90</v>
      </c>
      <c r="J6" s="34" t="str">
        <f ca="1"/>
        <v>TMX_FREQUENCY_SEMIANNUALLY</v>
      </c>
      <c r="K6" s="34" t="str">
        <f ca="1"/>
        <v>TMX_FREQUENCY_SEMIANNUALLY</v>
      </c>
      <c r="L6" s="32" t="b">
        <f t="shared" ca="1" si="0"/>
        <v>1</v>
      </c>
    </row>
    <row r="7" spans="2:12" ht="20.25" thickTop="1" thickBot="1" x14ac:dyDescent="0.35">
      <c r="B7" s="38" t="s">
        <v>26</v>
      </c>
      <c r="C7" s="23">
        <v>100</v>
      </c>
      <c r="F7" s="28" t="s">
        <v>36</v>
      </c>
      <c r="G7" s="40" cm="1">
        <f t="array" aca="1" ref="G7" ca="1">_xll.TMX.VALUE.DURATION(instrument, curve)</f>
        <v>-794.44420411936369</v>
      </c>
      <c r="J7" s="34" t="str">
        <f ca="1"/>
        <v>TMX_DAY_COUNT_30_360</v>
      </c>
      <c r="K7" s="34" t="str">
        <f ca="1"/>
        <v>TMX_DAY_COUNT_30_360</v>
      </c>
      <c r="L7" s="32" t="b">
        <f t="shared" ca="1" si="0"/>
        <v>1</v>
      </c>
    </row>
    <row r="8" spans="2:12" ht="20.25" thickTop="1" thickBot="1" x14ac:dyDescent="0.35">
      <c r="B8" s="26" t="s">
        <v>31</v>
      </c>
      <c r="C8" s="25" cm="1">
        <f t="array" aca="1" ref="C8" ca="1">_xll.\TMX.BOND.BASIC(dated,maturity,coupon,_xll.ENUM(frequency),_xll.ENUM(day_count))</f>
        <v>1520972156528</v>
      </c>
      <c r="D8"/>
      <c r="F8" s="28" t="s">
        <v>37</v>
      </c>
      <c r="G8" s="40" cm="1">
        <f t="array" aca="1" ref="G8" ca="1">_xll.TMX.VALUE.CONVEXITY(instrument,curve)</f>
        <v>7292.3297608333796</v>
      </c>
      <c r="J8" s="34">
        <f ca="1"/>
        <v>100</v>
      </c>
      <c r="K8" s="34">
        <f ca="1"/>
        <v>100</v>
      </c>
      <c r="L8" s="32" t="b">
        <f t="shared" ca="1" si="0"/>
        <v>1</v>
      </c>
    </row>
    <row r="9" spans="2:12" ht="19.5" thickTop="1" x14ac:dyDescent="0.3">
      <c r="B9" s="26" t="s">
        <v>15</v>
      </c>
      <c r="C9" s="25" cm="1">
        <f t="array" aca="1" ref="C9" ca="1">_xll.\TMX.BOND.BASIC.INSTRUMENT(bond,pvdate)</f>
        <v>1521044373984</v>
      </c>
    </row>
    <row r="10" spans="2:12" x14ac:dyDescent="0.3">
      <c r="C10" s="27" t="s">
        <v>8</v>
      </c>
      <c r="D10" s="27" t="s">
        <v>33</v>
      </c>
    </row>
    <row r="11" spans="2:12" x14ac:dyDescent="0.3">
      <c r="C11" s="30" cm="1">
        <f t="array" aca="1" ref="C11:D30" ca="1">_xll.TMX.INSTRUMENT(C9)</f>
        <v>0.50377488928588543</v>
      </c>
      <c r="D11" s="30">
        <f ca="1"/>
        <v>2.5</v>
      </c>
      <c r="E11" s="29" cm="1">
        <f t="array" aca="1" ref="E11:E30" ca="1">_xlfn.MAP(_xlfn.TAKE(_xlfn.ANCHORARRAY(C11),,1),_xlfn.LAMBDA(_xlpm.u,_xll.TMX.DATE.ADDYEARS(pvdate,_xlpm.u)))</f>
        <v>45596</v>
      </c>
    </row>
    <row r="12" spans="2:12" x14ac:dyDescent="0.3">
      <c r="C12" s="23">
        <f ca="1"/>
        <v>0.99933605755080523</v>
      </c>
      <c r="D12" s="23">
        <f ca="1"/>
        <v>2.5</v>
      </c>
      <c r="E12" s="29">
        <f ca="1"/>
        <v>45777</v>
      </c>
    </row>
    <row r="13" spans="2:12" x14ac:dyDescent="0.3">
      <c r="C13" s="23">
        <f ca="1"/>
        <v>1.5031109468366908</v>
      </c>
      <c r="D13" s="23">
        <f ca="1"/>
        <v>2.5</v>
      </c>
      <c r="E13" s="29">
        <f ca="1"/>
        <v>45961</v>
      </c>
      <c r="H13" s="35"/>
    </row>
    <row r="14" spans="2:12" x14ac:dyDescent="0.3">
      <c r="C14" s="23">
        <f ca="1"/>
        <v>1.9986721151016105</v>
      </c>
      <c r="D14" s="23">
        <f ca="1"/>
        <v>2.5</v>
      </c>
      <c r="E14" s="29">
        <f ca="1"/>
        <v>46142</v>
      </c>
    </row>
    <row r="15" spans="2:12" x14ac:dyDescent="0.3">
      <c r="C15" s="23">
        <f ca="1"/>
        <v>2.5024470043874958</v>
      </c>
      <c r="D15" s="23">
        <f ca="1"/>
        <v>2.5</v>
      </c>
      <c r="E15" s="29">
        <f ca="1"/>
        <v>46326</v>
      </c>
    </row>
    <row r="16" spans="2:12" x14ac:dyDescent="0.3">
      <c r="C16" s="23">
        <f ca="1"/>
        <v>2.9980081726524159</v>
      </c>
      <c r="D16" s="23">
        <f ca="1"/>
        <v>2.5</v>
      </c>
      <c r="E16" s="29">
        <f ca="1"/>
        <v>46507</v>
      </c>
    </row>
    <row r="17" spans="3:5" x14ac:dyDescent="0.3">
      <c r="C17" s="23">
        <f ca="1"/>
        <v>3.5017830619383012</v>
      </c>
      <c r="D17" s="23">
        <f ca="1"/>
        <v>2.5</v>
      </c>
      <c r="E17" s="29">
        <f ca="1"/>
        <v>46691</v>
      </c>
    </row>
    <row r="18" spans="3:5" x14ac:dyDescent="0.3">
      <c r="C18" s="23">
        <f ca="1"/>
        <v>4.0000821372102093</v>
      </c>
      <c r="D18" s="23">
        <f ca="1"/>
        <v>2.5</v>
      </c>
      <c r="E18" s="29">
        <f ca="1"/>
        <v>46873</v>
      </c>
    </row>
    <row r="19" spans="3:5" x14ac:dyDescent="0.3">
      <c r="C19" s="23">
        <f ca="1"/>
        <v>4.5038570264960951</v>
      </c>
      <c r="D19" s="23">
        <f ca="1"/>
        <v>2.5</v>
      </c>
      <c r="E19" s="29">
        <f ca="1"/>
        <v>47057</v>
      </c>
    </row>
    <row r="20" spans="3:5" x14ac:dyDescent="0.3">
      <c r="C20" s="23">
        <f ca="1"/>
        <v>4.9994181947610148</v>
      </c>
      <c r="D20" s="23">
        <f ca="1"/>
        <v>2.5</v>
      </c>
      <c r="E20" s="29">
        <f ca="1"/>
        <v>47238</v>
      </c>
    </row>
    <row r="21" spans="3:5" x14ac:dyDescent="0.3">
      <c r="C21" s="23">
        <f ca="1"/>
        <v>5.5031930840469006</v>
      </c>
      <c r="D21" s="23">
        <f ca="1"/>
        <v>2.5</v>
      </c>
      <c r="E21" s="29">
        <f ca="1"/>
        <v>47422</v>
      </c>
    </row>
    <row r="22" spans="3:5" x14ac:dyDescent="0.3">
      <c r="C22" s="23">
        <f ca="1"/>
        <v>5.9987542523118202</v>
      </c>
      <c r="D22" s="23">
        <f ca="1"/>
        <v>2.5</v>
      </c>
      <c r="E22" s="29">
        <f ca="1"/>
        <v>47603</v>
      </c>
    </row>
    <row r="23" spans="3:5" x14ac:dyDescent="0.3">
      <c r="C23" s="23">
        <f ca="1"/>
        <v>6.502529141597706</v>
      </c>
      <c r="D23" s="23">
        <f ca="1"/>
        <v>2.5</v>
      </c>
      <c r="E23" s="29">
        <f ca="1"/>
        <v>47787</v>
      </c>
    </row>
    <row r="24" spans="3:5" x14ac:dyDescent="0.3">
      <c r="C24" s="23">
        <f ca="1"/>
        <v>6.9980903098626257</v>
      </c>
      <c r="D24" s="23">
        <f ca="1"/>
        <v>2.5</v>
      </c>
      <c r="E24" s="29">
        <f ca="1"/>
        <v>47968</v>
      </c>
    </row>
    <row r="25" spans="3:5" x14ac:dyDescent="0.3">
      <c r="C25" s="23">
        <f ca="1"/>
        <v>7.5018651991485106</v>
      </c>
      <c r="D25" s="23">
        <f ca="1"/>
        <v>2.5</v>
      </c>
      <c r="E25" s="29">
        <f ca="1"/>
        <v>48152</v>
      </c>
    </row>
    <row r="26" spans="3:5" x14ac:dyDescent="0.3">
      <c r="C26" s="23">
        <f ca="1"/>
        <v>8.0001642744204187</v>
      </c>
      <c r="D26" s="23">
        <f ca="1"/>
        <v>2.5</v>
      </c>
      <c r="E26" s="29">
        <f ca="1"/>
        <v>48334</v>
      </c>
    </row>
    <row r="27" spans="3:5" x14ac:dyDescent="0.3">
      <c r="C27" s="23">
        <f ca="1"/>
        <v>8.5039391637063044</v>
      </c>
      <c r="D27" s="23">
        <f ca="1"/>
        <v>2.5</v>
      </c>
      <c r="E27" s="29">
        <f ca="1"/>
        <v>48518</v>
      </c>
    </row>
    <row r="28" spans="3:5" x14ac:dyDescent="0.3">
      <c r="C28" s="23">
        <f ca="1"/>
        <v>8.999500331971225</v>
      </c>
      <c r="D28" s="23">
        <f ca="1"/>
        <v>2.5</v>
      </c>
      <c r="E28" s="29">
        <f ca="1"/>
        <v>48699</v>
      </c>
    </row>
    <row r="29" spans="3:5" x14ac:dyDescent="0.3">
      <c r="C29" s="23">
        <f ca="1"/>
        <v>9.5032752212571108</v>
      </c>
      <c r="D29" s="23">
        <f ca="1"/>
        <v>2.5</v>
      </c>
      <c r="E29" s="29">
        <f ca="1"/>
        <v>48883</v>
      </c>
    </row>
    <row r="30" spans="3:5" x14ac:dyDescent="0.3">
      <c r="C30" s="23">
        <f ca="1"/>
        <v>9.9988363895220296</v>
      </c>
      <c r="D30" s="23">
        <f ca="1"/>
        <v>102.5</v>
      </c>
      <c r="E30" s="29">
        <f ca="1"/>
        <v>49064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007CDED-52BA-4236-9AB4-270D2D758A2D}">
          <x14:formula1>
            <xm:f>_xlfn.ANCHORARRAY(ENUM!$G$3)</xm:f>
          </x14:formula1>
          <xm:sqref>C5</xm:sqref>
        </x14:dataValidation>
        <x14:dataValidation type="list" allowBlank="1" showInputMessage="1" showErrorMessage="1" xr:uid="{4F940A22-B041-4372-AF7C-03B1471C3CC9}">
          <x14:formula1>
            <xm:f>_xlfn.ANCHORARRAY(ENUM!$B$3)</xm:f>
          </x14:formula1>
          <xm:sqref>C6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26</vt:i4>
      </vt:variant>
    </vt:vector>
  </HeadingPairs>
  <TitlesOfParts>
    <vt:vector size="31" baseType="lpstr">
      <vt:lpstr>ENUM</vt:lpstr>
      <vt:lpstr>INSTRUMENT</vt:lpstr>
      <vt:lpstr>PWFLAT</vt:lpstr>
      <vt:lpstr>BOND</vt:lpstr>
      <vt:lpstr>VALUATION</vt:lpstr>
      <vt:lpstr>bond</vt:lpstr>
      <vt:lpstr>bond_basic</vt:lpstr>
      <vt:lpstr>VALUATION!coupon</vt:lpstr>
      <vt:lpstr>coupon</vt:lpstr>
      <vt:lpstr>curve</vt:lpstr>
      <vt:lpstr>date</vt:lpstr>
      <vt:lpstr>VALUATION!dated</vt:lpstr>
      <vt:lpstr>dated</vt:lpstr>
      <vt:lpstr>BOND!day_count</vt:lpstr>
      <vt:lpstr>VALUATION!day_count</vt:lpstr>
      <vt:lpstr>DAY_COUNT</vt:lpstr>
      <vt:lpstr>days</vt:lpstr>
      <vt:lpstr>dcf</vt:lpstr>
      <vt:lpstr>VALUATION!face</vt:lpstr>
      <vt:lpstr>face</vt:lpstr>
      <vt:lpstr>VALUATION!frequency</vt:lpstr>
      <vt:lpstr>frequency</vt:lpstr>
      <vt:lpstr>instrument</vt:lpstr>
      <vt:lpstr>VALUATION!maturity</vt:lpstr>
      <vt:lpstr>maturity</vt:lpstr>
      <vt:lpstr>present</vt:lpstr>
      <vt:lpstr>VALUATION!pvdate</vt:lpstr>
      <vt:lpstr>pvdate</vt:lpstr>
      <vt:lpstr>pwflat</vt:lpstr>
      <vt:lpstr>rate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2024-04-10T18:18:41Z</dcterms:created>
  <dcterms:modified xsi:type="dcterms:W3CDTF">2024-04-30T21:57:27Z</dcterms:modified>
</cp:coreProperties>
</file>