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ctrlProps/ctrlProp1.xml" ContentType="application/vnd.ms-excel.controlproperties+xml"/>
  <Override PartName="/xl/drawings/drawing3.xml" ContentType="application/vnd.openxmlformats-officedocument.drawing+xml"/>
  <Override PartName="/xl/ctrlProps/ctrlProp2.xml" ContentType="application/vnd.ms-excel.controlproperties+xml"/>
  <Override PartName="/xl/comments1.xml" ContentType="application/vnd.openxmlformats-officedocument.spreadsheetml.comments+xml"/>
  <Override PartName="/xl/drawings/drawing4.xml" ContentType="application/vnd.openxmlformats-officedocument.drawing+xml"/>
  <Override PartName="/xl/ctrlProps/ctrlProp3.xml" ContentType="application/vnd.ms-excel.controlproperties+xml"/>
  <Override PartName="/xl/comments2.xml" ContentType="application/vnd.openxmlformats-officedocument.spreadsheetml.comments+xml"/>
  <Override PartName="/xl/drawings/drawing5.xml" ContentType="application/vnd.openxmlformats-officedocument.drawing+xml"/>
  <Override PartName="/xl/ctrlProps/ctrlProp4.xml" ContentType="application/vnd.ms-excel.controlproperties+xml"/>
  <Override PartName="/xl/drawings/drawing6.xml" ContentType="application/vnd.openxmlformats-officedocument.drawing+xml"/>
  <Override PartName="/xl/ctrlProps/ctrlProp5.xml" ContentType="application/vnd.ms-excel.controlproperties+xml"/>
  <Override PartName="/xl/drawings/drawing7.xml" ContentType="application/vnd.openxmlformats-officedocument.drawing+xml"/>
  <Override PartName="/xl/ctrlProps/ctrlProp6.xml" ContentType="application/vnd.ms-excel.controlproperties+xml"/>
  <Override PartName="/xl/drawings/drawing8.xml" ContentType="application/vnd.openxmlformats-officedocument.drawing+xml"/>
  <Override PartName="/xl/ctrlProps/ctrlProp7.xml" ContentType="application/vnd.ms-excel.controlproperties+xml"/>
  <Override PartName="/xl/drawings/drawing9.xml" ContentType="application/vnd.openxmlformats-officedocument.drawing+xml"/>
  <Override PartName="/xl/ctrlProps/ctrlProp8.xml" ContentType="application/vnd.ms-excel.controlproperties+xml"/>
  <Override PartName="/xl/drawings/drawing10.xml" ContentType="application/vnd.openxmlformats-officedocument.drawing+xml"/>
  <Override PartName="/xl/ctrlProps/ctrlProp9.xml" ContentType="application/vnd.ms-excel.controlproperties+xml"/>
  <Override PartName="/xl/comments3.xml" ContentType="application/vnd.openxmlformats-officedocument.spreadsheetml.comments+xml"/>
  <Override PartName="/xl/drawings/drawing11.xml" ContentType="application/vnd.openxmlformats-officedocument.drawing+xml"/>
  <Override PartName="/xl/ctrlProps/ctrlProp10.xml" ContentType="application/vnd.ms-excel.controlpropertie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codeName="ThisWorkbook" defaultThemeVersion="166925"/>
  <mc:AlternateContent xmlns:mc="http://schemas.openxmlformats.org/markup-compatibility/2006">
    <mc:Choice Requires="x15">
      <x15ac:absPath xmlns:x15ac="http://schemas.microsoft.com/office/spreadsheetml/2010/11/ac" url="C:\Users\timot\Desktop\"/>
    </mc:Choice>
  </mc:AlternateContent>
  <xr:revisionPtr revIDLastSave="0" documentId="13_ncr:1_{C5DF8732-D561-4318-BB57-660E71DFF863}" xr6:coauthVersionLast="43" xr6:coauthVersionMax="43" xr10:uidLastSave="{00000000-0000-0000-0000-000000000000}"/>
  <bookViews>
    <workbookView xWindow="14340" yWindow="885" windowWidth="25080" windowHeight="14610" tabRatio="819" xr2:uid="{BED9B0B5-983C-41ED-AB3A-95F17B009DE0}"/>
  </bookViews>
  <sheets>
    <sheet name="Home Page" sheetId="1" r:id="rId1"/>
    <sheet name="Summary" sheetId="20" r:id="rId2"/>
    <sheet name="Intro Discussion" sheetId="11" state="hidden" r:id="rId3"/>
    <sheet name="Critical Inputs" sheetId="7" r:id="rId4"/>
    <sheet name="DCF Valuation" sheetId="19" r:id="rId5"/>
    <sheet name="Exxon Income Statement" sheetId="2" r:id="rId6"/>
    <sheet name="Exxon Balance Sheet" sheetId="5" r:id="rId7"/>
    <sheet name="Exxon Cash Flow" sheetId="17" r:id="rId8"/>
    <sheet name="Segment Projections" sheetId="10" r:id="rId9"/>
    <sheet name="Net Working Capital" sheetId="18" r:id="rId10"/>
    <sheet name="PP&amp;E" sheetId="8" r:id="rId11"/>
    <sheet name="Long Term Debt" sheetId="9" r:id="rId12"/>
    <sheet name="Vectors" sheetId="6" r:id="rId13"/>
    <sheet name="Consistency Check" sheetId="12" r:id="rId14"/>
    <sheet name="Additional calculations" sheetId="16" state="hidden" r:id="rId15"/>
    <sheet name="Hidden" sheetId="15" r:id="rId16"/>
  </sheets>
  <definedNames>
    <definedName name="Accounts_payable_and_accrued_liabilities">'Exxon Balance Sheet'!$B$25:$O$25</definedName>
    <definedName name="Accumulated_other_comprehensive_income">'Exxon Balance Sheet'!$B$41:$O$41</definedName>
    <definedName name="CAPEX_DEPR_Long_Term">'Critical Inputs'!$C$16</definedName>
    <definedName name="CAPEX_Long_Term_Growth">'Critical Inputs'!$C$15</definedName>
    <definedName name="Cash_and_cash_equivalents">'Exxon Balance Sheet'!$B$9:$O$9</definedName>
    <definedName name="Cash_and_cash_equivalents___restricted">'Exxon Balance Sheet'!#REF!</definedName>
    <definedName name="Chemical_NonUS">'Segment Projections'!$B$17:$O$17</definedName>
    <definedName name="Chemical_US">'Segment Projections'!$B$16:$O$16</definedName>
    <definedName name="Choose_Rollover">Hidden!$I$4</definedName>
    <definedName name="Common_stock_held_in_treasury">'Exxon Balance Sheet'!$B$42:$O$42</definedName>
    <definedName name="Common_stock_without_par_value">'Exxon Balance Sheet'!$B$39:$O$39</definedName>
    <definedName name="Crude_oil__products_and_merchandise">'Exxon Balance Sheet'!$B$12:$O$12</definedName>
    <definedName name="Crude_oil_and_product_purchases">'Exxon Income Statement'!$B$13:$O$13</definedName>
    <definedName name="Deferred_income_tax_liabilities">'Exxon Balance Sheet'!$B$31:$O$31</definedName>
    <definedName name="Depreciation_and_depletion">'Exxon Income Statement'!$B$16:$O$16</definedName>
    <definedName name="Dividend_Growth_Rate">'Critical Inputs'!$C$11</definedName>
    <definedName name="Downstream_Non_US">'Segment Projections'!$B$12:$O$12</definedName>
    <definedName name="Downstream_US">'Segment Projections'!$B$11:$O$11</definedName>
    <definedName name="Earnings_reinvested">'Exxon Balance Sheet'!$B$40:$O$40</definedName>
    <definedName name="EPS">'Exxon Income Statement'!$B$32:$O$32</definedName>
    <definedName name="EPS_assuming_dilution">'Exxon Income Statement'!#REF!</definedName>
    <definedName name="Equity_Valuation">'DCF Valuation'!$E$19</definedName>
    <definedName name="ExM_Balance_Sheet">'Exxon Balance Sheet'!$A$2</definedName>
    <definedName name="ExM_Income_Statement">'Exxon Income Statement'!$A$2</definedName>
    <definedName name="Exploration_expenses__including_dry_holes">'Exxon Income Statement'!$B$17:$O$17</definedName>
    <definedName name="ExxonMobil_share_of_equity">'Exxon Balance Sheet'!$B$43:$O$43</definedName>
    <definedName name="Home_page" localSheetId="2">'Intro Discussion'!$A$2</definedName>
    <definedName name="Home_page">'Home Page'!$A$2</definedName>
    <definedName name="Income_before_income_taxes">'Exxon Income Statement'!$B$24:$O$24</definedName>
    <definedName name="Income_from_equity_affiliates">'Exxon Income Statement'!$B$7:$O$7</definedName>
    <definedName name="Income_taxes">'Exxon Income Statement'!$B$25:$O$25</definedName>
    <definedName name="Income_taxes_payable">'Exxon Balance Sheet'!$B$26:$O$26</definedName>
    <definedName name="Interest_expense">'Exxon Income Statement'!$B$18:$O$18</definedName>
    <definedName name="Interest_on_Short_term_debt">'Critical Inputs'!$C$12</definedName>
    <definedName name="Investments__advances_and_long_term_receivables">'Exxon Balance Sheet'!$B$16:$O$16</definedName>
    <definedName name="Long_term_debt">'Exxon Balance Sheet'!$B$29:$O$29</definedName>
    <definedName name="Long_term_obligations_to_equity_companies">'Exxon Balance Sheet'!$B$32:$O$32</definedName>
    <definedName name="Materials_and_supplies">'Exxon Balance Sheet'!$B$13:$O$13</definedName>
    <definedName name="Min_Cash_Input">'Critical Inputs'!$C$8</definedName>
    <definedName name="Net_income_attributable_to_ExxonMobil">'Exxon Income Statement'!$B$28:$O$28</definedName>
    <definedName name="Net_income_attributable_to_noncontrolling_interests">'Exxon Income Statement'!$B$27:$O$27</definedName>
    <definedName name="Net_income_including_noncontrolling_interests">'Exxon Income Statement'!$B$26:$O$26</definedName>
    <definedName name="Noncontrolling_interests">'Exxon Balance Sheet'!$B$44:$O$44</definedName>
    <definedName name="Notes_and_accounts_receivable__less_estimated_doubtful_amounts">'Exxon Balance Sheet'!$B$10:$O$10</definedName>
    <definedName name="Notes_and_loans_payable">'Exxon Balance Sheet'!$B$24:$O$24</definedName>
    <definedName name="One_million" comment="named range for multiplying shortened values by 1 million">1000000</definedName>
    <definedName name="Other_assets__including_intangibles__net">'Exxon Balance Sheet'!$B$18:$O$18</definedName>
    <definedName name="Other_current_assets">'Exxon Balance Sheet'!$B$14:$O$14</definedName>
    <definedName name="Other_income">'Exxon Income Statement'!$B$8:$O$8</definedName>
    <definedName name="Other_long_term_obligations">'Exxon Balance Sheet'!$B$33:$O$33</definedName>
    <definedName name="Other_taxes_and_duties">'Exxon Income Statement'!$B$20:$O$20</definedName>
    <definedName name="Perpetual_Growth_Rate">'Critical Inputs'!$C$14</definedName>
    <definedName name="Postretirement_benefits_reserves">'Exxon Balance Sheet'!$B$30:$O$30</definedName>
    <definedName name="Production_and_manufacturing_expenses">'Exxon Income Statement'!$B$14:$O$14</definedName>
    <definedName name="Project_Years">'Exxon Balance Sheet'!$B$4:$O$4</definedName>
    <definedName name="Property__plant_and_equipment__at_cost__less_accumulated_depreciation_and_depletion">'Exxon Balance Sheet'!$B$17:$O$17</definedName>
    <definedName name="range_STDebtIn">'Exxon Balance Sheet'!$G$51:$O$51</definedName>
    <definedName name="range_STDebtOut">'Exxon Balance Sheet'!$G$23:$O$23</definedName>
    <definedName name="range_SurplusIn">'Exxon Balance Sheet'!$G$50:$O$50</definedName>
    <definedName name="range_SurplusOut">'Exxon Balance Sheet'!$G$9:$O$9</definedName>
    <definedName name="Rebalance_check">Hidden!$C$8</definedName>
    <definedName name="Roll_Over_Selector">'Critical Inputs'!$C$10</definedName>
    <definedName name="Sales_and_other_operating_revenue">'Exxon Income Statement'!$B$6:$O$6</definedName>
    <definedName name="Sales_based_taxes">'Exxon Income Statement'!$B$19:$O$19</definedName>
    <definedName name="Scenario_List">Hidden!$A$4:$A$7</definedName>
    <definedName name="Scenario_Selector">'Critical Inputs'!$C$5</definedName>
    <definedName name="Scenario_Value">Hidden!$C$4</definedName>
    <definedName name="Selling__general_and_administrative_expenses">'Exxon Income Statement'!$B$15:$O$15</definedName>
    <definedName name="Share_Price">'DCF Valuation'!$E$21</definedName>
    <definedName name="Shares_Outstanding">Hidden!$A$13</definedName>
    <definedName name="solver_typ" localSheetId="14" hidden="1">2</definedName>
    <definedName name="solver_typ" localSheetId="6" hidden="1">2</definedName>
    <definedName name="solver_typ" localSheetId="11" hidden="1">2</definedName>
    <definedName name="solver_typ" localSheetId="9" hidden="1">2</definedName>
    <definedName name="solver_ver" localSheetId="14" hidden="1">17</definedName>
    <definedName name="solver_ver" localSheetId="6" hidden="1">17</definedName>
    <definedName name="solver_ver" localSheetId="11" hidden="1">17</definedName>
    <definedName name="solver_ver" localSheetId="9" hidden="1">17</definedName>
    <definedName name="Tax_Rate">'Critical Inputs'!$C$9</definedName>
    <definedName name="Total_assets">'Exxon Balance Sheet'!$B$19:$O$19</definedName>
    <definedName name="Total_costs_and_other_deductions">'Exxon Income Statement'!$B$21:$O$21</definedName>
    <definedName name="Total_current_assets">'Exxon Balance Sheet'!$B$15:$O$15</definedName>
    <definedName name="Total_current_liabilities">'Exxon Balance Sheet'!$B$27:$O$27</definedName>
    <definedName name="Total_equity">'Exxon Balance Sheet'!$B$45:$O$45</definedName>
    <definedName name="Total_liabilities">'Exxon Balance Sheet'!$B$34:$O$34</definedName>
    <definedName name="Total_liabilities_and_equity">'Exxon Balance Sheet'!$B$47:$O$47</definedName>
    <definedName name="Total_revenues_and_other_income">'Exxon Income Statement'!$B$9:$O$9</definedName>
    <definedName name="Upstream_NonUS">'Segment Projections'!$B$7:$O$7</definedName>
    <definedName name="Upstream_US">'Segment Projections'!$B$6:$O$6</definedName>
    <definedName name="WACC">'DCF Valuation'!$B$23</definedName>
    <definedName name="Yes_No_Roll_Over">Hidden!$F$4:$F$5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4" i="20" l="1"/>
  <c r="C4" i="15" l="1"/>
  <c r="C200" i="6" l="1"/>
  <c r="D200" i="6" s="1"/>
  <c r="E200" i="6" s="1"/>
  <c r="F200" i="6" s="1"/>
  <c r="G200" i="6" s="1"/>
  <c r="H200" i="6" s="1"/>
  <c r="I200" i="6" s="1"/>
  <c r="J200" i="6" s="1"/>
  <c r="C159" i="6"/>
  <c r="D159" i="6" s="1"/>
  <c r="E159" i="6" s="1"/>
  <c r="F159" i="6" s="1"/>
  <c r="G159" i="6" s="1"/>
  <c r="H159" i="6" s="1"/>
  <c r="I159" i="6" s="1"/>
  <c r="J159" i="6" s="1"/>
  <c r="C118" i="6"/>
  <c r="D118" i="6" s="1"/>
  <c r="E118" i="6" s="1"/>
  <c r="F118" i="6" s="1"/>
  <c r="G118" i="6" s="1"/>
  <c r="H118" i="6" s="1"/>
  <c r="I118" i="6" s="1"/>
  <c r="J118" i="6" s="1"/>
  <c r="E18" i="19" l="1"/>
  <c r="E17" i="19"/>
  <c r="N7" i="19"/>
  <c r="F7" i="19"/>
  <c r="G7" i="19"/>
  <c r="H7" i="19"/>
  <c r="I7" i="19"/>
  <c r="J7" i="19"/>
  <c r="K7" i="19"/>
  <c r="L7" i="19"/>
  <c r="M7" i="19"/>
  <c r="E7" i="19"/>
  <c r="B22" i="19"/>
  <c r="B15" i="19"/>
  <c r="B17" i="19" s="1"/>
  <c r="B13" i="19"/>
  <c r="B10" i="19"/>
  <c r="B23" i="19" l="1"/>
  <c r="B19" i="19"/>
  <c r="B20" i="19" s="1"/>
  <c r="F11" i="5" l="1"/>
  <c r="C27" i="5"/>
  <c r="D27" i="5"/>
  <c r="E27" i="5"/>
  <c r="F27" i="5"/>
  <c r="B27" i="5"/>
  <c r="G26" i="5"/>
  <c r="H26" i="5" s="1"/>
  <c r="I26" i="5" s="1"/>
  <c r="J26" i="5" s="1"/>
  <c r="K26" i="5" s="1"/>
  <c r="L26" i="5" s="1"/>
  <c r="M26" i="5" s="1"/>
  <c r="N26" i="5" s="1"/>
  <c r="O26" i="5" s="1"/>
  <c r="C24" i="17"/>
  <c r="D24" i="17"/>
  <c r="E24" i="17"/>
  <c r="F24" i="17"/>
  <c r="G24" i="17"/>
  <c r="H24" i="17"/>
  <c r="I24" i="17"/>
  <c r="J24" i="17"/>
  <c r="B24" i="17"/>
  <c r="C28" i="17"/>
  <c r="D28" i="17"/>
  <c r="E28" i="17"/>
  <c r="F28" i="17"/>
  <c r="G28" i="17"/>
  <c r="H28" i="17"/>
  <c r="I28" i="17"/>
  <c r="J28" i="17"/>
  <c r="C29" i="17"/>
  <c r="D29" i="17"/>
  <c r="E29" i="17"/>
  <c r="F29" i="17"/>
  <c r="G29" i="17"/>
  <c r="H29" i="17"/>
  <c r="I29" i="17"/>
  <c r="J29" i="17"/>
  <c r="B28" i="17"/>
  <c r="B29" i="17"/>
  <c r="B21" i="2" l="1"/>
  <c r="E33" i="16" l="1"/>
  <c r="F33" i="16"/>
  <c r="D33" i="16"/>
  <c r="C33" i="16"/>
  <c r="G41" i="5"/>
  <c r="H41" i="5" s="1"/>
  <c r="I41" i="5" s="1"/>
  <c r="J41" i="5" s="1"/>
  <c r="K41" i="5" s="1"/>
  <c r="L41" i="5" s="1"/>
  <c r="M41" i="5" s="1"/>
  <c r="N41" i="5" s="1"/>
  <c r="O41" i="5" s="1"/>
  <c r="G42" i="5"/>
  <c r="H42" i="5" s="1"/>
  <c r="I42" i="5" s="1"/>
  <c r="J42" i="5" s="1"/>
  <c r="K42" i="5" s="1"/>
  <c r="L42" i="5" s="1"/>
  <c r="M42" i="5" s="1"/>
  <c r="N42" i="5" s="1"/>
  <c r="O42" i="5" s="1"/>
  <c r="C46" i="9"/>
  <c r="D46" i="9"/>
  <c r="E46" i="9"/>
  <c r="F46" i="9"/>
  <c r="G46" i="9"/>
  <c r="H46" i="9"/>
  <c r="I46" i="9"/>
  <c r="J46" i="9"/>
  <c r="B46" i="9"/>
  <c r="C32" i="2"/>
  <c r="D32" i="2"/>
  <c r="E32" i="2"/>
  <c r="F32" i="2"/>
  <c r="B32" i="2"/>
  <c r="G31" i="2"/>
  <c r="H31" i="2" s="1"/>
  <c r="C15" i="16"/>
  <c r="D15" i="16"/>
  <c r="E15" i="16"/>
  <c r="B15" i="16"/>
  <c r="B12" i="16"/>
  <c r="C12" i="16"/>
  <c r="D12" i="16"/>
  <c r="E12" i="16"/>
  <c r="F12" i="16"/>
  <c r="B10" i="16"/>
  <c r="C10" i="16"/>
  <c r="D10" i="16"/>
  <c r="E10" i="16"/>
  <c r="F10" i="16"/>
  <c r="G31" i="5"/>
  <c r="G30" i="5"/>
  <c r="C29" i="9" a="1"/>
  <c r="C29" i="9" s="1"/>
  <c r="E29" i="9"/>
  <c r="H31" i="5" l="1"/>
  <c r="B27" i="17"/>
  <c r="H30" i="5"/>
  <c r="B26" i="17"/>
  <c r="G32" i="2"/>
  <c r="B31" i="17" s="1"/>
  <c r="I31" i="2"/>
  <c r="H32" i="2"/>
  <c r="C31" i="17" s="1"/>
  <c r="I30" i="5" l="1"/>
  <c r="C26" i="17"/>
  <c r="I31" i="5"/>
  <c r="C27" i="17"/>
  <c r="J31" i="2"/>
  <c r="I32" i="2"/>
  <c r="D31" i="17" s="1"/>
  <c r="J31" i="5" l="1"/>
  <c r="D27" i="17"/>
  <c r="J30" i="5"/>
  <c r="D26" i="17"/>
  <c r="K31" i="2"/>
  <c r="J32" i="2"/>
  <c r="E31" i="17" s="1"/>
  <c r="K30" i="5" l="1"/>
  <c r="E26" i="17"/>
  <c r="K31" i="5"/>
  <c r="E27" i="17"/>
  <c r="L31" i="2"/>
  <c r="K32" i="2"/>
  <c r="F31" i="17" s="1"/>
  <c r="L31" i="5" l="1"/>
  <c r="F27" i="17"/>
  <c r="L30" i="5"/>
  <c r="F26" i="17"/>
  <c r="M31" i="2"/>
  <c r="L32" i="2"/>
  <c r="G31" i="17" s="1"/>
  <c r="M31" i="5" l="1"/>
  <c r="G27" i="17"/>
  <c r="M30" i="5"/>
  <c r="G26" i="17"/>
  <c r="N31" i="2"/>
  <c r="M32" i="2"/>
  <c r="H31" i="17" s="1"/>
  <c r="N30" i="5" l="1"/>
  <c r="H26" i="17"/>
  <c r="N31" i="5"/>
  <c r="H27" i="17"/>
  <c r="O31" i="2"/>
  <c r="O32" i="2" s="1"/>
  <c r="J31" i="17" s="1"/>
  <c r="N32" i="2"/>
  <c r="I31" i="17" s="1"/>
  <c r="O31" i="5" l="1"/>
  <c r="J27" i="17" s="1"/>
  <c r="I27" i="17"/>
  <c r="O30" i="5"/>
  <c r="J26" i="17" s="1"/>
  <c r="I26" i="17"/>
  <c r="J125" i="9"/>
  <c r="J133" i="9" s="1"/>
  <c r="I120" i="9"/>
  <c r="I133" i="9" s="1"/>
  <c r="H115" i="9"/>
  <c r="H133" i="9" s="1"/>
  <c r="G110" i="9"/>
  <c r="G133" i="9" s="1"/>
  <c r="F105" i="9"/>
  <c r="F100" i="9"/>
  <c r="E95" i="9"/>
  <c r="E133" i="9" s="1"/>
  <c r="D90" i="9"/>
  <c r="D133" i="9" s="1"/>
  <c r="C85" i="9"/>
  <c r="C80" i="9"/>
  <c r="C74" i="9"/>
  <c r="C68" i="9"/>
  <c r="I4" i="15"/>
  <c r="J126" i="9" s="1"/>
  <c r="B34" i="9"/>
  <c r="C52" i="9" s="1"/>
  <c r="B35" i="9"/>
  <c r="C53" i="9" s="1"/>
  <c r="B36" i="9"/>
  <c r="C54" i="9" s="1"/>
  <c r="B37" i="9"/>
  <c r="C55" i="9" s="1"/>
  <c r="C37" i="9" s="1"/>
  <c r="D55" i="9" s="1"/>
  <c r="D89" i="9" s="1"/>
  <c r="B38" i="9"/>
  <c r="C56" i="9" s="1"/>
  <c r="B39" i="9"/>
  <c r="C57" i="9" s="1"/>
  <c r="B40" i="9"/>
  <c r="C58" i="9" s="1"/>
  <c r="C104" i="9" s="1"/>
  <c r="B41" i="9"/>
  <c r="C59" i="9" s="1"/>
  <c r="C41" i="9" s="1"/>
  <c r="D59" i="9" s="1"/>
  <c r="D41" i="9" s="1"/>
  <c r="E59" i="9" s="1"/>
  <c r="E41" i="9" s="1"/>
  <c r="F59" i="9" s="1"/>
  <c r="F41" i="9" s="1"/>
  <c r="G59" i="9" s="1"/>
  <c r="G109" i="9" s="1"/>
  <c r="B42" i="9"/>
  <c r="C60" i="9" s="1"/>
  <c r="B43" i="9"/>
  <c r="C61" i="9" s="1"/>
  <c r="C119" i="9" s="1"/>
  <c r="B44" i="9"/>
  <c r="C62" i="9" s="1"/>
  <c r="C124" i="9" s="1"/>
  <c r="B33" i="9"/>
  <c r="F133" i="9" l="1"/>
  <c r="C51" i="9"/>
  <c r="C67" i="9" s="1"/>
  <c r="C133" i="9"/>
  <c r="C43" i="9"/>
  <c r="E109" i="9"/>
  <c r="D109" i="9"/>
  <c r="C109" i="9"/>
  <c r="F109" i="9"/>
  <c r="D91" i="9"/>
  <c r="D37" i="9" s="1"/>
  <c r="E55" i="9" s="1"/>
  <c r="E37" i="9" s="1"/>
  <c r="F55" i="9" s="1"/>
  <c r="F37" i="9" s="1"/>
  <c r="G55" i="9" s="1"/>
  <c r="G37" i="9" s="1"/>
  <c r="H55" i="9" s="1"/>
  <c r="H37" i="9" s="1"/>
  <c r="I55" i="9" s="1"/>
  <c r="I37" i="9" s="1"/>
  <c r="J55" i="9" s="1"/>
  <c r="J37" i="9" s="1"/>
  <c r="C69" i="9"/>
  <c r="C33" i="9" s="1"/>
  <c r="E96" i="9"/>
  <c r="H116" i="9"/>
  <c r="C86" i="9"/>
  <c r="C36" i="9" s="1"/>
  <c r="D54" i="9" s="1"/>
  <c r="C81" i="9"/>
  <c r="C35" i="9" s="1"/>
  <c r="D53" i="9" s="1"/>
  <c r="F101" i="9"/>
  <c r="I121" i="9"/>
  <c r="G111" i="9"/>
  <c r="G41" i="9" s="1"/>
  <c r="H59" i="9" s="1"/>
  <c r="H41" i="9" s="1"/>
  <c r="I59" i="9" s="1"/>
  <c r="I41" i="9" s="1"/>
  <c r="J59" i="9" s="1"/>
  <c r="J41" i="9" s="1"/>
  <c r="F106" i="9"/>
  <c r="C39" i="9"/>
  <c r="D57" i="9" s="1"/>
  <c r="C99" i="9"/>
  <c r="C42" i="9"/>
  <c r="D60" i="9" s="1"/>
  <c r="C114" i="9"/>
  <c r="C38" i="9"/>
  <c r="D56" i="9" s="1"/>
  <c r="C94" i="9"/>
  <c r="C73" i="9"/>
  <c r="C84" i="9"/>
  <c r="D61" i="9"/>
  <c r="D43" i="9" s="1"/>
  <c r="C89" i="9"/>
  <c r="C40" i="9"/>
  <c r="D58" i="9" s="1"/>
  <c r="C44" i="9"/>
  <c r="D62" i="9" s="1"/>
  <c r="C75" i="9"/>
  <c r="C34" i="9" s="1"/>
  <c r="D52" i="9" s="1"/>
  <c r="C79" i="9"/>
  <c r="D51" i="9" l="1"/>
  <c r="D33" i="9" s="1"/>
  <c r="D38" i="9"/>
  <c r="E56" i="9" s="1"/>
  <c r="D94" i="9"/>
  <c r="D39" i="9"/>
  <c r="E57" i="9" s="1"/>
  <c r="D99" i="9"/>
  <c r="J109" i="9"/>
  <c r="D44" i="9"/>
  <c r="E62" i="9" s="1"/>
  <c r="D124" i="9"/>
  <c r="E61" i="9"/>
  <c r="E43" i="9" s="1"/>
  <c r="D119" i="9"/>
  <c r="D40" i="9"/>
  <c r="E58" i="9" s="1"/>
  <c r="D104" i="9"/>
  <c r="D42" i="9"/>
  <c r="E60" i="9" s="1"/>
  <c r="D114" i="9"/>
  <c r="H109" i="9"/>
  <c r="F89" i="9"/>
  <c r="J89" i="9"/>
  <c r="E89" i="9"/>
  <c r="H89" i="9"/>
  <c r="G89" i="9"/>
  <c r="I109" i="9"/>
  <c r="I89" i="9"/>
  <c r="D36" i="9"/>
  <c r="E54" i="9" s="1"/>
  <c r="D84" i="9"/>
  <c r="D73" i="9"/>
  <c r="D34" i="9"/>
  <c r="E52" i="9" s="1"/>
  <c r="D79" i="9"/>
  <c r="D35" i="9"/>
  <c r="E53" i="9" s="1"/>
  <c r="D67" i="9"/>
  <c r="E51" i="9" l="1"/>
  <c r="E67" i="9" s="1"/>
  <c r="E42" i="9"/>
  <c r="F60" i="9" s="1"/>
  <c r="E114" i="9"/>
  <c r="E40" i="9"/>
  <c r="F58" i="9" s="1"/>
  <c r="E104" i="9"/>
  <c r="E44" i="9"/>
  <c r="F62" i="9" s="1"/>
  <c r="E124" i="9"/>
  <c r="F61" i="9"/>
  <c r="F43" i="9" s="1"/>
  <c r="E119" i="9"/>
  <c r="E39" i="9"/>
  <c r="F57" i="9" s="1"/>
  <c r="E99" i="9"/>
  <c r="E38" i="9"/>
  <c r="F56" i="9" s="1"/>
  <c r="E94" i="9"/>
  <c r="E36" i="9"/>
  <c r="F54" i="9" s="1"/>
  <c r="E84" i="9"/>
  <c r="E79" i="9"/>
  <c r="E35" i="9"/>
  <c r="F53" i="9" s="1"/>
  <c r="E34" i="9"/>
  <c r="F52" i="9" s="1"/>
  <c r="E73" i="9"/>
  <c r="E33" i="9" l="1"/>
  <c r="F51" i="9" s="1"/>
  <c r="F33" i="9" s="1"/>
  <c r="G61" i="9"/>
  <c r="G43" i="9" s="1"/>
  <c r="F119" i="9"/>
  <c r="F38" i="9"/>
  <c r="G56" i="9" s="1"/>
  <c r="F94" i="9"/>
  <c r="F40" i="9"/>
  <c r="G58" i="9" s="1"/>
  <c r="F104" i="9"/>
  <c r="F39" i="9"/>
  <c r="G57" i="9" s="1"/>
  <c r="F99" i="9"/>
  <c r="F44" i="9"/>
  <c r="G62" i="9" s="1"/>
  <c r="F124" i="9"/>
  <c r="F42" i="9"/>
  <c r="G60" i="9" s="1"/>
  <c r="F114" i="9"/>
  <c r="F36" i="9"/>
  <c r="G54" i="9" s="1"/>
  <c r="F84" i="9"/>
  <c r="F35" i="9"/>
  <c r="G53" i="9" s="1"/>
  <c r="F79" i="9"/>
  <c r="F73" i="9"/>
  <c r="F34" i="9"/>
  <c r="G52" i="9" s="1"/>
  <c r="F67" i="9" l="1"/>
  <c r="G51" i="9"/>
  <c r="G33" i="9" s="1"/>
  <c r="G42" i="9"/>
  <c r="H60" i="9" s="1"/>
  <c r="G114" i="9"/>
  <c r="G38" i="9"/>
  <c r="H56" i="9" s="1"/>
  <c r="G94" i="9"/>
  <c r="G39" i="9"/>
  <c r="H57" i="9" s="1"/>
  <c r="G99" i="9"/>
  <c r="G44" i="9"/>
  <c r="H62" i="9" s="1"/>
  <c r="G124" i="9"/>
  <c r="G40" i="9"/>
  <c r="H58" i="9" s="1"/>
  <c r="G104" i="9"/>
  <c r="H61" i="9"/>
  <c r="H43" i="9" s="1"/>
  <c r="G119" i="9"/>
  <c r="G36" i="9"/>
  <c r="H54" i="9" s="1"/>
  <c r="G84" i="9"/>
  <c r="G35" i="9"/>
  <c r="H53" i="9" s="1"/>
  <c r="G79" i="9"/>
  <c r="G73" i="9"/>
  <c r="G34" i="9"/>
  <c r="H52" i="9" s="1"/>
  <c r="G67" i="9" l="1"/>
  <c r="H51" i="9"/>
  <c r="H67" i="9" s="1"/>
  <c r="I61" i="9"/>
  <c r="I43" i="9" s="1"/>
  <c r="H119" i="9"/>
  <c r="H44" i="9"/>
  <c r="I62" i="9" s="1"/>
  <c r="H124" i="9"/>
  <c r="H38" i="9"/>
  <c r="I56" i="9" s="1"/>
  <c r="H94" i="9"/>
  <c r="H104" i="9"/>
  <c r="H40" i="9"/>
  <c r="I58" i="9" s="1"/>
  <c r="H39" i="9"/>
  <c r="I57" i="9" s="1"/>
  <c r="H99" i="9"/>
  <c r="H114" i="9"/>
  <c r="H42" i="9"/>
  <c r="I60" i="9" s="1"/>
  <c r="H36" i="9"/>
  <c r="I54" i="9" s="1"/>
  <c r="H84" i="9"/>
  <c r="H34" i="9"/>
  <c r="I52" i="9" s="1"/>
  <c r="H73" i="9"/>
  <c r="H35" i="9"/>
  <c r="I53" i="9" s="1"/>
  <c r="H79" i="9"/>
  <c r="H33" i="9" l="1"/>
  <c r="I51" i="9" s="1"/>
  <c r="I33" i="9" s="1"/>
  <c r="I42" i="9"/>
  <c r="J60" i="9" s="1"/>
  <c r="I114" i="9"/>
  <c r="I40" i="9"/>
  <c r="J58" i="9" s="1"/>
  <c r="I104" i="9"/>
  <c r="I44" i="9"/>
  <c r="J62" i="9" s="1"/>
  <c r="I124" i="9"/>
  <c r="I39" i="9"/>
  <c r="J57" i="9" s="1"/>
  <c r="I99" i="9"/>
  <c r="I38" i="9"/>
  <c r="J56" i="9" s="1"/>
  <c r="I94" i="9"/>
  <c r="I119" i="9"/>
  <c r="J61" i="9"/>
  <c r="J43" i="9" s="1"/>
  <c r="I36" i="9"/>
  <c r="J54" i="9" s="1"/>
  <c r="I84" i="9"/>
  <c r="I79" i="9"/>
  <c r="I35" i="9"/>
  <c r="J53" i="9" s="1"/>
  <c r="I34" i="9"/>
  <c r="J52" i="9" s="1"/>
  <c r="I73" i="9"/>
  <c r="I67" i="9" l="1"/>
  <c r="J51" i="9"/>
  <c r="J33" i="9" s="1"/>
  <c r="J40" i="9"/>
  <c r="J104" i="9"/>
  <c r="J119" i="9"/>
  <c r="J99" i="9"/>
  <c r="J39" i="9"/>
  <c r="J38" i="9"/>
  <c r="J94" i="9"/>
  <c r="J44" i="9"/>
  <c r="J124" i="9"/>
  <c r="J42" i="9"/>
  <c r="J114" i="9"/>
  <c r="J36" i="9"/>
  <c r="J84" i="9"/>
  <c r="J35" i="9"/>
  <c r="J79" i="9"/>
  <c r="J34" i="9"/>
  <c r="J73" i="9"/>
  <c r="J67" i="9" l="1"/>
  <c r="B45" i="9" l="1"/>
  <c r="B47" i="9" s="1"/>
  <c r="G18" i="5"/>
  <c r="H18" i="5" s="1"/>
  <c r="I18" i="5" s="1"/>
  <c r="J18" i="5" s="1"/>
  <c r="K18" i="5" s="1"/>
  <c r="L18" i="5" s="1"/>
  <c r="M18" i="5" s="1"/>
  <c r="N18" i="5" s="1"/>
  <c r="O18" i="5" s="1"/>
  <c r="G6" i="8"/>
  <c r="G14" i="8" s="1"/>
  <c r="C6" i="8"/>
  <c r="C14" i="8" s="1"/>
  <c r="D6" i="8"/>
  <c r="D14" i="8" s="1"/>
  <c r="E6" i="8"/>
  <c r="E14" i="8" s="1"/>
  <c r="F6" i="8"/>
  <c r="F14" i="8" s="1"/>
  <c r="D8" i="8"/>
  <c r="F8" i="8" l="1"/>
  <c r="C8" i="8"/>
  <c r="E8" i="8"/>
  <c r="C63" i="9"/>
  <c r="G29" i="5"/>
  <c r="B25" i="17" s="1"/>
  <c r="B32" i="17" s="1"/>
  <c r="C45" i="9" l="1"/>
  <c r="C47" i="9" s="1"/>
  <c r="H29" i="5" s="1"/>
  <c r="C25" i="17" s="1"/>
  <c r="C32" i="17" s="1"/>
  <c r="C129" i="9"/>
  <c r="C132" i="9" s="1"/>
  <c r="D63" i="9" l="1"/>
  <c r="H18" i="2"/>
  <c r="G18" i="2"/>
  <c r="D129" i="9" l="1"/>
  <c r="D132" i="9" s="1"/>
  <c r="I18" i="2" s="1"/>
  <c r="D45" i="9"/>
  <c r="D47" i="9" l="1"/>
  <c r="I29" i="5" s="1"/>
  <c r="D25" i="17" s="1"/>
  <c r="D32" i="17" s="1"/>
  <c r="E63" i="9"/>
  <c r="E129" i="9" l="1"/>
  <c r="E132" i="9" s="1"/>
  <c r="J18" i="2" s="1"/>
  <c r="E45" i="9"/>
  <c r="E47" i="9" l="1"/>
  <c r="J29" i="5" s="1"/>
  <c r="E25" i="17" s="1"/>
  <c r="E32" i="17" s="1"/>
  <c r="F63" i="9"/>
  <c r="F129" i="9" l="1"/>
  <c r="F132" i="9" s="1"/>
  <c r="K18" i="2" s="1"/>
  <c r="F45" i="9"/>
  <c r="G63" i="9" l="1"/>
  <c r="F47" i="9"/>
  <c r="K29" i="5" s="1"/>
  <c r="F25" i="17" s="1"/>
  <c r="F32" i="17" s="1"/>
  <c r="G45" i="9" l="1"/>
  <c r="G129" i="9"/>
  <c r="G132" i="9" s="1"/>
  <c r="L18" i="2" s="1"/>
  <c r="F30" i="16"/>
  <c r="D30" i="16"/>
  <c r="E30" i="16"/>
  <c r="C30" i="16"/>
  <c r="G47" i="9" l="1"/>
  <c r="L29" i="5" s="1"/>
  <c r="G25" i="17" s="1"/>
  <c r="G32" i="17" s="1"/>
  <c r="H63" i="9"/>
  <c r="C22" i="16"/>
  <c r="D22" i="16"/>
  <c r="E22" i="16"/>
  <c r="F22" i="16"/>
  <c r="B22" i="16"/>
  <c r="E15" i="5"/>
  <c r="F15" i="5"/>
  <c r="D15" i="5"/>
  <c r="C15" i="5"/>
  <c r="B15" i="5"/>
  <c r="B19" i="5" s="1"/>
  <c r="B7" i="12" l="1"/>
  <c r="H129" i="9"/>
  <c r="H132" i="9" s="1"/>
  <c r="M18" i="2" s="1"/>
  <c r="H45" i="9"/>
  <c r="E23" i="16"/>
  <c r="E24" i="16" s="1"/>
  <c r="E25" i="16"/>
  <c r="E26" i="16" s="1"/>
  <c r="B23" i="16"/>
  <c r="B24" i="16" s="1"/>
  <c r="B25" i="16"/>
  <c r="B26" i="16" s="1"/>
  <c r="C23" i="16"/>
  <c r="C24" i="16" s="1"/>
  <c r="C25" i="16"/>
  <c r="C26" i="16" s="1"/>
  <c r="D23" i="16"/>
  <c r="D24" i="16" s="1"/>
  <c r="D25" i="16"/>
  <c r="D26" i="16" s="1"/>
  <c r="F23" i="16"/>
  <c r="F24" i="16" s="1"/>
  <c r="F25" i="16"/>
  <c r="F26" i="16" s="1"/>
  <c r="C77" i="6"/>
  <c r="D77" i="6" s="1"/>
  <c r="E77" i="6" s="1"/>
  <c r="B8" i="16"/>
  <c r="C8" i="16"/>
  <c r="D8" i="16"/>
  <c r="E8" i="16"/>
  <c r="F8" i="16"/>
  <c r="B9" i="16"/>
  <c r="C9" i="16"/>
  <c r="D9" i="16"/>
  <c r="E9" i="16"/>
  <c r="F9" i="16"/>
  <c r="B11" i="16"/>
  <c r="C11" i="16"/>
  <c r="D11" i="16"/>
  <c r="E11" i="16"/>
  <c r="F11" i="16"/>
  <c r="B13" i="16"/>
  <c r="C13" i="16"/>
  <c r="D13" i="16"/>
  <c r="E13" i="16"/>
  <c r="F13" i="16"/>
  <c r="C7" i="16"/>
  <c r="D7" i="16"/>
  <c r="E7" i="16"/>
  <c r="F7" i="16"/>
  <c r="B7" i="16"/>
  <c r="F39" i="6" l="1"/>
  <c r="J39" i="6"/>
  <c r="E17" i="6"/>
  <c r="I17" i="6"/>
  <c r="D19" i="6"/>
  <c r="H19" i="6"/>
  <c r="C20" i="6"/>
  <c r="G20" i="6"/>
  <c r="B22" i="6"/>
  <c r="F22" i="6"/>
  <c r="J22" i="6"/>
  <c r="E23" i="6"/>
  <c r="I23" i="6"/>
  <c r="D25" i="6"/>
  <c r="H25" i="6"/>
  <c r="C29" i="6"/>
  <c r="G29" i="6"/>
  <c r="B30" i="6"/>
  <c r="F30" i="6"/>
  <c r="J30" i="6"/>
  <c r="E31" i="6"/>
  <c r="I31" i="6"/>
  <c r="D32" i="6"/>
  <c r="C33" i="6"/>
  <c r="G33" i="6"/>
  <c r="B37" i="6"/>
  <c r="F37" i="6"/>
  <c r="G39" i="6"/>
  <c r="B17" i="6"/>
  <c r="G7" i="10" s="1"/>
  <c r="F17" i="6"/>
  <c r="J17" i="6"/>
  <c r="E19" i="6"/>
  <c r="I19" i="6"/>
  <c r="D20" i="6"/>
  <c r="H20" i="6"/>
  <c r="C22" i="6"/>
  <c r="G22" i="6"/>
  <c r="B23" i="6"/>
  <c r="G17" i="10" s="1"/>
  <c r="F23" i="6"/>
  <c r="J23" i="6"/>
  <c r="E25" i="6"/>
  <c r="I25" i="6"/>
  <c r="D29" i="6"/>
  <c r="H29" i="6"/>
  <c r="C30" i="6"/>
  <c r="G30" i="6"/>
  <c r="B31" i="6"/>
  <c r="F31" i="6"/>
  <c r="J31" i="6"/>
  <c r="E32" i="6"/>
  <c r="D33" i="6"/>
  <c r="H33" i="6"/>
  <c r="C37" i="6"/>
  <c r="G37" i="6"/>
  <c r="B38" i="6"/>
  <c r="F38" i="6"/>
  <c r="J38" i="6"/>
  <c r="E39" i="6"/>
  <c r="E40" i="6"/>
  <c r="I40" i="6"/>
  <c r="D41" i="6"/>
  <c r="H41" i="6"/>
  <c r="C42" i="6"/>
  <c r="G42" i="6"/>
  <c r="B43" i="6"/>
  <c r="F43" i="6"/>
  <c r="J43" i="6"/>
  <c r="E44" i="6"/>
  <c r="I44" i="6"/>
  <c r="D45" i="6"/>
  <c r="H45" i="6"/>
  <c r="C46" i="6"/>
  <c r="G46" i="6"/>
  <c r="B47" i="6"/>
  <c r="F47" i="6"/>
  <c r="J47" i="6"/>
  <c r="F16" i="6"/>
  <c r="J16" i="6"/>
  <c r="F29" i="6"/>
  <c r="I30" i="6"/>
  <c r="H31" i="6"/>
  <c r="F33" i="6"/>
  <c r="I37" i="6"/>
  <c r="H38" i="6"/>
  <c r="C40" i="6"/>
  <c r="B41" i="6"/>
  <c r="J41" i="6"/>
  <c r="I42" i="6"/>
  <c r="H43" i="6"/>
  <c r="G44" i="6"/>
  <c r="F45" i="6"/>
  <c r="E46" i="6"/>
  <c r="D47" i="6"/>
  <c r="D16" i="6"/>
  <c r="H39" i="6"/>
  <c r="C17" i="6"/>
  <c r="G17" i="6"/>
  <c r="B19" i="6"/>
  <c r="F19" i="6"/>
  <c r="J19" i="6"/>
  <c r="E20" i="6"/>
  <c r="I20" i="6"/>
  <c r="D22" i="6"/>
  <c r="H22" i="6"/>
  <c r="C23" i="6"/>
  <c r="G23" i="6"/>
  <c r="B25" i="6"/>
  <c r="F25" i="6"/>
  <c r="J25" i="6"/>
  <c r="E29" i="6"/>
  <c r="I29" i="6"/>
  <c r="D30" i="6"/>
  <c r="H30" i="6"/>
  <c r="C31" i="6"/>
  <c r="G31" i="6"/>
  <c r="B32" i="6"/>
  <c r="E33" i="6"/>
  <c r="I33" i="6"/>
  <c r="D37" i="6"/>
  <c r="H37" i="6"/>
  <c r="C38" i="6"/>
  <c r="G38" i="6"/>
  <c r="B39" i="6"/>
  <c r="B40" i="6"/>
  <c r="G7" i="8" s="1"/>
  <c r="F40" i="6"/>
  <c r="J40" i="6"/>
  <c r="E41" i="6"/>
  <c r="I41" i="6"/>
  <c r="D42" i="6"/>
  <c r="H42" i="6"/>
  <c r="C43" i="6"/>
  <c r="G43" i="6"/>
  <c r="B44" i="6"/>
  <c r="F44" i="6"/>
  <c r="J44" i="6"/>
  <c r="E45" i="6"/>
  <c r="I45" i="6"/>
  <c r="D46" i="6"/>
  <c r="H46" i="6"/>
  <c r="C47" i="6"/>
  <c r="G47" i="6"/>
  <c r="C16" i="6"/>
  <c r="G16" i="6"/>
  <c r="B16" i="6"/>
  <c r="G6" i="10" s="1"/>
  <c r="I39" i="6"/>
  <c r="D17" i="6"/>
  <c r="H17" i="6"/>
  <c r="C19" i="6"/>
  <c r="G19" i="6"/>
  <c r="B20" i="6"/>
  <c r="G12" i="10" s="1"/>
  <c r="F20" i="6"/>
  <c r="J20" i="6"/>
  <c r="E22" i="6"/>
  <c r="I22" i="6"/>
  <c r="D23" i="6"/>
  <c r="H23" i="6"/>
  <c r="C25" i="6"/>
  <c r="G25" i="6"/>
  <c r="B29" i="6"/>
  <c r="J29" i="6"/>
  <c r="E30" i="6"/>
  <c r="D31" i="6"/>
  <c r="C32" i="6"/>
  <c r="B33" i="6"/>
  <c r="J33" i="6"/>
  <c r="E37" i="6"/>
  <c r="D38" i="6"/>
  <c r="C39" i="6"/>
  <c r="G40" i="6"/>
  <c r="F41" i="6"/>
  <c r="E42" i="6"/>
  <c r="D43" i="6"/>
  <c r="C44" i="6"/>
  <c r="B45" i="6"/>
  <c r="J45" i="6"/>
  <c r="I46" i="6"/>
  <c r="H47" i="6"/>
  <c r="I38" i="6"/>
  <c r="C41" i="6"/>
  <c r="J42" i="6"/>
  <c r="H44" i="6"/>
  <c r="F46" i="6"/>
  <c r="E16" i="6"/>
  <c r="D39" i="6"/>
  <c r="G41" i="6"/>
  <c r="E43" i="6"/>
  <c r="C45" i="6"/>
  <c r="J46" i="6"/>
  <c r="H16" i="6"/>
  <c r="J37" i="6"/>
  <c r="D40" i="6"/>
  <c r="B42" i="6"/>
  <c r="I43" i="6"/>
  <c r="G45" i="6"/>
  <c r="E47" i="6"/>
  <c r="I16" i="6"/>
  <c r="E38" i="6"/>
  <c r="H40" i="6"/>
  <c r="F42" i="6"/>
  <c r="D44" i="6"/>
  <c r="B46" i="6"/>
  <c r="G44" i="5" s="1"/>
  <c r="I47" i="6"/>
  <c r="G16" i="5"/>
  <c r="I63" i="9"/>
  <c r="H47" i="9"/>
  <c r="M29" i="5" s="1"/>
  <c r="H25" i="17" s="1"/>
  <c r="H32" i="17" s="1"/>
  <c r="G8" i="8"/>
  <c r="G16" i="10"/>
  <c r="G11" i="10"/>
  <c r="F77" i="6"/>
  <c r="F32" i="6" s="1"/>
  <c r="H44" i="5" l="1"/>
  <c r="I44" i="5" s="1"/>
  <c r="J44" i="5" s="1"/>
  <c r="K44" i="5" s="1"/>
  <c r="L44" i="5" s="1"/>
  <c r="M44" i="5" s="1"/>
  <c r="N44" i="5" s="1"/>
  <c r="O44" i="5" s="1"/>
  <c r="B15" i="17"/>
  <c r="H16" i="5"/>
  <c r="I45" i="9"/>
  <c r="I129" i="9"/>
  <c r="I132" i="9" s="1"/>
  <c r="N18" i="2" s="1"/>
  <c r="H6" i="10"/>
  <c r="I6" i="10" s="1"/>
  <c r="J6" i="10" s="1"/>
  <c r="K6" i="10" s="1"/>
  <c r="L6" i="10" s="1"/>
  <c r="M6" i="10" s="1"/>
  <c r="N6" i="10" s="1"/>
  <c r="O6" i="10" s="1"/>
  <c r="H12" i="10"/>
  <c r="I12" i="10" s="1"/>
  <c r="J12" i="10" s="1"/>
  <c r="K12" i="10" s="1"/>
  <c r="L12" i="10" s="1"/>
  <c r="M12" i="10" s="1"/>
  <c r="N12" i="10" s="1"/>
  <c r="O12" i="10" s="1"/>
  <c r="H11" i="10"/>
  <c r="I11" i="10" s="1"/>
  <c r="J11" i="10" s="1"/>
  <c r="K11" i="10" s="1"/>
  <c r="L11" i="10" s="1"/>
  <c r="M11" i="10" s="1"/>
  <c r="N11" i="10" s="1"/>
  <c r="O11" i="10" s="1"/>
  <c r="H16" i="10"/>
  <c r="I16" i="10" s="1"/>
  <c r="J16" i="10" s="1"/>
  <c r="K16" i="10" s="1"/>
  <c r="L16" i="10" s="1"/>
  <c r="M16" i="10" s="1"/>
  <c r="N16" i="10" s="1"/>
  <c r="O16" i="10" s="1"/>
  <c r="H17" i="10"/>
  <c r="I17" i="10" s="1"/>
  <c r="J17" i="10" s="1"/>
  <c r="K17" i="10" s="1"/>
  <c r="L17" i="10" s="1"/>
  <c r="M17" i="10" s="1"/>
  <c r="N17" i="10" s="1"/>
  <c r="O17" i="10" s="1"/>
  <c r="H7" i="10"/>
  <c r="I7" i="10" s="1"/>
  <c r="J7" i="10" s="1"/>
  <c r="K7" i="10" s="1"/>
  <c r="L7" i="10" s="1"/>
  <c r="M7" i="10" s="1"/>
  <c r="N7" i="10" s="1"/>
  <c r="O7" i="10" s="1"/>
  <c r="G77" i="6"/>
  <c r="G32" i="6" s="1"/>
  <c r="I16" i="5" l="1"/>
  <c r="C15" i="17"/>
  <c r="I47" i="9"/>
  <c r="N29" i="5" s="1"/>
  <c r="I25" i="17" s="1"/>
  <c r="I32" i="17" s="1"/>
  <c r="J63" i="9"/>
  <c r="G9" i="8"/>
  <c r="H6" i="8" s="1"/>
  <c r="E11" i="19"/>
  <c r="B16" i="17"/>
  <c r="B18" i="17" s="1"/>
  <c r="H77" i="6"/>
  <c r="H32" i="6" s="1"/>
  <c r="G15" i="8" l="1"/>
  <c r="B7" i="17" s="1"/>
  <c r="J16" i="5"/>
  <c r="D15" i="17"/>
  <c r="J45" i="9"/>
  <c r="J129" i="9"/>
  <c r="J132" i="9" s="1"/>
  <c r="O18" i="2" s="1"/>
  <c r="H8" i="8"/>
  <c r="H7" i="8"/>
  <c r="F11" i="19" s="1"/>
  <c r="I77" i="6"/>
  <c r="I32" i="6" s="1"/>
  <c r="G17" i="8" l="1"/>
  <c r="G20" i="8" s="1"/>
  <c r="G16" i="2"/>
  <c r="E9" i="19" s="1"/>
  <c r="K16" i="5"/>
  <c r="E15" i="17"/>
  <c r="J47" i="9"/>
  <c r="O29" i="5" s="1"/>
  <c r="J25" i="17" s="1"/>
  <c r="J32" i="17" s="1"/>
  <c r="C16" i="17"/>
  <c r="C18" i="17" s="1"/>
  <c r="G17" i="5"/>
  <c r="H9" i="8"/>
  <c r="I6" i="8" s="1"/>
  <c r="J77" i="6"/>
  <c r="J32" i="6" s="1"/>
  <c r="H14" i="8" l="1"/>
  <c r="L16" i="5"/>
  <c r="F15" i="17"/>
  <c r="H15" i="8"/>
  <c r="H17" i="8" s="1"/>
  <c r="I7" i="8"/>
  <c r="G11" i="19" s="1"/>
  <c r="I8" i="8"/>
  <c r="M16" i="5" l="1"/>
  <c r="G15" i="17"/>
  <c r="H16" i="2"/>
  <c r="F9" i="19" s="1"/>
  <c r="C7" i="17"/>
  <c r="D16" i="17"/>
  <c r="D18" i="17" s="1"/>
  <c r="I14" i="8"/>
  <c r="H17" i="5"/>
  <c r="H20" i="8"/>
  <c r="I9" i="8"/>
  <c r="I15" i="8" s="1"/>
  <c r="C18" i="10"/>
  <c r="D18" i="10"/>
  <c r="E18" i="10"/>
  <c r="F18" i="10"/>
  <c r="G18" i="10"/>
  <c r="H18" i="10"/>
  <c r="I18" i="10"/>
  <c r="J18" i="10"/>
  <c r="K18" i="10"/>
  <c r="L18" i="10"/>
  <c r="M18" i="10"/>
  <c r="N18" i="10"/>
  <c r="O18" i="10"/>
  <c r="B18" i="10"/>
  <c r="C13" i="10"/>
  <c r="D13" i="10"/>
  <c r="E13" i="10"/>
  <c r="F13" i="10"/>
  <c r="G13" i="10"/>
  <c r="H13" i="10"/>
  <c r="I13" i="10"/>
  <c r="J13" i="10"/>
  <c r="K13" i="10"/>
  <c r="L13" i="10"/>
  <c r="M13" i="10"/>
  <c r="N13" i="10"/>
  <c r="O13" i="10"/>
  <c r="B13" i="10"/>
  <c r="G8" i="10"/>
  <c r="H8" i="10"/>
  <c r="I8" i="10"/>
  <c r="J8" i="10"/>
  <c r="K8" i="10"/>
  <c r="L8" i="10"/>
  <c r="M8" i="10"/>
  <c r="N8" i="10"/>
  <c r="O8" i="10"/>
  <c r="C8" i="10"/>
  <c r="D8" i="10"/>
  <c r="E8" i="10"/>
  <c r="F8" i="10"/>
  <c r="B8" i="10"/>
  <c r="B22" i="10" l="1"/>
  <c r="N16" i="5"/>
  <c r="H15" i="17"/>
  <c r="J6" i="8"/>
  <c r="J7" i="8" s="1"/>
  <c r="H11" i="19" s="1"/>
  <c r="I17" i="8"/>
  <c r="I20" i="8" s="1"/>
  <c r="D7" i="17"/>
  <c r="I16" i="2"/>
  <c r="G9" i="19" s="1"/>
  <c r="D22" i="10"/>
  <c r="J22" i="10"/>
  <c r="J6" i="2" s="1"/>
  <c r="J20" i="2" s="1"/>
  <c r="N22" i="10"/>
  <c r="N6" i="2" s="1"/>
  <c r="N20" i="2" s="1"/>
  <c r="F22" i="10"/>
  <c r="O22" i="10"/>
  <c r="O6" i="2" s="1"/>
  <c r="K22" i="10"/>
  <c r="K6" i="2" s="1"/>
  <c r="C22" i="10"/>
  <c r="E22" i="10"/>
  <c r="M22" i="10"/>
  <c r="M6" i="2" s="1"/>
  <c r="I22" i="10"/>
  <c r="I6" i="2" s="1"/>
  <c r="G22" i="10"/>
  <c r="G6" i="2" s="1"/>
  <c r="L22" i="10"/>
  <c r="L6" i="2" s="1"/>
  <c r="H22" i="10"/>
  <c r="H6" i="2" s="1"/>
  <c r="I17" i="5" l="1"/>
  <c r="O16" i="5"/>
  <c r="J15" i="17" s="1"/>
  <c r="I15" i="17"/>
  <c r="J8" i="8"/>
  <c r="J9" i="8" s="1"/>
  <c r="J15" i="8" s="1"/>
  <c r="J14" i="8"/>
  <c r="E16" i="17"/>
  <c r="E18" i="17" s="1"/>
  <c r="J13" i="2"/>
  <c r="J7" i="2"/>
  <c r="J9" i="2" s="1"/>
  <c r="N7" i="2"/>
  <c r="N9" i="2" s="1"/>
  <c r="J15" i="2"/>
  <c r="J14" i="5" s="1"/>
  <c r="J14" i="2"/>
  <c r="J13" i="5" s="1"/>
  <c r="J17" i="2"/>
  <c r="N15" i="2"/>
  <c r="N14" i="5" s="1"/>
  <c r="N13" i="2"/>
  <c r="N14" i="2"/>
  <c r="N13" i="5" s="1"/>
  <c r="N17" i="2"/>
  <c r="K20" i="2"/>
  <c r="K17" i="2"/>
  <c r="M17" i="2"/>
  <c r="M20" i="2"/>
  <c r="L17" i="2"/>
  <c r="L20" i="2"/>
  <c r="I17" i="2"/>
  <c r="I20" i="2"/>
  <c r="O20" i="2"/>
  <c r="O17" i="2"/>
  <c r="H20" i="2"/>
  <c r="H17" i="2"/>
  <c r="G17" i="2"/>
  <c r="G20" i="2"/>
  <c r="G14" i="2"/>
  <c r="G13" i="5" s="1"/>
  <c r="B7" i="18" s="1"/>
  <c r="G15" i="2"/>
  <c r="G14" i="5" s="1"/>
  <c r="B8" i="18" s="1"/>
  <c r="G13" i="2"/>
  <c r="O14" i="2"/>
  <c r="O13" i="5" s="1"/>
  <c r="O15" i="2"/>
  <c r="O14" i="5" s="1"/>
  <c r="O13" i="2"/>
  <c r="I15" i="2"/>
  <c r="I14" i="5" s="1"/>
  <c r="I13" i="2"/>
  <c r="I14" i="2"/>
  <c r="I13" i="5" s="1"/>
  <c r="K14" i="2"/>
  <c r="K13" i="5" s="1"/>
  <c r="K15" i="2"/>
  <c r="K14" i="5" s="1"/>
  <c r="K13" i="2"/>
  <c r="H14" i="2"/>
  <c r="H13" i="5" s="1"/>
  <c r="H15" i="2"/>
  <c r="H14" i="5" s="1"/>
  <c r="H13" i="2"/>
  <c r="M15" i="2"/>
  <c r="M14" i="5" s="1"/>
  <c r="M13" i="2"/>
  <c r="M14" i="2"/>
  <c r="M13" i="5" s="1"/>
  <c r="L14" i="2"/>
  <c r="L13" i="5" s="1"/>
  <c r="L15" i="2"/>
  <c r="L14" i="5" s="1"/>
  <c r="L13" i="2"/>
  <c r="O7" i="2"/>
  <c r="O9" i="2" s="1"/>
  <c r="O24" i="5" s="1"/>
  <c r="G7" i="2"/>
  <c r="G9" i="2" s="1"/>
  <c r="G24" i="5" s="1"/>
  <c r="I7" i="2"/>
  <c r="I9" i="2" s="1"/>
  <c r="I24" i="5" s="1"/>
  <c r="K7" i="2"/>
  <c r="K9" i="2" s="1"/>
  <c r="K24" i="5" s="1"/>
  <c r="L7" i="2"/>
  <c r="L9" i="2" s="1"/>
  <c r="L24" i="5" s="1"/>
  <c r="H7" i="2"/>
  <c r="H9" i="2" s="1"/>
  <c r="H24" i="5" s="1"/>
  <c r="M7" i="2"/>
  <c r="M9" i="2" s="1"/>
  <c r="M24" i="5" s="1"/>
  <c r="C7" i="18" l="1"/>
  <c r="C8" i="18"/>
  <c r="F7" i="18"/>
  <c r="H7" i="18"/>
  <c r="J8" i="18"/>
  <c r="G8" i="18"/>
  <c r="E8" i="18"/>
  <c r="O25" i="5"/>
  <c r="O27" i="5" s="1"/>
  <c r="N8" i="5"/>
  <c r="I38" i="17" s="1"/>
  <c r="N24" i="5"/>
  <c r="I9" i="18" s="1"/>
  <c r="H9" i="18"/>
  <c r="M36" i="16"/>
  <c r="D7" i="18"/>
  <c r="I7" i="18"/>
  <c r="E7" i="18"/>
  <c r="J10" i="5"/>
  <c r="J24" i="5"/>
  <c r="G9" i="18"/>
  <c r="L36" i="16"/>
  <c r="K36" i="16"/>
  <c r="C9" i="18"/>
  <c r="H36" i="16"/>
  <c r="D9" i="18"/>
  <c r="I36" i="16"/>
  <c r="H8" i="18"/>
  <c r="J7" i="18"/>
  <c r="B9" i="18"/>
  <c r="G36" i="16"/>
  <c r="G7" i="18"/>
  <c r="F8" i="18"/>
  <c r="D8" i="18"/>
  <c r="I8" i="18"/>
  <c r="H25" i="5"/>
  <c r="G12" i="5"/>
  <c r="B6" i="18" s="1"/>
  <c r="G25" i="5"/>
  <c r="G21" i="2"/>
  <c r="M25" i="5"/>
  <c r="L25" i="5"/>
  <c r="K12" i="5"/>
  <c r="K25" i="5"/>
  <c r="I12" i="5"/>
  <c r="I25" i="5"/>
  <c r="N12" i="5"/>
  <c r="N25" i="5"/>
  <c r="J12" i="5"/>
  <c r="J25" i="5"/>
  <c r="K6" i="8"/>
  <c r="K7" i="8" s="1"/>
  <c r="I11" i="19" s="1"/>
  <c r="J17" i="8"/>
  <c r="J17" i="5" s="1"/>
  <c r="E7" i="17"/>
  <c r="J16" i="2"/>
  <c r="J8" i="5"/>
  <c r="N10" i="5"/>
  <c r="L12" i="5"/>
  <c r="H12" i="5"/>
  <c r="C6" i="18" s="1"/>
  <c r="M12" i="5"/>
  <c r="O12" i="5"/>
  <c r="K8" i="5"/>
  <c r="F38" i="17" s="1"/>
  <c r="K10" i="5"/>
  <c r="H8" i="5"/>
  <c r="H10" i="5"/>
  <c r="L8" i="5"/>
  <c r="G38" i="17" s="1"/>
  <c r="L10" i="5"/>
  <c r="M8" i="5"/>
  <c r="H38" i="17" s="1"/>
  <c r="M10" i="5"/>
  <c r="G8" i="5"/>
  <c r="G10" i="5"/>
  <c r="I8" i="5"/>
  <c r="D38" i="17" s="1"/>
  <c r="I10" i="5"/>
  <c r="O8" i="5"/>
  <c r="J38" i="17" s="1"/>
  <c r="O10" i="5"/>
  <c r="H21" i="2"/>
  <c r="I21" i="2"/>
  <c r="C21" i="2"/>
  <c r="D21" i="2"/>
  <c r="F21" i="2"/>
  <c r="C9" i="2"/>
  <c r="C36" i="16" s="1"/>
  <c r="B9" i="2"/>
  <c r="B36" i="16" s="1"/>
  <c r="D9" i="2"/>
  <c r="D36" i="16" s="1"/>
  <c r="E9" i="2"/>
  <c r="E36" i="16" s="1"/>
  <c r="D5" i="18" l="1"/>
  <c r="E6" i="18"/>
  <c r="J21" i="2"/>
  <c r="J24" i="2" s="1"/>
  <c r="H9" i="19"/>
  <c r="H6" i="18"/>
  <c r="F6" i="18"/>
  <c r="H5" i="18"/>
  <c r="J6" i="18"/>
  <c r="K27" i="5"/>
  <c r="F10" i="18"/>
  <c r="I6" i="18"/>
  <c r="G27" i="5"/>
  <c r="B10" i="18"/>
  <c r="E9" i="18"/>
  <c r="J36" i="16"/>
  <c r="N27" i="5"/>
  <c r="I10" i="18"/>
  <c r="H27" i="5"/>
  <c r="C10" i="18"/>
  <c r="J27" i="5"/>
  <c r="E10" i="18"/>
  <c r="I27" i="5"/>
  <c r="D10" i="18"/>
  <c r="L27" i="5"/>
  <c r="G10" i="18"/>
  <c r="F9" i="18"/>
  <c r="J10" i="18"/>
  <c r="G6" i="18"/>
  <c r="D6" i="18"/>
  <c r="M27" i="5"/>
  <c r="H10" i="18"/>
  <c r="J9" i="18"/>
  <c r="F16" i="17"/>
  <c r="F18" i="17" s="1"/>
  <c r="E5" i="18"/>
  <c r="C5" i="18"/>
  <c r="B5" i="18"/>
  <c r="I5" i="18"/>
  <c r="J5" i="18"/>
  <c r="G5" i="18"/>
  <c r="F5" i="18"/>
  <c r="J20" i="8"/>
  <c r="K14" i="8"/>
  <c r="K8" i="8"/>
  <c r="K9" i="8" s="1"/>
  <c r="L6" i="8" s="1"/>
  <c r="J15" i="5"/>
  <c r="J19" i="5" s="1"/>
  <c r="E38" i="17"/>
  <c r="G15" i="5"/>
  <c r="G19" i="5" s="1"/>
  <c r="B38" i="17"/>
  <c r="C38" i="17"/>
  <c r="H15" i="5"/>
  <c r="H19" i="5" s="1"/>
  <c r="I24" i="2"/>
  <c r="G24" i="2"/>
  <c r="H24" i="2"/>
  <c r="O34" i="5"/>
  <c r="N15" i="5"/>
  <c r="K15" i="5"/>
  <c r="O15" i="5"/>
  <c r="L15" i="5"/>
  <c r="I15" i="5"/>
  <c r="I19" i="5" s="1"/>
  <c r="M15" i="5"/>
  <c r="D18" i="16"/>
  <c r="D19" i="16"/>
  <c r="D20" i="16" s="1"/>
  <c r="B19" i="16"/>
  <c r="B20" i="16" s="1"/>
  <c r="B18" i="16"/>
  <c r="C18" i="16"/>
  <c r="C19" i="16"/>
  <c r="C20" i="16" s="1"/>
  <c r="E19" i="16"/>
  <c r="E20" i="16" s="1"/>
  <c r="E18" i="16"/>
  <c r="C19" i="11"/>
  <c r="J25" i="2" l="1"/>
  <c r="J26" i="2" s="1"/>
  <c r="J28" i="2" s="1"/>
  <c r="H6" i="19"/>
  <c r="H8" i="19" s="1"/>
  <c r="H25" i="2"/>
  <c r="H26" i="2" s="1"/>
  <c r="H28" i="2" s="1"/>
  <c r="F6" i="19"/>
  <c r="F8" i="19" s="1"/>
  <c r="I25" i="2"/>
  <c r="I26" i="2" s="1"/>
  <c r="D6" i="17" s="1"/>
  <c r="G6" i="19"/>
  <c r="G8" i="19" s="1"/>
  <c r="G25" i="2"/>
  <c r="G26" i="2" s="1"/>
  <c r="B6" i="17" s="1"/>
  <c r="E6" i="19"/>
  <c r="E8" i="19" s="1"/>
  <c r="I7" i="12"/>
  <c r="J7" i="12"/>
  <c r="H7" i="12"/>
  <c r="L34" i="5"/>
  <c r="G12" i="18"/>
  <c r="N34" i="5"/>
  <c r="I12" i="18"/>
  <c r="I34" i="5"/>
  <c r="D12" i="18"/>
  <c r="K34" i="5"/>
  <c r="F12" i="18"/>
  <c r="J34" i="5"/>
  <c r="E12" i="18"/>
  <c r="M34" i="5"/>
  <c r="H12" i="18"/>
  <c r="H34" i="5"/>
  <c r="C12" i="18"/>
  <c r="G34" i="5"/>
  <c r="B12" i="18"/>
  <c r="J12" i="18"/>
  <c r="K15" i="8"/>
  <c r="L7" i="8"/>
  <c r="J11" i="19" s="1"/>
  <c r="L8" i="8"/>
  <c r="E21" i="2"/>
  <c r="E6" i="17" l="1"/>
  <c r="I28" i="2"/>
  <c r="I6" i="12" s="1"/>
  <c r="J5" i="12"/>
  <c r="J33" i="2"/>
  <c r="G28" i="2"/>
  <c r="G33" i="2" s="1"/>
  <c r="G40" i="5" s="1"/>
  <c r="G50" i="5" s="1"/>
  <c r="H33" i="2"/>
  <c r="H5" i="12"/>
  <c r="H6" i="12"/>
  <c r="C6" i="17"/>
  <c r="E10" i="17"/>
  <c r="H10" i="19"/>
  <c r="H12" i="19" s="1"/>
  <c r="H14" i="19" s="1"/>
  <c r="G10" i="17"/>
  <c r="J10" i="19"/>
  <c r="F10" i="17"/>
  <c r="I10" i="19"/>
  <c r="C10" i="17"/>
  <c r="F10" i="19"/>
  <c r="F12" i="19" s="1"/>
  <c r="F14" i="19" s="1"/>
  <c r="D10" i="17"/>
  <c r="D11" i="17" s="1"/>
  <c r="D35" i="17" s="1"/>
  <c r="D37" i="17" s="1"/>
  <c r="D39" i="17" s="1"/>
  <c r="G10" i="19"/>
  <c r="G12" i="19" s="1"/>
  <c r="G14" i="19" s="1"/>
  <c r="J10" i="17"/>
  <c r="M10" i="19"/>
  <c r="B10" i="17"/>
  <c r="B11" i="17" s="1"/>
  <c r="E10" i="19"/>
  <c r="E12" i="19" s="1"/>
  <c r="E14" i="19" s="1"/>
  <c r="H10" i="17"/>
  <c r="K10" i="19"/>
  <c r="I10" i="17"/>
  <c r="L10" i="19"/>
  <c r="J6" i="12"/>
  <c r="G16" i="17"/>
  <c r="G18" i="17" s="1"/>
  <c r="L9" i="8"/>
  <c r="M6" i="8" s="1"/>
  <c r="K17" i="8"/>
  <c r="F7" i="17"/>
  <c r="K16" i="2"/>
  <c r="B24" i="2"/>
  <c r="F9" i="2"/>
  <c r="F36" i="16" s="1"/>
  <c r="C43" i="5"/>
  <c r="C45" i="5" s="1"/>
  <c r="D43" i="5"/>
  <c r="D45" i="5" s="1"/>
  <c r="E43" i="5"/>
  <c r="E45" i="5" s="1"/>
  <c r="F43" i="5"/>
  <c r="F45" i="5" s="1"/>
  <c r="B43" i="5"/>
  <c r="B45" i="5" s="1"/>
  <c r="C34" i="5"/>
  <c r="D34" i="5"/>
  <c r="E34" i="5"/>
  <c r="F34" i="5"/>
  <c r="B34" i="5"/>
  <c r="C19" i="5"/>
  <c r="D19" i="5"/>
  <c r="E19" i="5"/>
  <c r="F19" i="5"/>
  <c r="E7" i="12" l="1"/>
  <c r="D7" i="12"/>
  <c r="C7" i="12"/>
  <c r="F5" i="12"/>
  <c r="F7" i="12"/>
  <c r="G6" i="12"/>
  <c r="B35" i="17"/>
  <c r="B37" i="17" s="1"/>
  <c r="B39" i="17" s="1"/>
  <c r="I5" i="12"/>
  <c r="E11" i="17"/>
  <c r="E35" i="17" s="1"/>
  <c r="E37" i="17" s="1"/>
  <c r="E39" i="17" s="1"/>
  <c r="C11" i="17"/>
  <c r="C35" i="17" s="1"/>
  <c r="C37" i="17" s="1"/>
  <c r="C39" i="17" s="1"/>
  <c r="G51" i="5"/>
  <c r="I33" i="2"/>
  <c r="L15" i="8"/>
  <c r="G7" i="17" s="1"/>
  <c r="H40" i="5"/>
  <c r="H51" i="5" s="1"/>
  <c r="G43" i="5"/>
  <c r="G45" i="5" s="1"/>
  <c r="G47" i="5" s="1"/>
  <c r="K21" i="2"/>
  <c r="K24" i="2" s="1"/>
  <c r="I9" i="19"/>
  <c r="N10" i="19"/>
  <c r="K20" i="8"/>
  <c r="K17" i="5"/>
  <c r="K19" i="5" s="1"/>
  <c r="L14" i="8"/>
  <c r="G7" i="12"/>
  <c r="G5" i="12"/>
  <c r="M7" i="8"/>
  <c r="M8" i="8"/>
  <c r="F18" i="16"/>
  <c r="F19" i="16"/>
  <c r="F20" i="16" s="1"/>
  <c r="E47" i="5"/>
  <c r="D47" i="5"/>
  <c r="B47" i="5"/>
  <c r="F47" i="5"/>
  <c r="F24" i="2"/>
  <c r="F26" i="2" s="1"/>
  <c r="F28" i="2" s="1"/>
  <c r="E24" i="2"/>
  <c r="E26" i="2" s="1"/>
  <c r="E28" i="2" s="1"/>
  <c r="D24" i="2"/>
  <c r="D26" i="2" s="1"/>
  <c r="D28" i="2" s="1"/>
  <c r="D5" i="12" s="1"/>
  <c r="C47" i="5"/>
  <c r="C24" i="2"/>
  <c r="C26" i="2" s="1"/>
  <c r="C28" i="2" s="1"/>
  <c r="C5" i="12" s="1"/>
  <c r="B26" i="2"/>
  <c r="B28" i="2" s="1"/>
  <c r="B33" i="2" l="1"/>
  <c r="B6" i="12"/>
  <c r="B5" i="12"/>
  <c r="E33" i="2"/>
  <c r="E6" i="12"/>
  <c r="F33" i="2"/>
  <c r="F6" i="12"/>
  <c r="D33" i="2"/>
  <c r="D6" i="12"/>
  <c r="E5" i="12"/>
  <c r="C33" i="2"/>
  <c r="C6" i="12"/>
  <c r="L16" i="2"/>
  <c r="J9" i="19" s="1"/>
  <c r="L17" i="8"/>
  <c r="M14" i="8" s="1"/>
  <c r="H50" i="5"/>
  <c r="H43" i="5"/>
  <c r="H45" i="5" s="1"/>
  <c r="H47" i="5" s="1"/>
  <c r="I40" i="5"/>
  <c r="I43" i="5" s="1"/>
  <c r="I45" i="5" s="1"/>
  <c r="I47" i="5" s="1"/>
  <c r="K7" i="12"/>
  <c r="H16" i="17"/>
  <c r="H18" i="17" s="1"/>
  <c r="K11" i="19"/>
  <c r="L21" i="2"/>
  <c r="L24" i="2" s="1"/>
  <c r="K25" i="2"/>
  <c r="K26" i="2" s="1"/>
  <c r="I6" i="19"/>
  <c r="I8" i="19" s="1"/>
  <c r="I12" i="19" s="1"/>
  <c r="I14" i="19" s="1"/>
  <c r="M9" i="8"/>
  <c r="M15" i="8" s="1"/>
  <c r="I51" i="5" l="1"/>
  <c r="L20" i="8"/>
  <c r="L17" i="5"/>
  <c r="L19" i="5" s="1"/>
  <c r="L7" i="12" s="1"/>
  <c r="I50" i="5"/>
  <c r="J40" i="5"/>
  <c r="J50" i="5" s="1"/>
  <c r="L25" i="2"/>
  <c r="L26" i="2" s="1"/>
  <c r="J6" i="19"/>
  <c r="J8" i="19" s="1"/>
  <c r="J12" i="19" s="1"/>
  <c r="J14" i="19" s="1"/>
  <c r="K28" i="2"/>
  <c r="F6" i="17"/>
  <c r="F11" i="17" s="1"/>
  <c r="F35" i="17" s="1"/>
  <c r="F37" i="17" s="1"/>
  <c r="F39" i="17" s="1"/>
  <c r="N6" i="8"/>
  <c r="N8" i="8" s="1"/>
  <c r="M17" i="8"/>
  <c r="M20" i="8" s="1"/>
  <c r="H7" i="17"/>
  <c r="M16" i="2"/>
  <c r="J43" i="5" l="1"/>
  <c r="J45" i="5" s="1"/>
  <c r="J47" i="5" s="1"/>
  <c r="J51" i="5"/>
  <c r="N7" i="8"/>
  <c r="L11" i="19" s="1"/>
  <c r="M17" i="5"/>
  <c r="M19" i="5" s="1"/>
  <c r="K33" i="2"/>
  <c r="K40" i="5" s="1"/>
  <c r="K51" i="5" s="1"/>
  <c r="K6" i="12"/>
  <c r="K5" i="12"/>
  <c r="M21" i="2"/>
  <c r="M24" i="2" s="1"/>
  <c r="K9" i="19"/>
  <c r="G6" i="17"/>
  <c r="G11" i="17" s="1"/>
  <c r="G35" i="17" s="1"/>
  <c r="G37" i="17" s="1"/>
  <c r="G39" i="17" s="1"/>
  <c r="L28" i="2"/>
  <c r="N14" i="8"/>
  <c r="N9" i="8" l="1"/>
  <c r="N15" i="8" s="1"/>
  <c r="N17" i="8" s="1"/>
  <c r="O14" i="8" s="1"/>
  <c r="K43" i="5"/>
  <c r="K45" i="5" s="1"/>
  <c r="K47" i="5" s="1"/>
  <c r="I16" i="17"/>
  <c r="I18" i="17" s="1"/>
  <c r="L6" i="12"/>
  <c r="L33" i="2"/>
  <c r="L40" i="5" s="1"/>
  <c r="L5" i="12"/>
  <c r="M25" i="2"/>
  <c r="M26" i="2" s="1"/>
  <c r="K6" i="19"/>
  <c r="K8" i="19" s="1"/>
  <c r="K12" i="19" s="1"/>
  <c r="K14" i="19" s="1"/>
  <c r="K50" i="5"/>
  <c r="M7" i="12"/>
  <c r="I7" i="17" l="1"/>
  <c r="O6" i="8"/>
  <c r="O7" i="8" s="1"/>
  <c r="M11" i="19" s="1"/>
  <c r="N11" i="19" s="1"/>
  <c r="N9" i="19" s="1"/>
  <c r="N16" i="2"/>
  <c r="N21" i="2" s="1"/>
  <c r="N24" i="2" s="1"/>
  <c r="N20" i="8"/>
  <c r="N17" i="5"/>
  <c r="N19" i="5" s="1"/>
  <c r="L50" i="5"/>
  <c r="L51" i="5"/>
  <c r="L43" i="5"/>
  <c r="L45" i="5" s="1"/>
  <c r="L47" i="5" s="1"/>
  <c r="H6" i="17"/>
  <c r="H11" i="17" s="1"/>
  <c r="H35" i="17" s="1"/>
  <c r="H37" i="17" s="1"/>
  <c r="H39" i="17" s="1"/>
  <c r="M28" i="2"/>
  <c r="J16" i="17"/>
  <c r="J18" i="17" s="1"/>
  <c r="O8" i="8"/>
  <c r="O9" i="8" s="1"/>
  <c r="O15" i="8" s="1"/>
  <c r="L9" i="19" l="1"/>
  <c r="N7" i="12"/>
  <c r="N25" i="2"/>
  <c r="N26" i="2" s="1"/>
  <c r="L6" i="19"/>
  <c r="L8" i="19" s="1"/>
  <c r="M33" i="2"/>
  <c r="M40" i="5" s="1"/>
  <c r="M6" i="12"/>
  <c r="M5" i="12"/>
  <c r="O17" i="8"/>
  <c r="O20" i="8" s="1"/>
  <c r="J7" i="17"/>
  <c r="O16" i="2"/>
  <c r="L12" i="19" l="1"/>
  <c r="L14" i="19" s="1"/>
  <c r="I6" i="17"/>
  <c r="I11" i="17" s="1"/>
  <c r="I35" i="17" s="1"/>
  <c r="I37" i="17" s="1"/>
  <c r="I39" i="17" s="1"/>
  <c r="N28" i="2"/>
  <c r="O21" i="2"/>
  <c r="O24" i="2" s="1"/>
  <c r="M9" i="19"/>
  <c r="M51" i="5"/>
  <c r="M50" i="5"/>
  <c r="M43" i="5"/>
  <c r="M45" i="5" s="1"/>
  <c r="M47" i="5" s="1"/>
  <c r="O17" i="5"/>
  <c r="O19" i="5" s="1"/>
  <c r="O25" i="2" l="1"/>
  <c r="O26" i="2" s="1"/>
  <c r="M6" i="19"/>
  <c r="N6" i="12"/>
  <c r="N33" i="2"/>
  <c r="N40" i="5" s="1"/>
  <c r="N5" i="12"/>
  <c r="O7" i="12"/>
  <c r="N50" i="5" l="1"/>
  <c r="N51" i="5"/>
  <c r="N43" i="5"/>
  <c r="N45" i="5" s="1"/>
  <c r="N47" i="5" s="1"/>
  <c r="N6" i="19"/>
  <c r="N8" i="19" s="1"/>
  <c r="N12" i="19" s="1"/>
  <c r="M13" i="19" s="1"/>
  <c r="M8" i="19"/>
  <c r="M12" i="19" s="1"/>
  <c r="O28" i="2"/>
  <c r="J6" i="17"/>
  <c r="J11" i="17" s="1"/>
  <c r="J35" i="17" s="1"/>
  <c r="J37" i="17" s="1"/>
  <c r="J39" i="17" s="1"/>
  <c r="M14" i="19" l="1"/>
  <c r="E16" i="19" s="1"/>
  <c r="E19" i="19" s="1"/>
  <c r="A10" i="20" s="1"/>
  <c r="O33" i="2"/>
  <c r="O40" i="5" s="1"/>
  <c r="O5" i="12"/>
  <c r="O6" i="12"/>
  <c r="E21" i="19" l="1"/>
  <c r="A7" i="20" s="1"/>
  <c r="O43" i="5"/>
  <c r="O45" i="5" s="1"/>
  <c r="O47" i="5" s="1"/>
  <c r="C8" i="15" s="1"/>
  <c r="O50" i="5"/>
  <c r="O51" i="5"/>
  <c r="F1" i="18" l="1"/>
  <c r="E1" i="9"/>
  <c r="J1" i="10"/>
  <c r="E1" i="6"/>
  <c r="J1" i="8"/>
  <c r="E1" i="17"/>
  <c r="J1" i="2"/>
  <c r="J1" i="5"/>
  <c r="E14" i="7"/>
  <c r="I1" i="1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Newton, Timothy Michael</author>
  </authors>
  <commentList>
    <comment ref="B9" authorId="0" shapeId="0" xr:uid="{00000000-0006-0000-0400-000001000000}">
      <text>
        <r>
          <rPr>
            <b/>
            <sz val="9"/>
            <color indexed="81"/>
            <rFont val="Tahoma"/>
            <family val="2"/>
          </rPr>
          <t>Newton, Timothy Michael:</t>
        </r>
        <r>
          <rPr>
            <sz val="9"/>
            <color indexed="81"/>
            <rFont val="Tahoma"/>
            <family val="2"/>
          </rPr>
          <t xml:space="preserve">
Update here
https://markets.businessinsider.com/bonds/exxon_mobil_corpdl-notes_201616-46-bond-2046-us30231gaw24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Newton, Timothy Michael</author>
    <author>Timothy Newton</author>
  </authors>
  <commentList>
    <comment ref="D6" authorId="0" shapeId="0" xr:uid="{00000000-0006-0000-0500-000001000000}">
      <text>
        <r>
          <rPr>
            <b/>
            <sz val="9"/>
            <color indexed="81"/>
            <rFont val="Tahoma"/>
            <family val="2"/>
          </rPr>
          <t>Newton, Timothy Michael:</t>
        </r>
        <r>
          <rPr>
            <sz val="9"/>
            <color indexed="81"/>
            <rFont val="Tahoma"/>
            <family val="2"/>
          </rPr>
          <t xml:space="preserve">
This is the non-adjusted value for the 2015 that  DOES NOT follow the adopted   2018  accounting change.The adjusted value is 239,854 which can be found by taking 259488 and subtracting 19, 634 (see bottom of page).   To adjust for 2016 repeat the same process. 2017  already follows the adopted 2018 accounting practice. </t>
        </r>
      </text>
    </comment>
    <comment ref="D9" authorId="0" shapeId="0" xr:uid="{00000000-0006-0000-0500-000002000000}">
      <text>
        <r>
          <rPr>
            <b/>
            <sz val="9"/>
            <color indexed="81"/>
            <rFont val="Tahoma"/>
            <family val="2"/>
          </rPr>
          <t>Newton, Timothy Michael:</t>
        </r>
        <r>
          <rPr>
            <sz val="9"/>
            <color indexed="81"/>
            <rFont val="Tahoma"/>
            <family val="2"/>
          </rPr>
          <t xml:space="preserve">
Huge drop in oil prices</t>
        </r>
      </text>
    </comment>
    <comment ref="G13" authorId="0" shapeId="0" xr:uid="{00000000-0006-0000-0500-000003000000}">
      <text>
        <r>
          <rPr>
            <b/>
            <sz val="9"/>
            <color indexed="81"/>
            <rFont val="Tahoma"/>
            <family val="2"/>
          </rPr>
          <t>Newton, Timothy Michael:</t>
        </r>
        <r>
          <rPr>
            <sz val="9"/>
            <color indexed="81"/>
            <rFont val="Tahoma"/>
            <family val="2"/>
          </rPr>
          <t xml:space="preserve">
Historically, crude oil and product purchase are about 55% of sales and other operating revenue.
In projecting out costs, for most of these items I used % of sales</t>
        </r>
      </text>
    </comment>
    <comment ref="F19" authorId="0" shapeId="0" xr:uid="{00000000-0006-0000-0500-000004000000}">
      <text>
        <r>
          <rPr>
            <b/>
            <sz val="9"/>
            <color indexed="81"/>
            <rFont val="Tahoma"/>
            <family val="2"/>
          </rPr>
          <t>Newton, Timothy Michael:</t>
        </r>
        <r>
          <rPr>
            <sz val="9"/>
            <color indexed="81"/>
            <rFont val="Tahoma"/>
            <family val="2"/>
          </rPr>
          <t xml:space="preserve">
Due to accounting changes this item no longer exists. </t>
        </r>
      </text>
    </comment>
    <comment ref="G27" authorId="1" shapeId="0" xr:uid="{29E191C2-9F7F-41FC-B968-96DF6165808D}">
      <text>
        <r>
          <rPr>
            <b/>
            <sz val="9"/>
            <color indexed="81"/>
            <rFont val="Tahoma"/>
            <family val="2"/>
          </rPr>
          <t>Timothy Newton:</t>
        </r>
        <r>
          <rPr>
            <sz val="9"/>
            <color indexed="81"/>
            <rFont val="Tahoma"/>
            <family val="2"/>
          </rPr>
          <t xml:space="preserve">
Assume noncontrolling interests (magically) stop generating net income (as unrealistic as that sounds). Althought this under estimates future net income I argue it's better than coming up with a number that is ultimately outside of Exxon's control.</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Timothy Newton</author>
    <author>Newton, Timothy Michael</author>
  </authors>
  <commentList>
    <comment ref="C5" authorId="0" shapeId="0" xr:uid="{00000000-0006-0000-0B00-000001000000}">
      <text>
        <r>
          <rPr>
            <b/>
            <sz val="9"/>
            <color indexed="81"/>
            <rFont val="Tahoma"/>
            <family val="2"/>
          </rPr>
          <t>Timothy Newton:</t>
        </r>
        <r>
          <rPr>
            <sz val="9"/>
            <color indexed="81"/>
            <rFont val="Tahoma"/>
            <family val="2"/>
          </rPr>
          <t xml:space="preserve">
Found in 10-K. See long-term debt</t>
        </r>
      </text>
    </comment>
    <comment ref="D5" authorId="0" shapeId="0" xr:uid="{00000000-0006-0000-0B00-000002000000}">
      <text>
        <r>
          <rPr>
            <b/>
            <sz val="9"/>
            <color indexed="81"/>
            <rFont val="Tahoma"/>
            <family val="2"/>
          </rPr>
          <t>Timothy Newton:</t>
        </r>
        <r>
          <rPr>
            <sz val="9"/>
            <color indexed="81"/>
            <rFont val="Tahoma"/>
            <family val="2"/>
          </rPr>
          <t xml:space="preserve">
Other columns pulled from Thomeson One</t>
        </r>
      </text>
    </comment>
    <comment ref="C6" authorId="0" shapeId="0" xr:uid="{00000000-0006-0000-0B00-000003000000}">
      <text>
        <r>
          <rPr>
            <b/>
            <sz val="9"/>
            <color indexed="81"/>
            <rFont val="Tahoma"/>
            <family val="2"/>
          </rPr>
          <t>Timothy Newton:</t>
        </r>
        <r>
          <rPr>
            <sz val="9"/>
            <color indexed="81"/>
            <rFont val="Tahoma"/>
            <family val="2"/>
          </rPr>
          <t xml:space="preserve">
If the bond has a floating rate, use the average effect interest rate provided in 10-K. See long-term debt section.</t>
        </r>
      </text>
    </comment>
    <comment ref="C9" authorId="0" shapeId="0" xr:uid="{00000000-0006-0000-0B00-000004000000}">
      <text>
        <r>
          <rPr>
            <b/>
            <sz val="9"/>
            <color indexed="81"/>
            <rFont val="Tahoma"/>
            <family val="2"/>
          </rPr>
          <t>Timothy Newton:</t>
        </r>
        <r>
          <rPr>
            <sz val="9"/>
            <color indexed="81"/>
            <rFont val="Tahoma"/>
            <family val="2"/>
          </rPr>
          <t xml:space="preserve">
If the bond has a floating rate, use the average effect interest rate provided in 10-K. See long-term debt section.</t>
        </r>
      </text>
    </comment>
    <comment ref="C14" authorId="0" shapeId="0" xr:uid="{00000000-0006-0000-0B00-000005000000}">
      <text>
        <r>
          <rPr>
            <b/>
            <sz val="9"/>
            <color indexed="81"/>
            <rFont val="Tahoma"/>
            <family val="2"/>
          </rPr>
          <t>Timothy Newton:</t>
        </r>
        <r>
          <rPr>
            <sz val="9"/>
            <color indexed="81"/>
            <rFont val="Tahoma"/>
            <family val="2"/>
          </rPr>
          <t xml:space="preserve">
If the bond has a floating rate, use the average effect interest rate provided in 10-K. See long-term debt section.</t>
        </r>
      </text>
    </comment>
    <comment ref="A26" authorId="0" shapeId="0" xr:uid="{00000000-0006-0000-0B00-000006000000}">
      <text>
        <r>
          <rPr>
            <b/>
            <sz val="9"/>
            <color indexed="81"/>
            <rFont val="Tahoma"/>
            <family val="2"/>
          </rPr>
          <t xml:space="preserve">Timothy Newton:
</t>
        </r>
        <r>
          <rPr>
            <sz val="9"/>
            <color indexed="81"/>
            <rFont val="Tahoma"/>
            <family val="2"/>
          </rPr>
          <t>Not included in the Total or average interest calculation due to special nature of this item.</t>
        </r>
      </text>
    </comment>
    <comment ref="A27" authorId="0" shapeId="0" xr:uid="{00000000-0006-0000-0B00-000007000000}">
      <text>
        <r>
          <rPr>
            <b/>
            <sz val="9"/>
            <color indexed="81"/>
            <rFont val="Tahoma"/>
            <family val="2"/>
          </rPr>
          <t>Timothy Newton:</t>
        </r>
        <r>
          <rPr>
            <sz val="9"/>
            <color indexed="81"/>
            <rFont val="Tahoma"/>
            <family val="2"/>
          </rPr>
          <t xml:space="preserve">
Not included in the Total or average interest calculation due to special nature of this item.</t>
        </r>
      </text>
    </comment>
    <comment ref="C29" authorId="1" shapeId="0" xr:uid="{00000000-0006-0000-0B00-000008000000}">
      <text>
        <r>
          <rPr>
            <b/>
            <sz val="9"/>
            <color indexed="81"/>
            <rFont val="Tahoma"/>
            <family val="2"/>
          </rPr>
          <t>Newton, Timothy Michael:</t>
        </r>
        <r>
          <rPr>
            <sz val="9"/>
            <color indexed="81"/>
            <rFont val="Tahoma"/>
            <family val="2"/>
          </rPr>
          <t xml:space="preserve">
Reoccuring Capital Lease Obligations and Reoccuring Industrial Revenue Bonds not included</t>
        </r>
      </text>
    </comment>
    <comment ref="E29" authorId="1" shapeId="0" xr:uid="{00000000-0006-0000-0B00-000009000000}">
      <text>
        <r>
          <rPr>
            <b/>
            <sz val="9"/>
            <color indexed="81"/>
            <rFont val="Tahoma"/>
            <family val="2"/>
          </rPr>
          <t>Newton, Timothy Michael:</t>
        </r>
        <r>
          <rPr>
            <sz val="9"/>
            <color indexed="81"/>
            <rFont val="Tahoma"/>
            <family val="2"/>
          </rPr>
          <t xml:space="preserve">
Reoccuring Capital Lease Obligations and Reoccuring Industrial Revenue Bonds not included</t>
        </r>
      </text>
    </comment>
    <comment ref="A46" authorId="0" shapeId="0" xr:uid="{00000000-0006-0000-0B00-00000A000000}">
      <text>
        <r>
          <rPr>
            <b/>
            <sz val="9"/>
            <color indexed="81"/>
            <rFont val="Tahoma"/>
            <family val="2"/>
          </rPr>
          <t>Timothy Newton:</t>
        </r>
        <r>
          <rPr>
            <sz val="9"/>
            <color indexed="81"/>
            <rFont val="Tahoma"/>
            <family val="2"/>
          </rPr>
          <t xml:space="preserve">
While Exxon may or may not role over the other debts, this item will certainly be rolled over</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Timothy Newton</author>
    <author>Newton, Timothy Michael</author>
  </authors>
  <commentList>
    <comment ref="A11" authorId="0" shapeId="0" xr:uid="{00000000-0006-0000-0C00-000001000000}">
      <text>
        <r>
          <rPr>
            <b/>
            <sz val="9"/>
            <color indexed="81"/>
            <rFont val="Tahoma"/>
            <family val="2"/>
          </rPr>
          <t>Timothy Newton:</t>
        </r>
        <r>
          <rPr>
            <sz val="9"/>
            <color indexed="81"/>
            <rFont val="Tahoma"/>
            <family val="2"/>
          </rPr>
          <t xml:space="preserve">
This the scenario that is currently selection on the critical inputs page.</t>
        </r>
      </text>
    </comment>
    <comment ref="B64" authorId="1" shapeId="0" xr:uid="{00000000-0006-0000-0C00-000002000000}">
      <text>
        <r>
          <rPr>
            <b/>
            <sz val="9"/>
            <color indexed="81"/>
            <rFont val="Tahoma"/>
            <family val="2"/>
          </rPr>
          <t>Newton, Timothy Michael:</t>
        </r>
        <r>
          <rPr>
            <sz val="9"/>
            <color indexed="81"/>
            <rFont val="Tahoma"/>
            <family val="2"/>
          </rPr>
          <t xml:space="preserve">
If Exxon management is to be believed, downstream will grow in profitability through 1: increasing supply delieverd (a.k.a focusing on products that give higher yield conversion) so, driving revenue by increasing volumn. 2: Lowering the cost of capital employed. Downstream margins are very thin. Considering the sheer volumn that goes throught the downstream facilities, every little efficiency gain leads to increased profits. Management hopes this can be true both in the U.S. and abroad.</t>
        </r>
      </text>
    </comment>
    <comment ref="B65" authorId="1" shapeId="0" xr:uid="{00000000-0006-0000-0C00-000003000000}">
      <text>
        <r>
          <rPr>
            <b/>
            <sz val="9"/>
            <color indexed="81"/>
            <rFont val="Tahoma"/>
            <family val="2"/>
          </rPr>
          <t>Newton, Timothy Michael:</t>
        </r>
        <r>
          <rPr>
            <sz val="9"/>
            <color indexed="81"/>
            <rFont val="Tahoma"/>
            <family val="2"/>
          </rPr>
          <t xml:space="preserve">
Downstream Non-U.S. is nearly double the united states facilities. This is why it's important to separate them out.</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Timothy Newton</author>
  </authors>
  <commentList>
    <comment ref="B29" authorId="0" shapeId="0" xr:uid="{00000000-0006-0000-0E00-000001000000}">
      <text>
        <r>
          <rPr>
            <b/>
            <sz val="9"/>
            <color indexed="81"/>
            <rFont val="Tahoma"/>
            <family val="2"/>
          </rPr>
          <t>Timothy Newton:</t>
        </r>
        <r>
          <rPr>
            <sz val="9"/>
            <color indexed="81"/>
            <rFont val="Tahoma"/>
            <family val="2"/>
          </rPr>
          <t xml:space="preserve">
Nelson-Farrar Cost indexes can be found in the Oil &amp; Gas Journal. You can find the historical years online for free. The values are indexed at 100 in at a 1956 basis.</t>
        </r>
      </text>
    </comment>
  </commentList>
</comments>
</file>

<file path=xl/sharedStrings.xml><?xml version="1.0" encoding="utf-8"?>
<sst xmlns="http://schemas.openxmlformats.org/spreadsheetml/2006/main" count="669" uniqueCount="328">
  <si>
    <t>Consolidated Statement Of Income (USD $)</t>
  </si>
  <si>
    <t>In Millions, except Per Share data, unless otherwise specified</t>
  </si>
  <si>
    <t>Revenues and other income</t>
  </si>
  <si>
    <t>Income from equity affiliates</t>
  </si>
  <si>
    <t>Other income</t>
  </si>
  <si>
    <t>Total revenues and other income</t>
  </si>
  <si>
    <t>Costs and other deductions</t>
  </si>
  <si>
    <t>Crude oil and product purchases</t>
  </si>
  <si>
    <t>Production and manufacturing expenses</t>
  </si>
  <si>
    <t>Selling, general and administrative expenses</t>
  </si>
  <si>
    <t>Depreciation and depletion</t>
  </si>
  <si>
    <t>Exploration expenses, including dry holes</t>
  </si>
  <si>
    <t>Interest expense</t>
  </si>
  <si>
    <t>Other taxes and duties</t>
  </si>
  <si>
    <t>Total costs and other deductions</t>
  </si>
  <si>
    <t>Income before income taxes</t>
  </si>
  <si>
    <t>Income taxes</t>
  </si>
  <si>
    <t>Net income including noncontrolling interests</t>
  </si>
  <si>
    <t>Net income attributable to noncontrolling interests</t>
  </si>
  <si>
    <t>Net income attributable to ExxonMobil</t>
  </si>
  <si>
    <t>Sales-based taxes [1]</t>
  </si>
  <si>
    <t>Consolidated Balance Sheet (USD $)</t>
  </si>
  <si>
    <t>In Millions, unless otherwise specified</t>
  </si>
  <si>
    <t>Current assets</t>
  </si>
  <si>
    <t>Notes and accounts receivable, less estimated doubtful amounts</t>
  </si>
  <si>
    <t>Inventories</t>
  </si>
  <si>
    <t>Crude oil, products and merchandise</t>
  </si>
  <si>
    <t>Materials and supplies</t>
  </si>
  <si>
    <t>Other current assets</t>
  </si>
  <si>
    <t>Total current assets</t>
  </si>
  <si>
    <t>Investments, advances and long-term receivables</t>
  </si>
  <si>
    <t>Property, plant and equipment, at cost, less accumulated depreciation and depletion</t>
  </si>
  <si>
    <t>Other assets, including intangibles, net</t>
  </si>
  <si>
    <t>Current liabilities</t>
  </si>
  <si>
    <t>Notes and loans payable</t>
  </si>
  <si>
    <t>Accounts payable and accrued liabilities</t>
  </si>
  <si>
    <t>Income taxes payable</t>
  </si>
  <si>
    <t>Total current liabilities</t>
  </si>
  <si>
    <t>Long-term debt</t>
  </si>
  <si>
    <t>Postretirement benefits reserves</t>
  </si>
  <si>
    <t>Deferred income tax liabilities</t>
  </si>
  <si>
    <t>Long-term obligations to equity companies</t>
  </si>
  <si>
    <t>Other long-term obligations</t>
  </si>
  <si>
    <t>Total liabilities</t>
  </si>
  <si>
    <t>Equity</t>
  </si>
  <si>
    <t>Earnings reinvested</t>
  </si>
  <si>
    <t>Accumulated other comprehensive income</t>
  </si>
  <si>
    <t>ExxonMobil share of equity</t>
  </si>
  <si>
    <t>Noncontrolling interests</t>
  </si>
  <si>
    <t>Total equity</t>
  </si>
  <si>
    <t>Total liabilities and equity</t>
  </si>
  <si>
    <t>[1]Sales and other operating revenue includes sales-based taxes of:</t>
  </si>
  <si>
    <t>[2]Sales and other operating revenue includes sales-based taxes of:</t>
  </si>
  <si>
    <t>Sales and other operating revenue [1],[2] [4]</t>
  </si>
  <si>
    <t>Common stock without par value [1]</t>
  </si>
  <si>
    <t>Common stock held in treasury [2]</t>
  </si>
  <si>
    <t>[2] Common stock held in treasure by year (Millions of shares)</t>
  </si>
  <si>
    <t>[1] Common stock (9000 Million shares authorized, 8019 Million shares issued)</t>
  </si>
  <si>
    <t>Share Price</t>
  </si>
  <si>
    <t>Shares outstanding</t>
  </si>
  <si>
    <t>Market Value of Equity</t>
  </si>
  <si>
    <t>[4] Effective December 31, 2017, the Corporation revised its accounting policy election related to sales-based taxes.</t>
  </si>
  <si>
    <t>N/A</t>
  </si>
  <si>
    <t>Total Assets</t>
  </si>
  <si>
    <t>Assets</t>
  </si>
  <si>
    <t>Liabilities</t>
  </si>
  <si>
    <t>Current Active Scenario</t>
  </si>
  <si>
    <t>Balance Sheet Items</t>
  </si>
  <si>
    <t>Upstream</t>
  </si>
  <si>
    <t>Downstream</t>
  </si>
  <si>
    <t>Chemical</t>
  </si>
  <si>
    <t>United States</t>
  </si>
  <si>
    <t>Non-U.S.</t>
  </si>
  <si>
    <t>Total</t>
  </si>
  <si>
    <t>Historicals</t>
  </si>
  <si>
    <t>Projections</t>
  </si>
  <si>
    <t>Given the length of time for Exxon's investments (whether that be in the upstream, downstream, or chemicals) I consider 8  years to be a reasonable forecast horizon. This aligns with the 2018 Analyst Meeting (most recent)  projection time frame.</t>
  </si>
  <si>
    <t>Contrary to the idea that Exxon would be exposed to commodity prices and various macroeconomic factors, in reality, their position spread over upstream, downstream, and chemcial operations means Exxon is only somewhat affected market changes. With that in mind, I believe that it is best to avoid top-down analysis and instead settle for bottom-up analysis. That is not to say that commodity prices and macroeconomics conditions do not play any role, rather they play a specific role within only 1 or 2 areas of operations at a time.  In fact it is appropriate to consider how negative market conditions will impact one area of operation while simultaniously considering how such conditions might enhance income in other areas of operations. Thus, we can use the global information as inputs while relying on a bottom-up approach for the greater bulk of the analysis. My ideal model would include forecasting each of the 4 areas of operation.</t>
  </si>
  <si>
    <t>Notes for Tim</t>
  </si>
  <si>
    <t>Operating expense encompases everything EXCEPT interest expense</t>
  </si>
  <si>
    <t>Cost of Goods sold is "Crude oil and product purchases" + "Production and manufactuaring expenses" + "Exploration expenses, including dry holes"</t>
  </si>
  <si>
    <t>Other operating expenses is  "other taxes and duties"</t>
  </si>
  <si>
    <t>Other taxes and duties (Other Operating Expenses)</t>
  </si>
  <si>
    <t>Sales and other operating revenue by segment</t>
  </si>
  <si>
    <t>Upsteam</t>
  </si>
  <si>
    <t>All other</t>
  </si>
  <si>
    <t>Total Revenue</t>
  </si>
  <si>
    <t>Upstream United States</t>
  </si>
  <si>
    <t>Upstream Non-U.S.</t>
  </si>
  <si>
    <t>Downstream United States</t>
  </si>
  <si>
    <t>Downstream Non-U.S.</t>
  </si>
  <si>
    <t>Chemical United States</t>
  </si>
  <si>
    <t>Chemical Non-U.S</t>
  </si>
  <si>
    <t>Vectors Scenario Chosen</t>
  </si>
  <si>
    <t>Scenario_List</t>
  </si>
  <si>
    <t>Scenario_Value</t>
  </si>
  <si>
    <t>% of revenue</t>
  </si>
  <si>
    <t>Costs and other deductions (% of revenue)</t>
  </si>
  <si>
    <t>Other operating expenses</t>
  </si>
  <si>
    <t>Minimum Cash requirements</t>
  </si>
  <si>
    <t>Minimum Cash Requirement</t>
  </si>
  <si>
    <t>Cash and cash equivalents (Excess Cash)</t>
  </si>
  <si>
    <t xml:space="preserve">Receivables turnover </t>
  </si>
  <si>
    <t>In days</t>
  </si>
  <si>
    <t>Days Outstanding in Receivables</t>
  </si>
  <si>
    <t>COGS</t>
  </si>
  <si>
    <t>Inventory Turnover</t>
  </si>
  <si>
    <t>Days of sales in inventory</t>
  </si>
  <si>
    <t>Days of Sales in Inventory</t>
  </si>
  <si>
    <t>This sheet is a compressed list of historical, general calculations, and other calculations.</t>
  </si>
  <si>
    <t>Generally they were useful in constructing the model but do not themselves appear in the model</t>
  </si>
  <si>
    <t>Refinery</t>
  </si>
  <si>
    <t>Operating Indexes (Nelson-Farrar Cost Indexes)</t>
  </si>
  <si>
    <t>Change</t>
  </si>
  <si>
    <t>Gross PP&amp;E</t>
  </si>
  <si>
    <t>Beginning Balance</t>
  </si>
  <si>
    <t>Ending Balance</t>
  </si>
  <si>
    <t>-Retirement</t>
  </si>
  <si>
    <t>+Additions</t>
  </si>
  <si>
    <t>Beginning</t>
  </si>
  <si>
    <t>Average Depreciation Life:</t>
  </si>
  <si>
    <t>Average Deprecitation Life</t>
  </si>
  <si>
    <t>CAPEX Growth</t>
  </si>
  <si>
    <t>-Retirements</t>
  </si>
  <si>
    <t>Payables Turnover</t>
  </si>
  <si>
    <t>Days Payable</t>
  </si>
  <si>
    <t>Days of Payables Outstanding (Based on Total COGS)</t>
  </si>
  <si>
    <t xml:space="preserve">Tax Rate </t>
  </si>
  <si>
    <t xml:space="preserve">  XOM 4 19/03/01 FRN </t>
  </si>
  <si>
    <t xml:space="preserve">  XOM 2 19/03/01 </t>
  </si>
  <si>
    <t xml:space="preserve">  XOM 2 19/03/15 '19 </t>
  </si>
  <si>
    <t xml:space="preserve">  XOM 3 19/03/15 FRN </t>
  </si>
  <si>
    <t xml:space="preserve">  XOM 2 20/03/06 '20 </t>
  </si>
  <si>
    <t xml:space="preserve">  XOM 2 21/03/01 '21 </t>
  </si>
  <si>
    <t xml:space="preserve">  XOM 2 22/03/06 '22 </t>
  </si>
  <si>
    <t xml:space="preserve">  XOM 3 22/03/06 FRN </t>
  </si>
  <si>
    <t xml:space="preserve">  XOM 3 23/03/01 '23 </t>
  </si>
  <si>
    <t xml:space="preserve">  XOM 3 24/03/15 '23 </t>
  </si>
  <si>
    <t xml:space="preserve">  XOM 3 25/03/06 '24 </t>
  </si>
  <si>
    <t xml:space="preserve">  XOM 3 26/03/01 '25 </t>
  </si>
  <si>
    <t xml:space="preserve">  XOM 4 45/03/06 '44 </t>
  </si>
  <si>
    <t xml:space="preserve">  XOM 4 46/03/01 '45 </t>
  </si>
  <si>
    <t>Description</t>
  </si>
  <si>
    <t>Maturity Date</t>
  </si>
  <si>
    <t>Ammount Outstanding</t>
  </si>
  <si>
    <t>Issued Ammount</t>
  </si>
  <si>
    <t>Issue Date</t>
  </si>
  <si>
    <t>Debt Maturing Outside Projection Period</t>
  </si>
  <si>
    <t>Effective Rate</t>
  </si>
  <si>
    <t>Average Interest</t>
  </si>
  <si>
    <t>End of Period Balance</t>
  </si>
  <si>
    <t>2018 Notes</t>
  </si>
  <si>
    <t>2019 Notes 1</t>
  </si>
  <si>
    <t>2019 Notes 2</t>
  </si>
  <si>
    <t>2019 Notes 3</t>
  </si>
  <si>
    <t>2019 Notes 4</t>
  </si>
  <si>
    <t>2020 Notes</t>
  </si>
  <si>
    <t>2021 Notes</t>
  </si>
  <si>
    <t>2022 Notes 1</t>
  </si>
  <si>
    <t>2022 Notes 2</t>
  </si>
  <si>
    <t>2024 Notes</t>
  </si>
  <si>
    <t>2023 Notes</t>
  </si>
  <si>
    <t>2025 Notes</t>
  </si>
  <si>
    <t>2026 Notes</t>
  </si>
  <si>
    <t>Beginning Period Balances</t>
  </si>
  <si>
    <t>Roll Over Debt?</t>
  </si>
  <si>
    <t>Yes_No_Roll_Over</t>
  </si>
  <si>
    <t>Yes</t>
  </si>
  <si>
    <t>No</t>
  </si>
  <si>
    <t>Interest Due</t>
  </si>
  <si>
    <t>Principle Due</t>
  </si>
  <si>
    <t>Rollover Amount</t>
  </si>
  <si>
    <t>Choose_Rollover</t>
  </si>
  <si>
    <t>All Other</t>
  </si>
  <si>
    <t>Debt Maturing During Projection Period ($Millions)</t>
  </si>
  <si>
    <t>Total Interest Due</t>
  </si>
  <si>
    <t>Total Principle Due</t>
  </si>
  <si>
    <t xml:space="preserve">Ending </t>
  </si>
  <si>
    <t>Accumulated Depreciation</t>
  </si>
  <si>
    <t>6.1 XTO Senior Notes</t>
  </si>
  <si>
    <t>Asset Retirement</t>
  </si>
  <si>
    <t>6.75% XTO Senior Notes</t>
  </si>
  <si>
    <t>.375% XTO Senior Notes</t>
  </si>
  <si>
    <t>8.625% Mobil Corp Debentures</t>
  </si>
  <si>
    <t>Reoccuring Industrial Revenue Bonds</t>
  </si>
  <si>
    <t>Dividend Declared per share ($)</t>
  </si>
  <si>
    <t>Dividend growth rate</t>
  </si>
  <si>
    <t>Dividend Growth Rate</t>
  </si>
  <si>
    <t>Shares Outstanding</t>
  </si>
  <si>
    <t>Dividends Paid</t>
  </si>
  <si>
    <t>Retained</t>
  </si>
  <si>
    <t>Even Longer Term Debt</t>
  </si>
  <si>
    <t>"Reoccuring" Long term debt</t>
  </si>
  <si>
    <t>Reoccuring Capital Lease Obligations</t>
  </si>
  <si>
    <t>Non-controlling interest growth</t>
  </si>
  <si>
    <t>Surplus Cash</t>
  </si>
  <si>
    <t>Deficit Cash</t>
  </si>
  <si>
    <t>Required Short-Term Borrowing</t>
  </si>
  <si>
    <t>"Dupont" Analysis</t>
  </si>
  <si>
    <t>Return on Assets</t>
  </si>
  <si>
    <t>Interest on Short-term debt</t>
  </si>
  <si>
    <t>Unlevered Profit Margin</t>
  </si>
  <si>
    <t xml:space="preserve">Total Asset Utilization (Turnover) </t>
  </si>
  <si>
    <t>Net Income</t>
  </si>
  <si>
    <t>Depreciation and Amortization</t>
  </si>
  <si>
    <t>Changes in Net Working Capital</t>
  </si>
  <si>
    <t>Cash from Operations</t>
  </si>
  <si>
    <t>Cash from Investing</t>
  </si>
  <si>
    <t>Changes in Long Term Investments</t>
  </si>
  <si>
    <t>Capital Expenditures</t>
  </si>
  <si>
    <t>(Increase)/Decrease in Accounts Receivable</t>
  </si>
  <si>
    <t>(Increase)/Decrease in Other Current Assets</t>
  </si>
  <si>
    <t>Net Working Capital Cash Change</t>
  </si>
  <si>
    <t>(Increase)/Decrease in Inventory (Crude Oil, Products, and Merchandise)</t>
  </si>
  <si>
    <t>(Increase)/Decrease in Materials and Supplies</t>
  </si>
  <si>
    <t>Increase/(Decrease) in Postretirement benefits reserves</t>
  </si>
  <si>
    <t>Increase/(Decrease) in Deferred income tax liabilities</t>
  </si>
  <si>
    <t>Increase/(Decrease) in Long-term obligations to equity companies</t>
  </si>
  <si>
    <t>Increase/(Decrease) in Other long-term obligations</t>
  </si>
  <si>
    <t>Cash from Financing</t>
  </si>
  <si>
    <t>Increase/(Decrease) in Required Short-Term Borrowing</t>
  </si>
  <si>
    <t>Increase/(Decrease) in Long-Term Debt</t>
  </si>
  <si>
    <t>Net Change in Cash</t>
  </si>
  <si>
    <t>Cash Balance Now</t>
  </si>
  <si>
    <t>Cash Balance from the Balance Sheet</t>
  </si>
  <si>
    <t>Difference</t>
  </si>
  <si>
    <t>Long-Term Recievable growth</t>
  </si>
  <si>
    <t>Deferred income tax changes</t>
  </si>
  <si>
    <t>Postretirement benefits expense in excess…</t>
  </si>
  <si>
    <t>Increase/(Decrease) in Accounts payable and accrued liabilities</t>
  </si>
  <si>
    <t>Short Term Notes Payable</t>
  </si>
  <si>
    <t>Increase/(Decrease) in Notes and loans payable</t>
  </si>
  <si>
    <t>Exxon Mobil Cash Flow</t>
  </si>
  <si>
    <t>ExxonMobil Balance Sheet and Projections</t>
  </si>
  <si>
    <t>ExxonMobil Income Statement and Projections</t>
  </si>
  <si>
    <t>ExxonMobil Revenue by Business Segment</t>
  </si>
  <si>
    <t>In Millions ($), unless otherwise specified</t>
  </si>
  <si>
    <t>ExxonMobil DCF Valuation using WACC Approach</t>
  </si>
  <si>
    <t>Cost of Capital</t>
  </si>
  <si>
    <t>Risk-Free Rate</t>
  </si>
  <si>
    <t>Market Risk Premium</t>
  </si>
  <si>
    <t>Yield on ExxonMobil Debt</t>
  </si>
  <si>
    <t>Implied Debt Beta</t>
  </si>
  <si>
    <t>ExxonMobil Beta</t>
  </si>
  <si>
    <t>Required Return on Equity</t>
  </si>
  <si>
    <t>Book Value Debt</t>
  </si>
  <si>
    <t>Market Value Equity</t>
  </si>
  <si>
    <t>Debt/Value</t>
  </si>
  <si>
    <t>Asset Beta</t>
  </si>
  <si>
    <t>Required Return on Assets</t>
  </si>
  <si>
    <t>Tax Rate</t>
  </si>
  <si>
    <t>WACC</t>
  </si>
  <si>
    <t xml:space="preserve">EBIT </t>
  </si>
  <si>
    <t>NOPAT</t>
  </si>
  <si>
    <t>+Depreciation</t>
  </si>
  <si>
    <t xml:space="preserve">Change in NWC excluding Excess Cash </t>
  </si>
  <si>
    <t>CAPEX</t>
  </si>
  <si>
    <t>Enterprise Free Cash Flow</t>
  </si>
  <si>
    <t>Terminal Value</t>
  </si>
  <si>
    <t>Enterprise Value</t>
  </si>
  <si>
    <t>-Long-Term Debt</t>
  </si>
  <si>
    <t>TV Year</t>
  </si>
  <si>
    <t>Perpetual Growth Rate</t>
  </si>
  <si>
    <t>CAPEX Long Term Growth</t>
  </si>
  <si>
    <t>CAPEX/DEPR Long Term</t>
  </si>
  <si>
    <t>+Cash</t>
  </si>
  <si>
    <t>Equity Valuation</t>
  </si>
  <si>
    <t>ExxonMobil Net Working Capital</t>
  </si>
  <si>
    <t>ExxonMobil Property Plant and Equipment</t>
  </si>
  <si>
    <t>ExxonMobil Critical Inputs</t>
  </si>
  <si>
    <t>Pages in this Workbook</t>
  </si>
  <si>
    <t>Home Page</t>
  </si>
  <si>
    <t>Summary</t>
  </si>
  <si>
    <t>Critical Inputs</t>
  </si>
  <si>
    <t>DCF Valuation</t>
  </si>
  <si>
    <t>Exxon Income Statement</t>
  </si>
  <si>
    <t>Exxon Balance Sheet</t>
  </si>
  <si>
    <t>Exxon Cash Flow</t>
  </si>
  <si>
    <t>Segment Projections</t>
  </si>
  <si>
    <t>Net Working Capital</t>
  </si>
  <si>
    <t>PP&amp;E</t>
  </si>
  <si>
    <t>Long Term Debt</t>
  </si>
  <si>
    <t>Vectors</t>
  </si>
  <si>
    <t>Consistency Check</t>
  </si>
  <si>
    <t>This page</t>
  </si>
  <si>
    <t>"Quick" view of the analysis</t>
  </si>
  <si>
    <t>Valuation of ExxonMobil using WACC Valuation approach</t>
  </si>
  <si>
    <t>Pro-forma income statement</t>
  </si>
  <si>
    <t>Pro-forma balance sheet</t>
  </si>
  <si>
    <t>Pro-forma cash flow</t>
  </si>
  <si>
    <t xml:space="preserve">Revenue projects by Business Segment </t>
  </si>
  <si>
    <t>ExxonMobil Debt Schedule</t>
  </si>
  <si>
    <t>Calculation of ExxonMobil's investment in Net Working Capital</t>
  </si>
  <si>
    <t>Calculation for Net Property Plant and Equipment</t>
  </si>
  <si>
    <t>ExxonMobil Long-Term Debt Schedule</t>
  </si>
  <si>
    <t>Assumptions linked to Critical Inputs worksheet that constructs everything</t>
  </si>
  <si>
    <t>Scenarios Inputs Start Here</t>
  </si>
  <si>
    <t>High Growth across all Segments (#1)</t>
  </si>
  <si>
    <t>High Growth in Upstream (#2)</t>
  </si>
  <si>
    <t>Income Statement Items</t>
  </si>
  <si>
    <t>High Growth in Downstream (#3)</t>
  </si>
  <si>
    <t>High Growth in Chemicals (#4)</t>
  </si>
  <si>
    <t>Retirement of Assets</t>
  </si>
  <si>
    <t xml:space="preserve">Scenario You Selected: </t>
  </si>
  <si>
    <t>ExxonMobil Consistency Check</t>
  </si>
  <si>
    <t>ExxonMobil Summary Dashboard</t>
  </si>
  <si>
    <t>Jump to Net Income</t>
  </si>
  <si>
    <t>Jump to Current Assets</t>
  </si>
  <si>
    <t>Jump to Short Term Debt</t>
  </si>
  <si>
    <t>Jump to Equity Valuation</t>
  </si>
  <si>
    <t>Projections (in Millions)</t>
  </si>
  <si>
    <t>Estimated Share Price (Rounded)</t>
  </si>
  <si>
    <t>Equity Valuation (Rounded)</t>
  </si>
  <si>
    <t>Click here to change scenario</t>
  </si>
  <si>
    <t>Exxon Mobil information from Yahoo Finance (Retrived at close Jan 11, 2019)</t>
  </si>
  <si>
    <t>ExxonMobil Intro Discussion</t>
  </si>
  <si>
    <t>by Tim Newton</t>
  </si>
  <si>
    <t>Scenario selector and key variable page</t>
  </si>
  <si>
    <t>Rebalance check</t>
  </si>
  <si>
    <t>Income Statement</t>
  </si>
  <si>
    <t>Balance Sheet</t>
  </si>
  <si>
    <t>Cash Flow</t>
  </si>
  <si>
    <t>ExxonMobil Forecast Vectors</t>
  </si>
  <si>
    <t>Available Scenarios</t>
  </si>
  <si>
    <t>About:</t>
  </si>
  <si>
    <t xml:space="preserve">ExxonMobil Valuation </t>
  </si>
  <si>
    <t xml:space="preserve">This valuation of ExxonMobil is the culmination of a course project for the class, "Advanced Spreadsheet Modeling." Students have 6 weeks to turn in a financial valuation of their company of choice. There are no teams. Everything you see in this file is my own work (except for the macro which was provided by my professor for this project). Despite being a valuation project, the course grades the project first and formost on the display of the work and how easy it is for others to understand and find valuable information, make changes, and get results quickly. Additionally, there was a strong focus on conducting this valuation as though it were ongoing, with the model ready to be expanded and new information brought in. As such, there is less emphasis on creating the best forecast model and more about the experience of  working through the entire valuation process on one's own. For that reason you will find forecasted years lag by 1 year. Lastly, I wish to point out that there is a valuation mistake that causes the the excess cash to skyrocket within the first year and subsiquently reach a large deficit by the end of the forecast. 
I selected ExxonMobil because of my interest in energy and chemicals. What I hadn't realized was the sheer complexity in valuing such a company. I had to simplify entire parts of my valuation process, otherwise I would have never finished. Because of that I designed the layout of everything to be modular so it can be easily expanded to get more accurate valuations and generate better insight should I wish to do so. Out of all the projects I've done, this one was my favorite.
</t>
  </si>
  <si>
    <r>
      <t xml:space="preserve">This version does not contain macros. The financial statement projections will not balance. The valuation will only be correct for the default scenario ("High growth across all segments") and the current inputs. However, the file will calculate changes but results </t>
    </r>
    <r>
      <rPr>
        <u/>
        <sz val="12"/>
        <color rgb="FFFF0000"/>
        <rFont val="Calibri"/>
        <family val="2"/>
        <scheme val="minor"/>
      </rPr>
      <t>will be inaccurate without the macro to rebalance!</t>
    </r>
    <r>
      <rPr>
        <sz val="12"/>
        <color rgb="FFFF0000"/>
        <rFont val="Calibri"/>
        <family val="2"/>
        <scheme val="minor"/>
      </rPr>
      <t xml:space="preserve"> If you would like to use the complet version with no limitations please see https://github.com/tmnewt/XOM_Valuation and follow the README guide there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</si>
</sst>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5" formatCode="&quot;$&quot;#,##0_);\(&quot;$&quot;#,##0\)"/>
    <numFmt numFmtId="6" formatCode="&quot;$&quot;#,##0_);[Red]\(&quot;$&quot;#,##0\)"/>
    <numFmt numFmtId="8" formatCode="&quot;$&quot;#,##0.00_);[Red]\(&quot;$&quot;#,##0.00\)"/>
    <numFmt numFmtId="44" formatCode="_(&quot;$&quot;* #,##0.00_);_(&quot;$&quot;* \(#,##0.00\);_(&quot;$&quot;* &quot;-&quot;??_);_(@_)"/>
    <numFmt numFmtId="43" formatCode="_(* #,##0.00_);_(* \(#,##0.00\);_(* &quot;-&quot;??_);_(@_)"/>
    <numFmt numFmtId="164" formatCode="_(&quot;$ &quot;#,##0_);_(&quot;$ &quot;\(#,##0\)"/>
    <numFmt numFmtId="165" formatCode="_(* #,##0_);_(* \(#,##0\);_(* &quot;-&quot;??_);_(@_)"/>
    <numFmt numFmtId="166" formatCode="_(&quot;$&quot;* #,##0_);_(&quot;$&quot;* \(#,##0\);_(&quot;$&quot;* &quot;-&quot;??_);_(@_)"/>
    <numFmt numFmtId="167" formatCode="#,##0;\(#,##0\)"/>
    <numFmt numFmtId="168" formatCode="0.0%"/>
    <numFmt numFmtId="169" formatCode="0.000%"/>
    <numFmt numFmtId="170" formatCode="_(* #,##0.000_);_(* \(#,##0.000\);_(* &quot;-&quot;??_);_(@_)"/>
    <numFmt numFmtId="171" formatCode="&quot;$&quot;#,##0.00"/>
  </numFmts>
  <fonts count="48" x14ac:knownFonts="1">
    <font>
      <sz val="11"/>
      <color theme="1"/>
      <name val="Calibri"/>
      <family val="2"/>
      <scheme val="minor"/>
    </font>
    <font>
      <b/>
      <sz val="11"/>
      <color theme="1"/>
      <name val="Calibri"/>
      <family val="2"/>
      <scheme val="minor"/>
    </font>
    <font>
      <b/>
      <sz val="11"/>
      <name val="Calibri"/>
      <family val="2"/>
    </font>
    <font>
      <sz val="11"/>
      <name val="Calibri"/>
      <family val="2"/>
    </font>
    <font>
      <sz val="11"/>
      <color theme="4"/>
      <name val="Calibri"/>
      <family val="2"/>
      <scheme val="minor"/>
    </font>
    <font>
      <sz val="11"/>
      <color theme="4"/>
      <name val="Calibri"/>
      <family val="2"/>
    </font>
    <font>
      <sz val="11"/>
      <color theme="1"/>
      <name val="Calibri"/>
      <family val="2"/>
      <scheme val="minor"/>
    </font>
    <font>
      <b/>
      <sz val="11"/>
      <color theme="4"/>
      <name val="Calibri"/>
      <family val="2"/>
      <scheme val="minor"/>
    </font>
    <font>
      <b/>
      <sz val="11"/>
      <color theme="4"/>
      <name val="Calibri"/>
      <family val="2"/>
    </font>
    <font>
      <sz val="22"/>
      <color theme="1"/>
      <name val="Calibri"/>
      <family val="2"/>
      <scheme val="minor"/>
    </font>
    <font>
      <sz val="22"/>
      <name val="Calibri"/>
      <family val="2"/>
      <scheme val="minor"/>
    </font>
    <font>
      <b/>
      <sz val="12"/>
      <color theme="1"/>
      <name val="Calibri"/>
      <family val="2"/>
      <scheme val="minor"/>
    </font>
    <font>
      <b/>
      <sz val="14"/>
      <color theme="1"/>
      <name val="Calibri"/>
      <family val="2"/>
      <scheme val="minor"/>
    </font>
    <font>
      <b/>
      <sz val="12"/>
      <name val="Calibri"/>
      <family val="2"/>
    </font>
    <font>
      <b/>
      <u/>
      <sz val="12"/>
      <color theme="1"/>
      <name val="Calibri"/>
      <family val="2"/>
      <scheme val="minor"/>
    </font>
    <font>
      <b/>
      <u/>
      <sz val="11"/>
      <color theme="1"/>
      <name val="Calibri"/>
      <family val="2"/>
      <scheme val="minor"/>
    </font>
    <font>
      <b/>
      <u/>
      <sz val="16"/>
      <color theme="1"/>
      <name val="Calibri"/>
      <family val="2"/>
      <scheme val="minor"/>
    </font>
    <font>
      <sz val="9"/>
      <color indexed="81"/>
      <name val="Tahoma"/>
      <family val="2"/>
    </font>
    <font>
      <b/>
      <sz val="9"/>
      <color indexed="81"/>
      <name val="Tahoma"/>
      <family val="2"/>
    </font>
    <font>
      <b/>
      <sz val="16"/>
      <color theme="1"/>
      <name val="Calibri"/>
      <family val="2"/>
      <scheme val="minor"/>
    </font>
    <font>
      <sz val="10"/>
      <name val="Arial"/>
      <family val="2"/>
    </font>
    <font>
      <sz val="11"/>
      <name val="Calibri"/>
      <family val="2"/>
      <scheme val="minor"/>
    </font>
    <font>
      <sz val="11"/>
      <color theme="3"/>
      <name val="Calibri"/>
      <family val="2"/>
      <scheme val="minor"/>
    </font>
    <font>
      <u/>
      <sz val="11"/>
      <color theme="10"/>
      <name val="Calibri"/>
      <family val="2"/>
      <scheme val="minor"/>
    </font>
    <font>
      <sz val="11"/>
      <color rgb="FF00B050"/>
      <name val="Calibri"/>
      <family val="2"/>
      <scheme val="minor"/>
    </font>
    <font>
      <b/>
      <sz val="8"/>
      <color theme="1"/>
      <name val="Tahoma"/>
      <family val="2"/>
    </font>
    <font>
      <b/>
      <sz val="8"/>
      <color theme="4"/>
      <name val="Tahoma"/>
      <family val="2"/>
    </font>
    <font>
      <sz val="12"/>
      <color theme="1"/>
      <name val="Calibri"/>
      <family val="2"/>
      <scheme val="minor"/>
    </font>
    <font>
      <b/>
      <sz val="18"/>
      <color theme="1"/>
      <name val="Calibri"/>
      <family val="2"/>
      <scheme val="minor"/>
    </font>
    <font>
      <b/>
      <sz val="11"/>
      <color rgb="FF0070C0"/>
      <name val="Calibri"/>
      <family val="2"/>
      <scheme val="minor"/>
    </font>
    <font>
      <b/>
      <sz val="11"/>
      <color rgb="FF00B050"/>
      <name val="Calibri"/>
      <family val="2"/>
      <scheme val="minor"/>
    </font>
    <font>
      <sz val="14"/>
      <color theme="1"/>
      <name val="Calibri"/>
      <family val="2"/>
      <scheme val="minor"/>
    </font>
    <font>
      <b/>
      <sz val="14"/>
      <color theme="4"/>
      <name val="Calibri"/>
      <family val="2"/>
      <scheme val="minor"/>
    </font>
    <font>
      <b/>
      <sz val="28"/>
      <color theme="1"/>
      <name val="Calibri"/>
      <family val="2"/>
      <scheme val="minor"/>
    </font>
    <font>
      <sz val="11"/>
      <color theme="0"/>
      <name val="Calibri"/>
      <family val="2"/>
      <scheme val="minor"/>
    </font>
    <font>
      <b/>
      <u/>
      <sz val="24"/>
      <color rgb="FF000000"/>
      <name val="Calibri"/>
      <family val="2"/>
    </font>
    <font>
      <sz val="20"/>
      <color theme="0"/>
      <name val="Calibri"/>
      <family val="2"/>
      <scheme val="minor"/>
    </font>
    <font>
      <sz val="22"/>
      <color theme="0"/>
      <name val="Calibri"/>
      <family val="2"/>
      <scheme val="minor"/>
    </font>
    <font>
      <sz val="24"/>
      <color theme="0"/>
      <name val="Calibri"/>
      <family val="2"/>
      <scheme val="minor"/>
    </font>
    <font>
      <sz val="10"/>
      <color theme="1"/>
      <name val="Calibri"/>
      <family val="2"/>
      <scheme val="minor"/>
    </font>
    <font>
      <b/>
      <u/>
      <sz val="12"/>
      <color rgb="FF000000"/>
      <name val="Calibri"/>
      <family val="2"/>
    </font>
    <font>
      <b/>
      <sz val="22"/>
      <color theme="1"/>
      <name val="Calibri"/>
      <family val="2"/>
      <scheme val="minor"/>
    </font>
    <font>
      <b/>
      <sz val="22"/>
      <name val="Calibri"/>
      <family val="2"/>
      <scheme val="minor"/>
    </font>
    <font>
      <b/>
      <sz val="22"/>
      <color theme="0"/>
      <name val="Calibri"/>
      <family val="2"/>
      <scheme val="minor"/>
    </font>
    <font>
      <sz val="10"/>
      <color theme="0"/>
      <name val="Calibri"/>
      <family val="2"/>
      <scheme val="minor"/>
    </font>
    <font>
      <sz val="12"/>
      <color rgb="FFFF0000"/>
      <name val="Calibri"/>
      <family val="2"/>
      <scheme val="minor"/>
    </font>
    <font>
      <sz val="11"/>
      <color rgb="FFFF0000"/>
      <name val="Calibri"/>
      <family val="2"/>
      <scheme val="minor"/>
    </font>
    <font>
      <u/>
      <sz val="12"/>
      <color rgb="FFFF0000"/>
      <name val="Calibri"/>
      <family val="2"/>
      <scheme val="minor"/>
    </font>
  </fonts>
  <fills count="16">
    <fill>
      <patternFill patternType="none"/>
    </fill>
    <fill>
      <patternFill patternType="gray125"/>
    </fill>
    <fill>
      <patternFill patternType="solid">
        <fgColor theme="9" tint="0.39997558519241921"/>
        <bgColor indexed="64"/>
      </patternFill>
    </fill>
    <fill>
      <patternFill patternType="solid">
        <fgColor rgb="FFFFC000"/>
        <bgColor indexed="64"/>
      </patternFill>
    </fill>
    <fill>
      <patternFill patternType="solid">
        <fgColor theme="4" tint="0.39997558519241921"/>
        <bgColor indexed="64"/>
      </patternFill>
    </fill>
    <fill>
      <patternFill patternType="solid">
        <fgColor rgb="FFF57575"/>
        <bgColor indexed="64"/>
      </patternFill>
    </fill>
    <fill>
      <patternFill patternType="solid">
        <fgColor theme="0" tint="-0.34998626667073579"/>
        <bgColor indexed="64"/>
      </patternFill>
    </fill>
    <fill>
      <patternFill patternType="solid">
        <fgColor rgb="FFE4E4E4"/>
        <bgColor indexed="64"/>
      </patternFill>
    </fill>
    <fill>
      <patternFill patternType="solid">
        <fgColor theme="2"/>
        <bgColor indexed="64"/>
      </patternFill>
    </fill>
    <fill>
      <patternFill patternType="solid">
        <fgColor theme="9"/>
        <bgColor indexed="64"/>
      </patternFill>
    </fill>
    <fill>
      <patternFill patternType="solid">
        <fgColor theme="5" tint="0.59999389629810485"/>
        <bgColor indexed="64"/>
      </patternFill>
    </fill>
    <fill>
      <patternFill patternType="solid">
        <fgColor theme="2" tint="-0.249977111117893"/>
        <bgColor indexed="64"/>
      </patternFill>
    </fill>
    <fill>
      <patternFill patternType="solid">
        <fgColor theme="4"/>
      </patternFill>
    </fill>
    <fill>
      <patternFill patternType="solid">
        <fgColor theme="7" tint="-0.249977111117893"/>
        <bgColor indexed="64"/>
      </patternFill>
    </fill>
    <fill>
      <patternFill patternType="solid">
        <fgColor rgb="FF7030A0"/>
        <bgColor indexed="64"/>
      </patternFill>
    </fill>
    <fill>
      <patternFill patternType="solid">
        <fgColor rgb="FF002060"/>
        <bgColor indexed="64"/>
      </patternFill>
    </fill>
  </fills>
  <borders count="17">
    <border>
      <left/>
      <right/>
      <top/>
      <bottom/>
      <diagonal/>
    </border>
    <border>
      <left/>
      <right/>
      <top/>
      <bottom style="thin">
        <color indexed="64"/>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style="thin">
        <color indexed="64"/>
      </top>
      <bottom style="thin">
        <color indexed="64"/>
      </bottom>
      <diagonal/>
    </border>
    <border>
      <left/>
      <right/>
      <top style="thin">
        <color indexed="64"/>
      </top>
      <bottom style="medium">
        <color indexed="64"/>
      </bottom>
      <diagonal/>
    </border>
    <border>
      <left/>
      <right style="thin">
        <color indexed="64"/>
      </right>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top/>
      <bottom style="double">
        <color indexed="64"/>
      </bottom>
      <diagonal/>
    </border>
    <border>
      <left/>
      <right/>
      <top style="medium">
        <color indexed="64"/>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s>
  <cellStyleXfs count="8">
    <xf numFmtId="0" fontId="0" fillId="0" borderId="0"/>
    <xf numFmtId="43" fontId="6" fillId="0" borderId="0" applyFont="0" applyFill="0" applyBorder="0" applyAlignment="0" applyProtection="0"/>
    <xf numFmtId="44" fontId="6" fillId="0" borderId="0" applyFont="0" applyFill="0" applyBorder="0" applyAlignment="0" applyProtection="0"/>
    <xf numFmtId="9" fontId="6" fillId="0" borderId="0" applyFont="0" applyFill="0" applyBorder="0" applyAlignment="0" applyProtection="0"/>
    <xf numFmtId="0" fontId="20" fillId="0" borderId="0"/>
    <xf numFmtId="0" fontId="20" fillId="0" borderId="0"/>
    <xf numFmtId="0" fontId="23" fillId="0" borderId="0" applyNumberFormat="0" applyFill="0" applyBorder="0" applyAlignment="0" applyProtection="0"/>
    <xf numFmtId="0" fontId="34" fillId="12" borderId="0" applyNumberFormat="0" applyBorder="0" applyAlignment="0" applyProtection="0"/>
  </cellStyleXfs>
  <cellXfs count="283">
    <xf numFmtId="0" fontId="0" fillId="0" borderId="0" xfId="0"/>
    <xf numFmtId="0" fontId="1" fillId="0" borderId="0" xfId="0" applyFont="1" applyAlignment="1">
      <alignment horizontal="center" vertical="center" wrapText="1"/>
    </xf>
    <xf numFmtId="0" fontId="0" fillId="0" borderId="0" xfId="0" applyAlignment="1">
      <alignment vertical="top" wrapText="1"/>
    </xf>
    <xf numFmtId="6" fontId="0" fillId="0" borderId="0" xfId="0" applyNumberFormat="1" applyAlignment="1">
      <alignment horizontal="right" vertical="center" wrapText="1"/>
    </xf>
    <xf numFmtId="37" fontId="3" fillId="0" borderId="0" xfId="0" applyNumberFormat="1" applyFont="1" applyAlignment="1">
      <alignment horizontal="right" vertical="center"/>
    </xf>
    <xf numFmtId="0" fontId="0" fillId="0" borderId="0" xfId="0" applyAlignment="1">
      <alignment horizontal="right" vertical="center" wrapText="1"/>
    </xf>
    <xf numFmtId="0" fontId="2" fillId="0" borderId="0" xfId="0" applyFont="1" applyAlignment="1">
      <alignment horizontal="center" vertical="center" wrapText="1"/>
    </xf>
    <xf numFmtId="0" fontId="0" fillId="0" borderId="0" xfId="0" applyAlignment="1">
      <alignment vertical="center" wrapText="1"/>
    </xf>
    <xf numFmtId="0" fontId="1" fillId="0" borderId="1" xfId="0" applyFont="1" applyBorder="1" applyAlignment="1">
      <alignment vertical="center" wrapText="1"/>
    </xf>
    <xf numFmtId="0" fontId="0" fillId="0" borderId="2" xfId="0" applyBorder="1" applyAlignment="1">
      <alignment vertical="center" wrapText="1"/>
    </xf>
    <xf numFmtId="0" fontId="0" fillId="0" borderId="0" xfId="0" applyAlignment="1">
      <alignment wrapText="1"/>
    </xf>
    <xf numFmtId="37" fontId="5" fillId="0" borderId="0" xfId="0" applyNumberFormat="1" applyFont="1" applyAlignment="1">
      <alignment horizontal="right" vertical="center"/>
    </xf>
    <xf numFmtId="3" fontId="1" fillId="0" borderId="2" xfId="0" applyNumberFormat="1" applyFont="1" applyBorder="1" applyAlignment="1">
      <alignment horizontal="right" vertical="center" wrapText="1"/>
    </xf>
    <xf numFmtId="0" fontId="0" fillId="0" borderId="0" xfId="0" applyAlignment="1">
      <alignment horizontal="left" vertical="center" wrapText="1" indent="2"/>
    </xf>
    <xf numFmtId="0" fontId="0" fillId="0" borderId="3" xfId="0" applyBorder="1"/>
    <xf numFmtId="44" fontId="0" fillId="0" borderId="3" xfId="2" applyFont="1" applyBorder="1"/>
    <xf numFmtId="165" fontId="0" fillId="0" borderId="3" xfId="1" applyNumberFormat="1" applyFont="1" applyBorder="1"/>
    <xf numFmtId="166" fontId="0" fillId="0" borderId="3" xfId="2" applyNumberFormat="1" applyFont="1" applyBorder="1"/>
    <xf numFmtId="6" fontId="1" fillId="0" borderId="0" xfId="0" applyNumberFormat="1" applyFont="1" applyAlignment="1">
      <alignment horizontal="right" vertical="center" wrapText="1"/>
    </xf>
    <xf numFmtId="0" fontId="0" fillId="2" borderId="1" xfId="0" applyFill="1" applyBorder="1" applyAlignment="1">
      <alignment vertical="center" wrapText="1"/>
    </xf>
    <xf numFmtId="6" fontId="1" fillId="2" borderId="1" xfId="0" applyNumberFormat="1" applyFont="1" applyFill="1" applyBorder="1" applyAlignment="1">
      <alignment horizontal="right" vertical="center" wrapText="1"/>
    </xf>
    <xf numFmtId="0" fontId="9" fillId="3" borderId="0" xfId="0" applyFont="1" applyFill="1"/>
    <xf numFmtId="0" fontId="0" fillId="3" borderId="0" xfId="0" applyFill="1"/>
    <xf numFmtId="0" fontId="10" fillId="3" borderId="0" xfId="0" applyFont="1" applyFill="1"/>
    <xf numFmtId="0" fontId="9" fillId="5" borderId="0" xfId="0" applyFont="1" applyFill="1"/>
    <xf numFmtId="0" fontId="0" fillId="5" borderId="0" xfId="0" applyFill="1"/>
    <xf numFmtId="0" fontId="0" fillId="6" borderId="0" xfId="0" applyFill="1"/>
    <xf numFmtId="0" fontId="3" fillId="6" borderId="0" xfId="0" applyFont="1" applyFill="1" applyAlignment="1">
      <alignment vertical="top" wrapText="1"/>
    </xf>
    <xf numFmtId="0" fontId="12" fillId="0" borderId="0" xfId="0" applyFont="1" applyAlignment="1">
      <alignment vertical="center" wrapText="1"/>
    </xf>
    <xf numFmtId="0" fontId="12" fillId="0" borderId="0" xfId="0" applyFont="1" applyAlignment="1">
      <alignment horizontal="center" vertical="center" wrapText="1"/>
    </xf>
    <xf numFmtId="0" fontId="12" fillId="0" borderId="0" xfId="0" applyFont="1" applyAlignment="1">
      <alignment horizontal="left" vertical="center" wrapText="1"/>
    </xf>
    <xf numFmtId="0" fontId="11" fillId="0" borderId="1" xfId="0" applyFont="1" applyBorder="1" applyAlignment="1">
      <alignment horizontal="left" vertical="top" wrapText="1" indent="1"/>
    </xf>
    <xf numFmtId="0" fontId="11" fillId="0" borderId="1" xfId="0" applyFont="1" applyBorder="1" applyAlignment="1">
      <alignment horizontal="left" vertical="center" wrapText="1" indent="1"/>
    </xf>
    <xf numFmtId="0" fontId="14" fillId="0" borderId="1" xfId="0" applyFont="1" applyBorder="1" applyAlignment="1">
      <alignment horizontal="left" vertical="center" wrapText="1" indent="1"/>
    </xf>
    <xf numFmtId="0" fontId="12" fillId="0" borderId="2" xfId="0" applyFont="1" applyBorder="1" applyAlignment="1">
      <alignment horizontal="left" vertical="center" wrapText="1"/>
    </xf>
    <xf numFmtId="3" fontId="11" fillId="0" borderId="2" xfId="0" applyNumberFormat="1" applyFont="1" applyBorder="1" applyAlignment="1">
      <alignment vertical="center" wrapText="1"/>
    </xf>
    <xf numFmtId="0" fontId="16" fillId="0" borderId="2" xfId="0" applyFont="1" applyBorder="1" applyAlignment="1">
      <alignment horizontal="left" vertical="center" wrapText="1"/>
    </xf>
    <xf numFmtId="6" fontId="14" fillId="0" borderId="2" xfId="0" applyNumberFormat="1" applyFont="1" applyBorder="1" applyAlignment="1">
      <alignment vertical="center" wrapText="1"/>
    </xf>
    <xf numFmtId="3" fontId="11" fillId="0" borderId="1" xfId="0" applyNumberFormat="1" applyFont="1" applyBorder="1" applyAlignment="1">
      <alignment vertical="center" wrapText="1"/>
    </xf>
    <xf numFmtId="0" fontId="12" fillId="0" borderId="1" xfId="0" applyFont="1" applyBorder="1" applyAlignment="1">
      <alignment vertical="center" wrapText="1"/>
    </xf>
    <xf numFmtId="3" fontId="15" fillId="0" borderId="2" xfId="0" applyNumberFormat="1" applyFont="1" applyBorder="1" applyAlignment="1">
      <alignment horizontal="right" vertical="center" wrapText="1"/>
    </xf>
    <xf numFmtId="0" fontId="19" fillId="0" borderId="0" xfId="0" applyFont="1"/>
    <xf numFmtId="0" fontId="11" fillId="0" borderId="0" xfId="0" applyFont="1" applyAlignment="1">
      <alignment horizontal="left" vertical="top" wrapText="1" indent="1"/>
    </xf>
    <xf numFmtId="0" fontId="0" fillId="0" borderId="0" xfId="0" applyAlignment="1">
      <alignment horizontal="left" wrapText="1"/>
    </xf>
    <xf numFmtId="0" fontId="0" fillId="0" borderId="0" xfId="0" applyAlignment="1">
      <alignment horizontal="left" wrapText="1" indent="1"/>
    </xf>
    <xf numFmtId="0" fontId="0" fillId="0" borderId="0" xfId="0" applyAlignment="1">
      <alignment horizontal="left" vertical="center" wrapText="1" indent="1"/>
    </xf>
    <xf numFmtId="0" fontId="0" fillId="0" borderId="0" xfId="0" applyAlignment="1">
      <alignment horizontal="left" indent="2"/>
    </xf>
    <xf numFmtId="167" fontId="21" fillId="0" borderId="0" xfId="0" applyNumberFormat="1" applyFont="1"/>
    <xf numFmtId="167" fontId="0" fillId="0" borderId="0" xfId="0" applyNumberFormat="1"/>
    <xf numFmtId="0" fontId="0" fillId="0" borderId="0" xfId="0" applyAlignment="1">
      <alignment horizontal="left" indent="3"/>
    </xf>
    <xf numFmtId="0" fontId="0" fillId="0" borderId="0" xfId="0" applyAlignment="1">
      <alignment horizontal="left" vertical="center" wrapText="1" indent="3"/>
    </xf>
    <xf numFmtId="9" fontId="0" fillId="0" borderId="0" xfId="0" applyNumberFormat="1"/>
    <xf numFmtId="37" fontId="0" fillId="0" borderId="0" xfId="0" applyNumberFormat="1"/>
    <xf numFmtId="166" fontId="21" fillId="0" borderId="0" xfId="2" applyNumberFormat="1" applyFont="1"/>
    <xf numFmtId="168" fontId="0" fillId="0" borderId="0" xfId="3" applyNumberFormat="1" applyFont="1"/>
    <xf numFmtId="166" fontId="0" fillId="0" borderId="4" xfId="2" applyNumberFormat="1" applyFont="1" applyBorder="1"/>
    <xf numFmtId="44" fontId="0" fillId="0" borderId="0" xfId="0" applyNumberFormat="1"/>
    <xf numFmtId="37" fontId="3" fillId="0" borderId="4" xfId="0" applyNumberFormat="1" applyFont="1" applyBorder="1" applyAlignment="1">
      <alignment horizontal="right" vertical="center"/>
    </xf>
    <xf numFmtId="0" fontId="1" fillId="7" borderId="0" xfId="0" applyFont="1" applyFill="1" applyAlignment="1">
      <alignment horizontal="center" vertical="center" wrapText="1"/>
    </xf>
    <xf numFmtId="0" fontId="2" fillId="7" borderId="0" xfId="0" applyFont="1" applyFill="1" applyAlignment="1">
      <alignment horizontal="center" vertical="center" wrapText="1"/>
    </xf>
    <xf numFmtId="0" fontId="0" fillId="7" borderId="1" xfId="0" applyFill="1" applyBorder="1" applyAlignment="1">
      <alignment vertical="center" wrapText="1"/>
    </xf>
    <xf numFmtId="0" fontId="0" fillId="7" borderId="1" xfId="0" applyFill="1" applyBorder="1" applyAlignment="1">
      <alignment vertical="center"/>
    </xf>
    <xf numFmtId="0" fontId="0" fillId="7" borderId="1" xfId="0" applyFill="1" applyBorder="1" applyAlignment="1">
      <alignment horizontal="right" vertical="center"/>
    </xf>
    <xf numFmtId="6" fontId="4" fillId="7" borderId="0" xfId="0" applyNumberFormat="1" applyFont="1" applyFill="1" applyAlignment="1">
      <alignment horizontal="right" vertical="center" wrapText="1"/>
    </xf>
    <xf numFmtId="164" fontId="5" fillId="7" borderId="0" xfId="0" applyNumberFormat="1" applyFont="1" applyFill="1" applyAlignment="1">
      <alignment horizontal="right" vertical="center"/>
    </xf>
    <xf numFmtId="3" fontId="4" fillId="7" borderId="0" xfId="0" applyNumberFormat="1" applyFont="1" applyFill="1" applyAlignment="1">
      <alignment horizontal="right" vertical="center" wrapText="1"/>
    </xf>
    <xf numFmtId="37" fontId="5" fillId="7" borderId="0" xfId="0" applyNumberFormat="1" applyFont="1" applyFill="1" applyAlignment="1">
      <alignment horizontal="right" vertical="center"/>
    </xf>
    <xf numFmtId="3" fontId="15" fillId="7" borderId="2" xfId="0" applyNumberFormat="1" applyFont="1" applyFill="1" applyBorder="1" applyAlignment="1">
      <alignment horizontal="right" vertical="center" wrapText="1"/>
    </xf>
    <xf numFmtId="0" fontId="0" fillId="7" borderId="0" xfId="0" applyFill="1"/>
    <xf numFmtId="9" fontId="0" fillId="7" borderId="0" xfId="3" applyFont="1" applyFill="1" applyAlignment="1">
      <alignment horizontal="right" vertical="center" wrapText="1"/>
    </xf>
    <xf numFmtId="3" fontId="0" fillId="7" borderId="0" xfId="0" applyNumberFormat="1" applyFill="1" applyAlignment="1">
      <alignment horizontal="right" vertical="center" wrapText="1"/>
    </xf>
    <xf numFmtId="0" fontId="0" fillId="7" borderId="1" xfId="0" applyFill="1" applyBorder="1" applyAlignment="1">
      <alignment horizontal="right" vertical="center" wrapText="1"/>
    </xf>
    <xf numFmtId="3" fontId="7" fillId="7" borderId="0" xfId="0" applyNumberFormat="1" applyFont="1" applyFill="1" applyAlignment="1">
      <alignment horizontal="right" vertical="center" wrapText="1"/>
    </xf>
    <xf numFmtId="0" fontId="4" fillId="7" borderId="0" xfId="0" applyFont="1" applyFill="1" applyAlignment="1">
      <alignment horizontal="right" vertical="center" wrapText="1"/>
    </xf>
    <xf numFmtId="0" fontId="4" fillId="7" borderId="0" xfId="0" applyFont="1" applyFill="1" applyAlignment="1">
      <alignment vertical="center"/>
    </xf>
    <xf numFmtId="3" fontId="0" fillId="7" borderId="0" xfId="0" applyNumberFormat="1" applyFill="1"/>
    <xf numFmtId="3" fontId="1" fillId="7" borderId="2" xfId="0" applyNumberFormat="1" applyFont="1" applyFill="1" applyBorder="1" applyAlignment="1">
      <alignment horizontal="right" vertical="center" wrapText="1"/>
    </xf>
    <xf numFmtId="0" fontId="16" fillId="0" borderId="0" xfId="0" applyFont="1" applyAlignment="1">
      <alignment horizontal="left" vertical="center" wrapText="1"/>
    </xf>
    <xf numFmtId="6" fontId="14" fillId="0" borderId="0" xfId="0" applyNumberFormat="1" applyFont="1" applyAlignment="1">
      <alignment vertical="center" wrapText="1"/>
    </xf>
    <xf numFmtId="10" fontId="0" fillId="0" borderId="0" xfId="3" applyNumberFormat="1" applyFont="1"/>
    <xf numFmtId="2" fontId="0" fillId="0" borderId="0" xfId="0" applyNumberFormat="1"/>
    <xf numFmtId="0" fontId="0" fillId="0" borderId="0" xfId="0" applyAlignment="1">
      <alignment horizontal="left" vertical="center" wrapText="1"/>
    </xf>
    <xf numFmtId="0" fontId="0" fillId="0" borderId="0" xfId="0" quotePrefix="1"/>
    <xf numFmtId="0" fontId="23" fillId="0" borderId="0" xfId="6"/>
    <xf numFmtId="1" fontId="0" fillId="0" borderId="0" xfId="0" applyNumberFormat="1"/>
    <xf numFmtId="0" fontId="7" fillId="0" borderId="0" xfId="0" applyFont="1"/>
    <xf numFmtId="37" fontId="24" fillId="0" borderId="0" xfId="0" applyNumberFormat="1" applyFont="1"/>
    <xf numFmtId="1" fontId="1" fillId="0" borderId="1" xfId="0" applyNumberFormat="1" applyFont="1" applyBorder="1" applyAlignment="1">
      <alignment vertical="center" wrapText="1"/>
    </xf>
    <xf numFmtId="3" fontId="0" fillId="0" borderId="0" xfId="0" applyNumberFormat="1"/>
    <xf numFmtId="165" fontId="0" fillId="0" borderId="0" xfId="1" applyNumberFormat="1" applyFont="1"/>
    <xf numFmtId="0" fontId="1" fillId="0" borderId="1" xfId="0" applyFont="1" applyBorder="1" applyAlignment="1">
      <alignment horizontal="center"/>
    </xf>
    <xf numFmtId="3" fontId="0" fillId="0" borderId="4" xfId="0" applyNumberFormat="1" applyBorder="1"/>
    <xf numFmtId="4" fontId="0" fillId="0" borderId="0" xfId="0" applyNumberFormat="1"/>
    <xf numFmtId="4" fontId="19" fillId="0" borderId="0" xfId="0" applyNumberFormat="1" applyFont="1"/>
    <xf numFmtId="10" fontId="0" fillId="0" borderId="0" xfId="0" applyNumberFormat="1"/>
    <xf numFmtId="169" fontId="26" fillId="0" borderId="0" xfId="0" applyNumberFormat="1" applyFont="1" applyAlignment="1">
      <alignment horizontal="left" vertical="center"/>
    </xf>
    <xf numFmtId="3" fontId="26" fillId="0" borderId="0" xfId="0" applyNumberFormat="1" applyFont="1" applyAlignment="1">
      <alignment horizontal="right" vertical="center"/>
    </xf>
    <xf numFmtId="8" fontId="1" fillId="0" borderId="0" xfId="0" applyNumberFormat="1" applyFont="1" applyAlignment="1">
      <alignment horizontal="right" vertical="center" wrapText="1"/>
    </xf>
    <xf numFmtId="8" fontId="0" fillId="0" borderId="0" xfId="0" applyNumberFormat="1"/>
    <xf numFmtId="6" fontId="0" fillId="0" borderId="0" xfId="0" applyNumberFormat="1"/>
    <xf numFmtId="0" fontId="0" fillId="8" borderId="1" xfId="0" applyFill="1" applyBorder="1" applyAlignment="1">
      <alignment vertical="center" wrapText="1"/>
    </xf>
    <xf numFmtId="0" fontId="0" fillId="8" borderId="0" xfId="0" applyFill="1"/>
    <xf numFmtId="0" fontId="1" fillId="8" borderId="0" xfId="0" applyFont="1" applyFill="1" applyAlignment="1">
      <alignment horizontal="center" vertical="center" wrapText="1"/>
    </xf>
    <xf numFmtId="0" fontId="2" fillId="8" borderId="0" xfId="0" applyFont="1" applyFill="1" applyAlignment="1">
      <alignment horizontal="center" vertical="center" wrapText="1"/>
    </xf>
    <xf numFmtId="0" fontId="11" fillId="8" borderId="0" xfId="0" applyFont="1" applyFill="1" applyAlignment="1">
      <alignment horizontal="center" vertical="center" wrapText="1"/>
    </xf>
    <xf numFmtId="0" fontId="13" fillId="8" borderId="0" xfId="0" applyFont="1" applyFill="1" applyAlignment="1">
      <alignment horizontal="center" vertical="center" wrapText="1"/>
    </xf>
    <xf numFmtId="0" fontId="0" fillId="8" borderId="1" xfId="0" applyFill="1" applyBorder="1" applyAlignment="1">
      <alignment wrapText="1"/>
    </xf>
    <xf numFmtId="0" fontId="0" fillId="8" borderId="1" xfId="0" applyFill="1" applyBorder="1"/>
    <xf numFmtId="0" fontId="0" fillId="8" borderId="0" xfId="0" applyFill="1" applyAlignment="1">
      <alignment wrapText="1"/>
    </xf>
    <xf numFmtId="6" fontId="4" fillId="8" borderId="0" xfId="0" applyNumberFormat="1" applyFont="1" applyFill="1" applyAlignment="1">
      <alignment vertical="center" wrapText="1"/>
    </xf>
    <xf numFmtId="164" fontId="5" fillId="8" borderId="0" xfId="0" applyNumberFormat="1" applyFont="1" applyFill="1" applyAlignment="1">
      <alignment horizontal="right" vertical="center"/>
    </xf>
    <xf numFmtId="3" fontId="4" fillId="8" borderId="0" xfId="0" applyNumberFormat="1" applyFont="1" applyFill="1" applyAlignment="1">
      <alignment vertical="center" wrapText="1"/>
    </xf>
    <xf numFmtId="37" fontId="5" fillId="8" borderId="0" xfId="0" applyNumberFormat="1" applyFont="1" applyFill="1" applyAlignment="1">
      <alignment horizontal="right" vertical="center"/>
    </xf>
    <xf numFmtId="0" fontId="0" fillId="8" borderId="1" xfId="0" applyFill="1" applyBorder="1" applyAlignment="1">
      <alignment vertical="center"/>
    </xf>
    <xf numFmtId="3" fontId="1" fillId="8" borderId="1" xfId="0" applyNumberFormat="1" applyFont="1" applyFill="1" applyBorder="1" applyAlignment="1">
      <alignment vertical="center" wrapText="1"/>
    </xf>
    <xf numFmtId="3" fontId="11" fillId="8" borderId="2" xfId="0" applyNumberFormat="1" applyFont="1" applyFill="1" applyBorder="1" applyAlignment="1">
      <alignment vertical="center" wrapText="1"/>
    </xf>
    <xf numFmtId="3" fontId="0" fillId="8" borderId="0" xfId="0" applyNumberFormat="1" applyFill="1" applyAlignment="1">
      <alignment vertical="center" wrapText="1"/>
    </xf>
    <xf numFmtId="37" fontId="3" fillId="8" borderId="0" xfId="0" applyNumberFormat="1" applyFont="1" applyFill="1" applyAlignment="1">
      <alignment horizontal="right" vertical="center"/>
    </xf>
    <xf numFmtId="0" fontId="0" fillId="8" borderId="0" xfId="0" applyFill="1" applyAlignment="1">
      <alignment horizontal="right" vertical="center" wrapText="1"/>
    </xf>
    <xf numFmtId="0" fontId="0" fillId="8" borderId="0" xfId="0" applyFill="1" applyAlignment="1">
      <alignment vertical="center" wrapText="1"/>
    </xf>
    <xf numFmtId="0" fontId="3" fillId="8" borderId="0" xfId="0" applyFont="1" applyFill="1" applyAlignment="1">
      <alignment vertical="center" wrapText="1"/>
    </xf>
    <xf numFmtId="0" fontId="0" fillId="8" borderId="0" xfId="0" applyFill="1" applyAlignment="1">
      <alignment vertical="center"/>
    </xf>
    <xf numFmtId="3" fontId="11" fillId="8" borderId="1" xfId="0" applyNumberFormat="1" applyFont="1" applyFill="1" applyBorder="1" applyAlignment="1">
      <alignment vertical="center" wrapText="1"/>
    </xf>
    <xf numFmtId="3" fontId="11" fillId="8" borderId="0" xfId="0" applyNumberFormat="1" applyFont="1" applyFill="1" applyAlignment="1">
      <alignment vertical="center" wrapText="1"/>
    </xf>
    <xf numFmtId="6" fontId="14" fillId="8" borderId="2" xfId="0" applyNumberFormat="1" applyFont="1" applyFill="1" applyBorder="1" applyAlignment="1">
      <alignment vertical="center" wrapText="1"/>
    </xf>
    <xf numFmtId="0" fontId="0" fillId="0" borderId="4" xfId="0" applyBorder="1"/>
    <xf numFmtId="1" fontId="0" fillId="0" borderId="4" xfId="0" applyNumberFormat="1" applyBorder="1"/>
    <xf numFmtId="37" fontId="5" fillId="0" borderId="4" xfId="0" applyNumberFormat="1" applyFont="1" applyBorder="1" applyAlignment="1">
      <alignment horizontal="right" vertical="center"/>
    </xf>
    <xf numFmtId="0" fontId="27" fillId="0" borderId="0" xfId="0" applyFont="1" applyAlignment="1">
      <alignment horizontal="left" vertical="center" wrapText="1" indent="2"/>
    </xf>
    <xf numFmtId="37" fontId="1" fillId="0" borderId="0" xfId="0" applyNumberFormat="1" applyFont="1" applyAlignment="1">
      <alignment vertical="center"/>
    </xf>
    <xf numFmtId="37" fontId="0" fillId="8" borderId="1" xfId="0" applyNumberFormat="1" applyFill="1" applyBorder="1" applyAlignment="1">
      <alignment vertical="center"/>
    </xf>
    <xf numFmtId="37" fontId="0" fillId="0" borderId="4" xfId="0" applyNumberFormat="1" applyBorder="1"/>
    <xf numFmtId="0" fontId="9" fillId="9" borderId="0" xfId="0" applyFont="1" applyFill="1"/>
    <xf numFmtId="167" fontId="0" fillId="8" borderId="0" xfId="0" applyNumberFormat="1" applyFill="1"/>
    <xf numFmtId="167" fontId="4" fillId="8" borderId="0" xfId="0" applyNumberFormat="1" applyFont="1" applyFill="1"/>
    <xf numFmtId="167" fontId="21" fillId="8" borderId="0" xfId="0" applyNumberFormat="1" applyFont="1" applyFill="1"/>
    <xf numFmtId="0" fontId="19" fillId="0" borderId="1" xfId="0" applyFont="1" applyBorder="1"/>
    <xf numFmtId="0" fontId="22" fillId="8" borderId="1" xfId="0" applyFont="1" applyFill="1" applyBorder="1"/>
    <xf numFmtId="0" fontId="22" fillId="0" borderId="1" xfId="0" applyFont="1" applyBorder="1"/>
    <xf numFmtId="0" fontId="0" fillId="0" borderId="5" xfId="0" applyBorder="1"/>
    <xf numFmtId="167" fontId="21" fillId="8" borderId="5" xfId="0" applyNumberFormat="1" applyFont="1" applyFill="1" applyBorder="1"/>
    <xf numFmtId="167" fontId="21" fillId="0" borderId="5" xfId="0" applyNumberFormat="1" applyFont="1" applyBorder="1"/>
    <xf numFmtId="0" fontId="28" fillId="0" borderId="6" xfId="0" applyFont="1" applyBorder="1"/>
    <xf numFmtId="166" fontId="11" fillId="8" borderId="6" xfId="2" applyNumberFormat="1" applyFont="1" applyFill="1" applyBorder="1"/>
    <xf numFmtId="166" fontId="11" fillId="0" borderId="6" xfId="2" applyNumberFormat="1" applyFont="1" applyBorder="1"/>
    <xf numFmtId="0" fontId="10" fillId="11" borderId="0" xfId="0" applyFont="1" applyFill="1"/>
    <xf numFmtId="0" fontId="9" fillId="11" borderId="0" xfId="0" applyFont="1" applyFill="1"/>
    <xf numFmtId="0" fontId="0" fillId="11" borderId="0" xfId="0" applyFill="1"/>
    <xf numFmtId="0" fontId="11" fillId="0" borderId="0" xfId="0" applyFont="1" applyAlignment="1">
      <alignment horizontal="left" vertical="center" wrapText="1" indent="1"/>
    </xf>
    <xf numFmtId="3" fontId="1" fillId="8" borderId="0" xfId="0" applyNumberFormat="1" applyFont="1" applyFill="1" applyAlignment="1">
      <alignment vertical="center" wrapText="1"/>
    </xf>
    <xf numFmtId="170" fontId="0" fillId="0" borderId="0" xfId="1" applyNumberFormat="1" applyFont="1"/>
    <xf numFmtId="0" fontId="10" fillId="11" borderId="7" xfId="0" applyFont="1" applyFill="1" applyBorder="1"/>
    <xf numFmtId="0" fontId="0" fillId="0" borderId="7" xfId="0" applyBorder="1"/>
    <xf numFmtId="3" fontId="0" fillId="0" borderId="0" xfId="0" applyNumberFormat="1" applyAlignment="1">
      <alignment vertical="center"/>
    </xf>
    <xf numFmtId="0" fontId="0" fillId="0" borderId="0" xfId="0" applyAlignment="1">
      <alignment vertical="center"/>
    </xf>
    <xf numFmtId="10" fontId="0" fillId="0" borderId="0" xfId="3" applyNumberFormat="1" applyFont="1" applyAlignment="1">
      <alignment vertical="center"/>
    </xf>
    <xf numFmtId="3" fontId="0" fillId="0" borderId="4" xfId="0" applyNumberFormat="1" applyBorder="1" applyAlignment="1">
      <alignment vertical="center"/>
    </xf>
    <xf numFmtId="0" fontId="0" fillId="0" borderId="8" xfId="0" applyBorder="1"/>
    <xf numFmtId="37" fontId="30" fillId="0" borderId="0" xfId="0" applyNumberFormat="1" applyFont="1"/>
    <xf numFmtId="0" fontId="0" fillId="0" borderId="9" xfId="0" quotePrefix="1" applyBorder="1"/>
    <xf numFmtId="37" fontId="30" fillId="0" borderId="1" xfId="0" applyNumberFormat="1" applyFont="1" applyBorder="1"/>
    <xf numFmtId="0" fontId="0" fillId="0" borderId="10" xfId="0" applyBorder="1"/>
    <xf numFmtId="6" fontId="0" fillId="0" borderId="11" xfId="0" applyNumberFormat="1" applyBorder="1"/>
    <xf numFmtId="0" fontId="28" fillId="0" borderId="1" xfId="0" applyFont="1" applyBorder="1"/>
    <xf numFmtId="0" fontId="2" fillId="0" borderId="1" xfId="0" applyFont="1" applyBorder="1" applyAlignment="1">
      <alignment horizontal="center" vertical="center" wrapText="1"/>
    </xf>
    <xf numFmtId="0" fontId="0" fillId="0" borderId="1" xfId="0" applyBorder="1"/>
    <xf numFmtId="0" fontId="0" fillId="0" borderId="12" xfId="0" applyBorder="1"/>
    <xf numFmtId="1" fontId="0" fillId="0" borderId="12" xfId="0" applyNumberFormat="1" applyBorder="1"/>
    <xf numFmtId="0" fontId="1" fillId="0" borderId="1" xfId="0" applyFont="1" applyBorder="1" applyAlignment="1">
      <alignment horizontal="center" vertical="center" wrapText="1"/>
    </xf>
    <xf numFmtId="5" fontId="0" fillId="0" borderId="0" xfId="0" applyNumberFormat="1"/>
    <xf numFmtId="0" fontId="0" fillId="0" borderId="12" xfId="0" quotePrefix="1" applyBorder="1"/>
    <xf numFmtId="0" fontId="7" fillId="0" borderId="12" xfId="0" applyFont="1" applyBorder="1"/>
    <xf numFmtId="37" fontId="0" fillId="0" borderId="1" xfId="0" applyNumberFormat="1" applyBorder="1"/>
    <xf numFmtId="0" fontId="0" fillId="0" borderId="12" xfId="0" applyBorder="1" applyAlignment="1">
      <alignment wrapText="1"/>
    </xf>
    <xf numFmtId="0" fontId="0" fillId="0" borderId="3" xfId="0" applyBorder="1" applyAlignment="1">
      <alignment horizontal="right"/>
    </xf>
    <xf numFmtId="169" fontId="25" fillId="0" borderId="3" xfId="0" applyNumberFormat="1" applyFont="1" applyBorder="1" applyAlignment="1">
      <alignment horizontal="left" vertical="center"/>
    </xf>
    <xf numFmtId="3" fontId="0" fillId="0" borderId="3" xfId="0" applyNumberFormat="1" applyBorder="1"/>
    <xf numFmtId="0" fontId="0" fillId="0" borderId="1" xfId="0" applyBorder="1" applyAlignment="1">
      <alignment wrapText="1"/>
    </xf>
    <xf numFmtId="14" fontId="26" fillId="0" borderId="0" xfId="0" applyNumberFormat="1" applyFont="1" applyAlignment="1">
      <alignment horizontal="left" vertical="center"/>
    </xf>
    <xf numFmtId="14" fontId="26" fillId="0" borderId="1" xfId="0" applyNumberFormat="1" applyFont="1" applyBorder="1" applyAlignment="1">
      <alignment horizontal="left" vertical="center"/>
    </xf>
    <xf numFmtId="169" fontId="26" fillId="0" borderId="1" xfId="0" applyNumberFormat="1" applyFont="1" applyBorder="1" applyAlignment="1">
      <alignment horizontal="left" vertical="center"/>
    </xf>
    <xf numFmtId="3" fontId="26" fillId="0" borderId="1" xfId="0" applyNumberFormat="1" applyFont="1" applyBorder="1" applyAlignment="1">
      <alignment horizontal="right" vertical="center"/>
    </xf>
    <xf numFmtId="0" fontId="19" fillId="0" borderId="11" xfId="0" applyFont="1" applyBorder="1"/>
    <xf numFmtId="3" fontId="1" fillId="0" borderId="11" xfId="0" applyNumberFormat="1" applyFont="1" applyBorder="1"/>
    <xf numFmtId="3" fontId="0" fillId="0" borderId="1" xfId="0" applyNumberFormat="1" applyBorder="1"/>
    <xf numFmtId="4" fontId="0" fillId="0" borderId="12" xfId="0" applyNumberFormat="1" applyBorder="1"/>
    <xf numFmtId="0" fontId="12" fillId="0" borderId="0" xfId="0" applyFont="1"/>
    <xf numFmtId="0" fontId="12" fillId="0" borderId="12" xfId="0" applyFont="1" applyBorder="1"/>
    <xf numFmtId="1" fontId="0" fillId="0" borderId="1" xfId="0" applyNumberFormat="1" applyBorder="1"/>
    <xf numFmtId="0" fontId="16" fillId="0" borderId="1" xfId="0" applyFont="1" applyBorder="1" applyAlignment="1">
      <alignment horizontal="left" vertical="center" wrapText="1"/>
    </xf>
    <xf numFmtId="6" fontId="14" fillId="0" borderId="1" xfId="0" applyNumberFormat="1" applyFont="1" applyBorder="1" applyAlignment="1">
      <alignment vertical="center" wrapText="1"/>
    </xf>
    <xf numFmtId="0" fontId="23" fillId="0" borderId="3" xfId="6" applyBorder="1"/>
    <xf numFmtId="0" fontId="23" fillId="0" borderId="3" xfId="6" quotePrefix="1" applyBorder="1"/>
    <xf numFmtId="0" fontId="28" fillId="0" borderId="0" xfId="0" applyFont="1"/>
    <xf numFmtId="3" fontId="1" fillId="0" borderId="1" xfId="0" applyNumberFormat="1" applyFont="1" applyBorder="1" applyAlignment="1">
      <alignment vertical="center" wrapText="1"/>
    </xf>
    <xf numFmtId="3" fontId="1" fillId="0" borderId="0" xfId="0" applyNumberFormat="1" applyFont="1" applyAlignment="1">
      <alignment vertical="center" wrapText="1"/>
    </xf>
    <xf numFmtId="0" fontId="12" fillId="0" borderId="1" xfId="0" applyFont="1" applyBorder="1"/>
    <xf numFmtId="0" fontId="0" fillId="0" borderId="2" xfId="0" applyBorder="1" applyAlignment="1">
      <alignment horizontal="left" vertical="center" wrapText="1"/>
    </xf>
    <xf numFmtId="0" fontId="11" fillId="0" borderId="1" xfId="0" applyFont="1" applyBorder="1" applyAlignment="1">
      <alignment horizontal="center"/>
    </xf>
    <xf numFmtId="0" fontId="0" fillId="0" borderId="12" xfId="0" applyBorder="1" applyAlignment="1">
      <alignment horizontal="left" vertical="center" wrapText="1"/>
    </xf>
    <xf numFmtId="9" fontId="4" fillId="0" borderId="0" xfId="0" applyNumberFormat="1" applyFont="1"/>
    <xf numFmtId="0" fontId="4" fillId="0" borderId="0" xfId="0" applyFont="1"/>
    <xf numFmtId="0" fontId="4" fillId="0" borderId="1" xfId="0" applyFont="1" applyBorder="1"/>
    <xf numFmtId="2" fontId="4" fillId="0" borderId="0" xfId="0" applyNumberFormat="1" applyFont="1"/>
    <xf numFmtId="168" fontId="4" fillId="0" borderId="0" xfId="3" applyNumberFormat="1" applyFont="1"/>
    <xf numFmtId="168" fontId="4" fillId="0" borderId="0" xfId="0" applyNumberFormat="1" applyFont="1"/>
    <xf numFmtId="0" fontId="1" fillId="0" borderId="5" xfId="0" applyFont="1" applyBorder="1" applyAlignment="1">
      <alignment vertical="center" wrapText="1"/>
    </xf>
    <xf numFmtId="0" fontId="19" fillId="0" borderId="12" xfId="0" applyFont="1" applyBorder="1"/>
    <xf numFmtId="0" fontId="0" fillId="0" borderId="1" xfId="0" applyBorder="1" applyAlignment="1">
      <alignment horizontal="left" vertical="center" wrapText="1"/>
    </xf>
    <xf numFmtId="168" fontId="4" fillId="0" borderId="1" xfId="0" applyNumberFormat="1" applyFont="1" applyBorder="1"/>
    <xf numFmtId="168" fontId="0" fillId="0" borderId="2" xfId="3" applyNumberFormat="1" applyFont="1" applyBorder="1"/>
    <xf numFmtId="0" fontId="0" fillId="0" borderId="13" xfId="0" applyBorder="1" applyAlignment="1">
      <alignment vertical="center" wrapText="1"/>
    </xf>
    <xf numFmtId="3" fontId="7" fillId="7" borderId="13" xfId="0" applyNumberFormat="1" applyFont="1" applyFill="1" applyBorder="1" applyAlignment="1">
      <alignment horizontal="right" vertical="center" wrapText="1"/>
    </xf>
    <xf numFmtId="37" fontId="8" fillId="7" borderId="13" xfId="0" applyNumberFormat="1" applyFont="1" applyFill="1" applyBorder="1" applyAlignment="1">
      <alignment horizontal="right" vertical="center"/>
    </xf>
    <xf numFmtId="3" fontId="1" fillId="0" borderId="13" xfId="0" applyNumberFormat="1" applyFont="1" applyBorder="1" applyAlignment="1">
      <alignment horizontal="right" vertical="center" wrapText="1"/>
    </xf>
    <xf numFmtId="0" fontId="31" fillId="6" borderId="0" xfId="0" applyFont="1" applyFill="1"/>
    <xf numFmtId="0" fontId="1" fillId="7" borderId="0" xfId="0" applyFont="1" applyFill="1" applyAlignment="1">
      <alignment horizontal="center" vertical="center" wrapText="1"/>
    </xf>
    <xf numFmtId="0" fontId="0" fillId="0" borderId="0" xfId="0"/>
    <xf numFmtId="0" fontId="12" fillId="0" borderId="3" xfId="0" applyFont="1" applyBorder="1"/>
    <xf numFmtId="0" fontId="12" fillId="0" borderId="3" xfId="0" applyFont="1" applyBorder="1" applyAlignment="1">
      <alignment vertical="center"/>
    </xf>
    <xf numFmtId="0" fontId="41" fillId="10" borderId="0" xfId="0" applyFont="1" applyFill="1"/>
    <xf numFmtId="0" fontId="41" fillId="5" borderId="0" xfId="0" applyFont="1" applyFill="1"/>
    <xf numFmtId="0" fontId="42" fillId="11" borderId="0" xfId="0" applyFont="1" applyFill="1"/>
    <xf numFmtId="0" fontId="42" fillId="3" borderId="0" xfId="0" applyFont="1" applyFill="1"/>
    <xf numFmtId="0" fontId="41" fillId="4" borderId="0" xfId="0" applyFont="1" applyFill="1"/>
    <xf numFmtId="0" fontId="41" fillId="9" borderId="0" xfId="0" applyFont="1" applyFill="1"/>
    <xf numFmtId="0" fontId="0" fillId="0" borderId="0" xfId="0" applyBorder="1"/>
    <xf numFmtId="0" fontId="23" fillId="0" borderId="0" xfId="6" applyBorder="1" applyAlignment="1">
      <alignment horizontal="center" vertical="center" wrapText="1"/>
    </xf>
    <xf numFmtId="0" fontId="23" fillId="0" borderId="0" xfId="6" quotePrefix="1" applyBorder="1" applyAlignment="1">
      <alignment horizontal="center" vertical="center" wrapText="1"/>
    </xf>
    <xf numFmtId="0" fontId="10" fillId="11" borderId="0" xfId="0" applyFont="1" applyFill="1" applyBorder="1"/>
    <xf numFmtId="0" fontId="43" fillId="14" borderId="0" xfId="0" applyFont="1" applyFill="1"/>
    <xf numFmtId="0" fontId="43" fillId="15" borderId="0" xfId="0" applyFont="1" applyFill="1"/>
    <xf numFmtId="0" fontId="37" fillId="15" borderId="0" xfId="0" applyFont="1" applyFill="1"/>
    <xf numFmtId="0" fontId="34" fillId="15" borderId="0" xfId="0" applyFont="1" applyFill="1"/>
    <xf numFmtId="166" fontId="4" fillId="8" borderId="0" xfId="2" applyNumberFormat="1" applyFont="1" applyFill="1" applyAlignment="1">
      <alignment horizontal="right"/>
    </xf>
    <xf numFmtId="167" fontId="4" fillId="8" borderId="0" xfId="5" applyNumberFormat="1" applyFont="1" applyFill="1" applyAlignment="1">
      <alignment horizontal="right"/>
    </xf>
    <xf numFmtId="167" fontId="4" fillId="8" borderId="0" xfId="1" applyNumberFormat="1" applyFont="1" applyFill="1" applyAlignment="1">
      <alignment horizontal="right"/>
    </xf>
    <xf numFmtId="5" fontId="0" fillId="0" borderId="12" xfId="0" applyNumberFormat="1" applyBorder="1"/>
    <xf numFmtId="5" fontId="7" fillId="0" borderId="12" xfId="0" applyNumberFormat="1" applyFont="1" applyBorder="1"/>
    <xf numFmtId="5" fontId="7" fillId="0" borderId="4" xfId="0" applyNumberFormat="1" applyFont="1" applyBorder="1"/>
    <xf numFmtId="0" fontId="39" fillId="4" borderId="0" xfId="0" applyFont="1" applyFill="1"/>
    <xf numFmtId="0" fontId="0" fillId="10" borderId="0" xfId="0" applyFont="1" applyFill="1"/>
    <xf numFmtId="0" fontId="44" fillId="14" borderId="0" xfId="0" applyFont="1" applyFill="1"/>
    <xf numFmtId="0" fontId="39" fillId="10" borderId="0" xfId="0" applyFont="1" applyFill="1"/>
    <xf numFmtId="0" fontId="39" fillId="0" borderId="0" xfId="0" applyFont="1"/>
    <xf numFmtId="0" fontId="43" fillId="13" borderId="0" xfId="0" applyFont="1" applyFill="1"/>
    <xf numFmtId="0" fontId="44" fillId="13" borderId="0" xfId="0" applyFont="1" applyFill="1"/>
    <xf numFmtId="0" fontId="23" fillId="0" borderId="0" xfId="6" applyAlignment="1">
      <alignment horizontal="left"/>
    </xf>
    <xf numFmtId="10" fontId="32" fillId="0" borderId="15" xfId="0" applyNumberFormat="1" applyFont="1" applyBorder="1" applyProtection="1">
      <protection locked="0"/>
    </xf>
    <xf numFmtId="0" fontId="32" fillId="0" borderId="15" xfId="0" applyFont="1" applyBorder="1" applyAlignment="1" applyProtection="1">
      <alignment horizontal="right"/>
      <protection locked="0"/>
    </xf>
    <xf numFmtId="0" fontId="32" fillId="0" borderId="15" xfId="0" applyFont="1" applyBorder="1" applyProtection="1">
      <protection locked="0"/>
    </xf>
    <xf numFmtId="168" fontId="29" fillId="0" borderId="0" xfId="0" applyNumberFormat="1" applyFont="1" applyProtection="1">
      <protection locked="0"/>
    </xf>
    <xf numFmtId="0" fontId="29" fillId="0" borderId="0" xfId="0" applyFont="1" applyProtection="1">
      <protection locked="0"/>
    </xf>
    <xf numFmtId="0" fontId="41" fillId="0" borderId="0" xfId="0" applyFont="1" applyFill="1"/>
    <xf numFmtId="0" fontId="0" fillId="0" borderId="0" xfId="0"/>
    <xf numFmtId="0" fontId="46" fillId="0" borderId="0" xfId="0" applyFont="1"/>
    <xf numFmtId="0" fontId="45"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horizontal="left" vertical="top"/>
    </xf>
    <xf numFmtId="0" fontId="0" fillId="0" borderId="3" xfId="0" applyBorder="1" applyAlignment="1">
      <alignment horizontal="left"/>
    </xf>
    <xf numFmtId="0" fontId="19" fillId="0" borderId="3" xfId="0" applyFont="1" applyBorder="1" applyAlignment="1">
      <alignment horizontal="center"/>
    </xf>
    <xf numFmtId="171" fontId="36" fillId="12" borderId="3" xfId="7" applyNumberFormat="1" applyFont="1" applyBorder="1" applyAlignment="1">
      <alignment horizontal="center"/>
    </xf>
    <xf numFmtId="6" fontId="38" fillId="12" borderId="3" xfId="7" applyNumberFormat="1" applyFont="1" applyBorder="1" applyAlignment="1">
      <alignment horizontal="center"/>
    </xf>
    <xf numFmtId="0" fontId="0" fillId="0" borderId="3" xfId="0" applyBorder="1" applyAlignment="1">
      <alignment horizontal="left" vertical="top" wrapText="1"/>
    </xf>
    <xf numFmtId="0" fontId="32" fillId="0" borderId="16" xfId="0" applyFont="1" applyBorder="1" applyAlignment="1" applyProtection="1">
      <alignment horizontal="center" vertical="center" wrapText="1"/>
      <protection locked="0"/>
    </xf>
    <xf numFmtId="0" fontId="32" fillId="0" borderId="0" xfId="0" applyFont="1" applyBorder="1" applyAlignment="1" applyProtection="1">
      <alignment horizontal="center" vertical="center" wrapText="1"/>
      <protection locked="0"/>
    </xf>
    <xf numFmtId="0" fontId="12" fillId="0" borderId="0" xfId="0" applyFont="1" applyBorder="1" applyAlignment="1">
      <alignment horizontal="left" vertical="top" wrapText="1"/>
    </xf>
    <xf numFmtId="0" fontId="19" fillId="0" borderId="1" xfId="0" applyFont="1" applyBorder="1" applyAlignment="1">
      <alignment horizontal="center"/>
    </xf>
    <xf numFmtId="0" fontId="19" fillId="0" borderId="14" xfId="0" applyFont="1" applyBorder="1" applyAlignment="1">
      <alignment horizontal="center"/>
    </xf>
    <xf numFmtId="0" fontId="39" fillId="11" borderId="0" xfId="0" applyFont="1" applyFill="1" applyAlignment="1">
      <alignment horizontal="center" vertical="center" wrapText="1"/>
    </xf>
    <xf numFmtId="0" fontId="1" fillId="7" borderId="0" xfId="0" applyFont="1" applyFill="1" applyAlignment="1">
      <alignment horizontal="center" vertical="center" wrapText="1"/>
    </xf>
    <xf numFmtId="0" fontId="3" fillId="0" borderId="0" xfId="0" applyFont="1" applyAlignment="1">
      <alignment horizontal="left" vertical="top" wrapText="1"/>
    </xf>
    <xf numFmtId="0" fontId="0" fillId="0" borderId="0" xfId="0" applyAlignment="1">
      <alignment horizontal="left"/>
    </xf>
    <xf numFmtId="0" fontId="3" fillId="0" borderId="0" xfId="0" applyFont="1" applyAlignment="1">
      <alignment vertical="top" wrapText="1"/>
    </xf>
    <xf numFmtId="0" fontId="0" fillId="0" borderId="0" xfId="0"/>
    <xf numFmtId="0" fontId="39" fillId="3" borderId="0" xfId="0" applyFont="1" applyFill="1" applyAlignment="1">
      <alignment horizontal="center" vertical="center" wrapText="1"/>
    </xf>
    <xf numFmtId="0" fontId="39" fillId="4" borderId="0" xfId="0" applyFont="1" applyFill="1" applyAlignment="1">
      <alignment horizontal="center" vertical="center" wrapText="1"/>
    </xf>
    <xf numFmtId="0" fontId="0" fillId="9" borderId="0" xfId="0" applyFill="1" applyAlignment="1">
      <alignment horizontal="center" vertical="center" wrapText="1"/>
    </xf>
    <xf numFmtId="0" fontId="1" fillId="7" borderId="0" xfId="0" applyFont="1" applyFill="1" applyAlignment="1">
      <alignment horizontal="left" wrapText="1"/>
    </xf>
    <xf numFmtId="0" fontId="39" fillId="10" borderId="0" xfId="0" applyFont="1" applyFill="1" applyAlignment="1">
      <alignment horizontal="center" vertical="center" wrapText="1"/>
    </xf>
    <xf numFmtId="0" fontId="44" fillId="13" borderId="0" xfId="0" applyFont="1" applyFill="1" applyAlignment="1">
      <alignment horizontal="center" vertical="center" wrapText="1"/>
    </xf>
    <xf numFmtId="0" fontId="33" fillId="0" borderId="12" xfId="0" applyFont="1" applyBorder="1" applyAlignment="1">
      <alignment horizontal="center" vertical="center" wrapText="1"/>
    </xf>
    <xf numFmtId="0" fontId="44" fillId="14" borderId="0" xfId="0" applyFont="1" applyFill="1" applyAlignment="1">
      <alignment horizontal="center" vertical="center" wrapText="1"/>
    </xf>
  </cellXfs>
  <cellStyles count="8">
    <cellStyle name="Accent1" xfId="7" builtinId="29"/>
    <cellStyle name="Comma" xfId="1" builtinId="3"/>
    <cellStyle name="Comma 2" xfId="5" xr:uid="{00000000-0005-0000-0000-000001000000}"/>
    <cellStyle name="Currency" xfId="2" builtinId="4"/>
    <cellStyle name="Hyperlink" xfId="6" builtinId="8"/>
    <cellStyle name="Normal" xfId="0" builtinId="0"/>
    <cellStyle name="Normal 2" xfId="4" xr:uid="{00000000-0005-0000-0000-000005000000}"/>
    <cellStyle name="Percent" xfId="3" builtinId="5"/>
  </cellStyles>
  <dxfs count="0"/>
  <tableStyles count="0" defaultTableStyle="TableStyleMedium2" defaultPivotStyle="PivotStyleLight16"/>
  <colors>
    <mruColors>
      <color rgb="FFF57575"/>
      <color rgb="FFE4E4E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a:t>
            </a:r>
            <a:r>
              <a:rPr lang="en-US" baseline="0"/>
              <a:t> Revenue to Total Cost to Net Income Historical and Forecast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3"/>
          <c:order val="2"/>
          <c:tx>
            <c:v>Historical</c:v>
          </c:tx>
          <c:spPr>
            <a:solidFill>
              <a:schemeClr val="bg1">
                <a:lumMod val="65000"/>
              </a:schemeClr>
            </a:solidFill>
            <a:ln>
              <a:solidFill>
                <a:schemeClr val="bg1">
                  <a:lumMod val="65000"/>
                  <a:alpha val="75000"/>
                </a:schemeClr>
              </a:solidFill>
            </a:ln>
            <a:effectLst/>
          </c:spPr>
          <c:invertIfNegative val="0"/>
          <c:cat>
            <c:numRef>
              <c:f>Hidden!$E$22:$R$22</c:f>
              <c:numCache>
                <c:formatCode>General</c:formatCode>
                <c:ptCount val="14"/>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pt idx="13">
                  <c:v>2026</c:v>
                </c:pt>
              </c:numCache>
            </c:numRef>
          </c:cat>
          <c:val>
            <c:numRef>
              <c:f>Hidden!$E$23:$I$23</c:f>
              <c:numCache>
                <c:formatCode>General</c:formatCode>
                <c:ptCount val="5"/>
                <c:pt idx="0">
                  <c:v>1000000</c:v>
                </c:pt>
                <c:pt idx="1">
                  <c:v>1000000</c:v>
                </c:pt>
                <c:pt idx="2">
                  <c:v>1000000</c:v>
                </c:pt>
                <c:pt idx="3">
                  <c:v>1000000</c:v>
                </c:pt>
                <c:pt idx="4">
                  <c:v>1000000</c:v>
                </c:pt>
              </c:numCache>
            </c:numRef>
          </c:val>
          <c:extLst>
            <c:ext xmlns:c16="http://schemas.microsoft.com/office/drawing/2014/chart" uri="{C3380CC4-5D6E-409C-BE32-E72D297353CC}">
              <c16:uniqueId val="{00000000-78F7-4EFF-88D6-297F2786EEBD}"/>
            </c:ext>
          </c:extLst>
        </c:ser>
        <c:dLbls>
          <c:showLegendKey val="0"/>
          <c:showVal val="0"/>
          <c:showCatName val="0"/>
          <c:showSerName val="0"/>
          <c:showPercent val="0"/>
          <c:showBubbleSize val="0"/>
        </c:dLbls>
        <c:gapWidth val="0"/>
        <c:overlap val="100"/>
        <c:axId val="865615224"/>
        <c:axId val="865620472"/>
      </c:barChart>
      <c:lineChart>
        <c:grouping val="standard"/>
        <c:varyColors val="0"/>
        <c:ser>
          <c:idx val="0"/>
          <c:order val="0"/>
          <c:tx>
            <c:v>Total Revenue</c:v>
          </c:tx>
          <c:spPr>
            <a:ln w="25400" cap="rnd">
              <a:solidFill>
                <a:schemeClr val="accent1">
                  <a:lumMod val="50000"/>
                </a:schemeClr>
              </a:solidFill>
              <a:round/>
            </a:ln>
            <a:effectLst/>
          </c:spPr>
          <c:marker>
            <c:symbol val="none"/>
          </c:marker>
          <c:cat>
            <c:numRef>
              <c:f>[0]!Project_Years</c:f>
              <c:numCache>
                <c:formatCode>General</c:formatCode>
                <c:ptCount val="14"/>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pt idx="13">
                  <c:v>2026</c:v>
                </c:pt>
              </c:numCache>
            </c:numRef>
          </c:cat>
          <c:val>
            <c:numRef>
              <c:f>[0]!Total_revenues_and_other_income</c:f>
              <c:numCache>
                <c:formatCode>#,##0</c:formatCode>
                <c:ptCount val="14"/>
                <c:pt idx="0">
                  <c:v>438255</c:v>
                </c:pt>
                <c:pt idx="1">
                  <c:v>411939</c:v>
                </c:pt>
                <c:pt idx="2">
                  <c:v>249248</c:v>
                </c:pt>
                <c:pt idx="3">
                  <c:v>208114</c:v>
                </c:pt>
                <c:pt idx="4">
                  <c:v>244363</c:v>
                </c:pt>
                <c:pt idx="5">
                  <c:v>258597.86640000003</c:v>
                </c:pt>
                <c:pt idx="6">
                  <c:v>275060.57633399998</c:v>
                </c:pt>
                <c:pt idx="7">
                  <c:v>289846.25532840006</c:v>
                </c:pt>
                <c:pt idx="8">
                  <c:v>302907.58889142727</c:v>
                </c:pt>
                <c:pt idx="9">
                  <c:v>314458.23633618787</c:v>
                </c:pt>
                <c:pt idx="10">
                  <c:v>326260.77977802308</c:v>
                </c:pt>
                <c:pt idx="11">
                  <c:v>338038.59037039726</c:v>
                </c:pt>
                <c:pt idx="12">
                  <c:v>350005.79262251721</c:v>
                </c:pt>
                <c:pt idx="13">
                  <c:v>362146.82318987022</c:v>
                </c:pt>
              </c:numCache>
            </c:numRef>
          </c:val>
          <c:smooth val="0"/>
          <c:extLst>
            <c:ext xmlns:c16="http://schemas.microsoft.com/office/drawing/2014/chart" uri="{C3380CC4-5D6E-409C-BE32-E72D297353CC}">
              <c16:uniqueId val="{00000000-D4DD-4FA5-AC82-946BA805F44D}"/>
            </c:ext>
          </c:extLst>
        </c:ser>
        <c:ser>
          <c:idx val="1"/>
          <c:order val="1"/>
          <c:tx>
            <c:v>Total Costs</c:v>
          </c:tx>
          <c:spPr>
            <a:ln w="19050" cap="rnd">
              <a:solidFill>
                <a:srgbClr val="C00000"/>
              </a:solidFill>
              <a:round/>
            </a:ln>
            <a:effectLst/>
          </c:spPr>
          <c:marker>
            <c:symbol val="none"/>
          </c:marker>
          <c:cat>
            <c:numRef>
              <c:f>[0]!Project_Years</c:f>
              <c:numCache>
                <c:formatCode>General</c:formatCode>
                <c:ptCount val="14"/>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pt idx="13">
                  <c:v>2026</c:v>
                </c:pt>
              </c:numCache>
            </c:numRef>
          </c:cat>
          <c:val>
            <c:numRef>
              <c:f>[0]!Total_costs_and_other_deductions</c:f>
              <c:numCache>
                <c:formatCode>#,##0</c:formatCode>
                <c:ptCount val="14"/>
                <c:pt idx="0">
                  <c:v>380544</c:v>
                </c:pt>
                <c:pt idx="1">
                  <c:v>360309</c:v>
                </c:pt>
                <c:pt idx="2">
                  <c:v>227282</c:v>
                </c:pt>
                <c:pt idx="3">
                  <c:v>200145</c:v>
                </c:pt>
                <c:pt idx="4">
                  <c:v>225689</c:v>
                </c:pt>
                <c:pt idx="5">
                  <c:v>230302.18944000005</c:v>
                </c:pt>
                <c:pt idx="6">
                  <c:v>243890.14452100001</c:v>
                </c:pt>
                <c:pt idx="7">
                  <c:v>256115.37506230007</c:v>
                </c:pt>
                <c:pt idx="8">
                  <c:v>267068.51163826988</c:v>
                </c:pt>
                <c:pt idx="9">
                  <c:v>276913.33285635861</c:v>
                </c:pt>
                <c:pt idx="10">
                  <c:v>286906.51945046126</c:v>
                </c:pt>
                <c:pt idx="11">
                  <c:v>296857.88567907247</c:v>
                </c:pt>
                <c:pt idx="12">
                  <c:v>306940.63317466911</c:v>
                </c:pt>
                <c:pt idx="13">
                  <c:v>317141.5466781276</c:v>
                </c:pt>
              </c:numCache>
            </c:numRef>
          </c:val>
          <c:smooth val="0"/>
          <c:extLst>
            <c:ext xmlns:c16="http://schemas.microsoft.com/office/drawing/2014/chart" uri="{C3380CC4-5D6E-409C-BE32-E72D297353CC}">
              <c16:uniqueId val="{00000001-D4DD-4FA5-AC82-946BA805F44D}"/>
            </c:ext>
          </c:extLst>
        </c:ser>
        <c:dLbls>
          <c:showLegendKey val="0"/>
          <c:showVal val="0"/>
          <c:showCatName val="0"/>
          <c:showSerName val="0"/>
          <c:showPercent val="0"/>
          <c:showBubbleSize val="0"/>
        </c:dLbls>
        <c:marker val="1"/>
        <c:smooth val="0"/>
        <c:axId val="865615224"/>
        <c:axId val="865620472"/>
      </c:lineChart>
      <c:catAx>
        <c:axId val="86561522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5620472"/>
        <c:crosses val="autoZero"/>
        <c:auto val="1"/>
        <c:lblAlgn val="ctr"/>
        <c:lblOffset val="100"/>
        <c:noMultiLvlLbl val="1"/>
      </c:catAx>
      <c:valAx>
        <c:axId val="865620472"/>
        <c:scaling>
          <c:orientation val="minMax"/>
          <c:max val="450000"/>
          <c:min val="15000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56152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Excess Cash to Short-term Debt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4"/>
          <c:order val="0"/>
          <c:tx>
            <c:v>Excess Cash</c:v>
          </c:tx>
          <c:spPr>
            <a:ln w="19050" cap="rnd">
              <a:solidFill>
                <a:schemeClr val="accent6">
                  <a:lumMod val="75000"/>
                </a:schemeClr>
              </a:solidFill>
              <a:round/>
            </a:ln>
            <a:effectLst/>
          </c:spPr>
          <c:marker>
            <c:symbol val="none"/>
          </c:marker>
          <c:xVal>
            <c:numRef>
              <c:f>'Exxon Balance Sheet'!$G$4:$O$4</c:f>
              <c:numCache>
                <c:formatCode>General</c:formatCode>
                <c:ptCount val="9"/>
                <c:pt idx="0">
                  <c:v>2018</c:v>
                </c:pt>
                <c:pt idx="1">
                  <c:v>2019</c:v>
                </c:pt>
                <c:pt idx="2">
                  <c:v>2020</c:v>
                </c:pt>
                <c:pt idx="3">
                  <c:v>2021</c:v>
                </c:pt>
                <c:pt idx="4">
                  <c:v>2022</c:v>
                </c:pt>
                <c:pt idx="5">
                  <c:v>2023</c:v>
                </c:pt>
                <c:pt idx="6">
                  <c:v>2024</c:v>
                </c:pt>
                <c:pt idx="7">
                  <c:v>2025</c:v>
                </c:pt>
                <c:pt idx="8">
                  <c:v>2026</c:v>
                </c:pt>
              </c:numCache>
            </c:numRef>
          </c:xVal>
          <c:yVal>
            <c:numRef>
              <c:f>[0]!range_SurplusOut</c:f>
              <c:numCache>
                <c:formatCode>0</c:formatCode>
                <c:ptCount val="9"/>
                <c:pt idx="0">
                  <c:v>19611.07185752329</c:v>
                </c:pt>
                <c:pt idx="1">
                  <c:v>10934.020858535834</c:v>
                </c:pt>
                <c:pt idx="2">
                  <c:v>3448.9425857949536</c:v>
                </c:pt>
                <c:pt idx="3">
                  <c:v>0</c:v>
                </c:pt>
                <c:pt idx="4">
                  <c:v>0</c:v>
                </c:pt>
                <c:pt idx="5">
                  <c:v>0</c:v>
                </c:pt>
                <c:pt idx="6">
                  <c:v>0</c:v>
                </c:pt>
                <c:pt idx="7">
                  <c:v>0</c:v>
                </c:pt>
                <c:pt idx="8">
                  <c:v>0</c:v>
                </c:pt>
              </c:numCache>
            </c:numRef>
          </c:yVal>
          <c:smooth val="0"/>
          <c:extLst>
            <c:ext xmlns:c16="http://schemas.microsoft.com/office/drawing/2014/chart" uri="{C3380CC4-5D6E-409C-BE32-E72D297353CC}">
              <c16:uniqueId val="{00000000-1FB3-4F96-85B9-EDE57E597FB1}"/>
            </c:ext>
          </c:extLst>
        </c:ser>
        <c:ser>
          <c:idx val="5"/>
          <c:order val="1"/>
          <c:tx>
            <c:v>Short-Term Debt</c:v>
          </c:tx>
          <c:spPr>
            <a:ln w="19050" cap="rnd">
              <a:solidFill>
                <a:srgbClr val="FF0000"/>
              </a:solidFill>
              <a:round/>
            </a:ln>
            <a:effectLst/>
          </c:spPr>
          <c:marker>
            <c:symbol val="none"/>
          </c:marker>
          <c:xVal>
            <c:numRef>
              <c:f>'Exxon Balance Sheet'!$G$4:$O$4</c:f>
              <c:numCache>
                <c:formatCode>General</c:formatCode>
                <c:ptCount val="9"/>
                <c:pt idx="0">
                  <c:v>2018</c:v>
                </c:pt>
                <c:pt idx="1">
                  <c:v>2019</c:v>
                </c:pt>
                <c:pt idx="2">
                  <c:v>2020</c:v>
                </c:pt>
                <c:pt idx="3">
                  <c:v>2021</c:v>
                </c:pt>
                <c:pt idx="4">
                  <c:v>2022</c:v>
                </c:pt>
                <c:pt idx="5">
                  <c:v>2023</c:v>
                </c:pt>
                <c:pt idx="6">
                  <c:v>2024</c:v>
                </c:pt>
                <c:pt idx="7">
                  <c:v>2025</c:v>
                </c:pt>
                <c:pt idx="8">
                  <c:v>2026</c:v>
                </c:pt>
              </c:numCache>
            </c:numRef>
          </c:xVal>
          <c:yVal>
            <c:numRef>
              <c:f>[0]!range_STDebtOut</c:f>
              <c:numCache>
                <c:formatCode>#,##0_);\(#,##0\)</c:formatCode>
                <c:ptCount val="9"/>
                <c:pt idx="0">
                  <c:v>0</c:v>
                </c:pt>
                <c:pt idx="1">
                  <c:v>0</c:v>
                </c:pt>
                <c:pt idx="2">
                  <c:v>0</c:v>
                </c:pt>
                <c:pt idx="3">
                  <c:v>3227.8099886004347</c:v>
                </c:pt>
                <c:pt idx="4">
                  <c:v>9430.9100530865835</c:v>
                </c:pt>
                <c:pt idx="5">
                  <c:v>14169.379435111885</c:v>
                </c:pt>
                <c:pt idx="6">
                  <c:v>18315.579088378232</c:v>
                </c:pt>
                <c:pt idx="7">
                  <c:v>21843.086500947713</c:v>
                </c:pt>
                <c:pt idx="8">
                  <c:v>24737.62341443589</c:v>
                </c:pt>
              </c:numCache>
            </c:numRef>
          </c:yVal>
          <c:smooth val="0"/>
          <c:extLst>
            <c:ext xmlns:c16="http://schemas.microsoft.com/office/drawing/2014/chart" uri="{C3380CC4-5D6E-409C-BE32-E72D297353CC}">
              <c16:uniqueId val="{00000001-1FB3-4F96-85B9-EDE57E597FB1}"/>
            </c:ext>
          </c:extLst>
        </c:ser>
        <c:dLbls>
          <c:showLegendKey val="0"/>
          <c:showVal val="0"/>
          <c:showCatName val="0"/>
          <c:showSerName val="0"/>
          <c:showPercent val="0"/>
          <c:showBubbleSize val="0"/>
        </c:dLbls>
        <c:axId val="882448240"/>
        <c:axId val="882448568"/>
      </c:scatterChart>
      <c:valAx>
        <c:axId val="882448240"/>
        <c:scaling>
          <c:orientation val="minMax"/>
          <c:max val="2027"/>
          <c:min val="2017"/>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2448568"/>
        <c:crosses val="autoZero"/>
        <c:crossBetween val="midCat"/>
      </c:valAx>
      <c:valAx>
        <c:axId val="8824485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2448240"/>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Current</a:t>
            </a:r>
            <a:r>
              <a:rPr lang="en-US" baseline="0"/>
              <a:t> Assets to Current Liabilities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2"/>
          <c:tx>
            <c:v>Historical</c:v>
          </c:tx>
          <c:spPr>
            <a:solidFill>
              <a:schemeClr val="accent3"/>
            </a:solidFill>
            <a:ln>
              <a:noFill/>
            </a:ln>
            <a:effectLst/>
          </c:spPr>
          <c:invertIfNegative val="0"/>
          <c:cat>
            <c:numRef>
              <c:f>Hidden!$E$22:$R$22</c:f>
              <c:numCache>
                <c:formatCode>General</c:formatCode>
                <c:ptCount val="14"/>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pt idx="13">
                  <c:v>2026</c:v>
                </c:pt>
              </c:numCache>
            </c:numRef>
          </c:cat>
          <c:val>
            <c:numRef>
              <c:f>Hidden!$E$23:$I$23</c:f>
              <c:numCache>
                <c:formatCode>General</c:formatCode>
                <c:ptCount val="5"/>
                <c:pt idx="0">
                  <c:v>1000000</c:v>
                </c:pt>
                <c:pt idx="1">
                  <c:v>1000000</c:v>
                </c:pt>
                <c:pt idx="2">
                  <c:v>1000000</c:v>
                </c:pt>
                <c:pt idx="3">
                  <c:v>1000000</c:v>
                </c:pt>
                <c:pt idx="4">
                  <c:v>1000000</c:v>
                </c:pt>
              </c:numCache>
            </c:numRef>
          </c:val>
          <c:extLst>
            <c:ext xmlns:c16="http://schemas.microsoft.com/office/drawing/2014/chart" uri="{C3380CC4-5D6E-409C-BE32-E72D297353CC}">
              <c16:uniqueId val="{00000000-323E-4825-964F-D9D80B181BCC}"/>
            </c:ext>
          </c:extLst>
        </c:ser>
        <c:dLbls>
          <c:showLegendKey val="0"/>
          <c:showVal val="0"/>
          <c:showCatName val="0"/>
          <c:showSerName val="0"/>
          <c:showPercent val="0"/>
          <c:showBubbleSize val="0"/>
        </c:dLbls>
        <c:gapWidth val="0"/>
        <c:overlap val="100"/>
        <c:axId val="780126472"/>
        <c:axId val="780127784"/>
      </c:barChart>
      <c:lineChart>
        <c:grouping val="standard"/>
        <c:varyColors val="0"/>
        <c:ser>
          <c:idx val="0"/>
          <c:order val="0"/>
          <c:tx>
            <c:v>Current Assets</c:v>
          </c:tx>
          <c:spPr>
            <a:ln w="25400" cap="rnd">
              <a:solidFill>
                <a:srgbClr val="0070C0"/>
              </a:solidFill>
              <a:round/>
            </a:ln>
            <a:effectLst/>
          </c:spPr>
          <c:marker>
            <c:symbol val="none"/>
          </c:marker>
          <c:cat>
            <c:numRef>
              <c:f>[0]!Project_Years</c:f>
              <c:numCache>
                <c:formatCode>General</c:formatCode>
                <c:ptCount val="14"/>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pt idx="13">
                  <c:v>2026</c:v>
                </c:pt>
              </c:numCache>
            </c:numRef>
          </c:cat>
          <c:val>
            <c:numRef>
              <c:f>[0]!Total_current_assets</c:f>
              <c:numCache>
                <c:formatCode>#,##0</c:formatCode>
                <c:ptCount val="14"/>
                <c:pt idx="0">
                  <c:v>59308</c:v>
                </c:pt>
                <c:pt idx="1">
                  <c:v>52910</c:v>
                </c:pt>
                <c:pt idx="2">
                  <c:v>42623</c:v>
                </c:pt>
                <c:pt idx="3">
                  <c:v>41416</c:v>
                </c:pt>
                <c:pt idx="4">
                  <c:v>47134</c:v>
                </c:pt>
                <c:pt idx="5" formatCode="0">
                  <c:v>69833.444758728787</c:v>
                </c:pt>
                <c:pt idx="6" formatCode="0">
                  <c:v>64353.621829638978</c:v>
                </c:pt>
                <c:pt idx="7" formatCode="0">
                  <c:v>59740.074920987819</c:v>
                </c:pt>
                <c:pt idx="8" formatCode="0">
                  <c:v>58827.77803115821</c:v>
                </c:pt>
                <c:pt idx="9" formatCode="0">
                  <c:v>61071.032901342725</c:v>
                </c:pt>
                <c:pt idx="10" formatCode="0">
                  <c:v>63363.2085722806</c:v>
                </c:pt>
                <c:pt idx="11" formatCode="0">
                  <c:v>65650.580868752048</c:v>
                </c:pt>
                <c:pt idx="12" formatCode="0">
                  <c:v>67974.734978981447</c:v>
                </c:pt>
                <c:pt idx="13" formatCode="0">
                  <c:v>70332.648340940024</c:v>
                </c:pt>
              </c:numCache>
            </c:numRef>
          </c:val>
          <c:smooth val="0"/>
          <c:extLst>
            <c:ext xmlns:c16="http://schemas.microsoft.com/office/drawing/2014/chart" uri="{C3380CC4-5D6E-409C-BE32-E72D297353CC}">
              <c16:uniqueId val="{00000001-323E-4825-964F-D9D80B181BCC}"/>
            </c:ext>
          </c:extLst>
        </c:ser>
        <c:ser>
          <c:idx val="1"/>
          <c:order val="1"/>
          <c:tx>
            <c:v>Current Liabilities</c:v>
          </c:tx>
          <c:spPr>
            <a:ln w="25400" cap="rnd">
              <a:solidFill>
                <a:srgbClr val="7030A0"/>
              </a:solidFill>
              <a:round/>
            </a:ln>
            <a:effectLst/>
          </c:spPr>
          <c:marker>
            <c:symbol val="none"/>
          </c:marker>
          <c:cat>
            <c:numRef>
              <c:f>[0]!Project_Years</c:f>
              <c:numCache>
                <c:formatCode>General</c:formatCode>
                <c:ptCount val="14"/>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pt idx="13">
                  <c:v>2026</c:v>
                </c:pt>
              </c:numCache>
            </c:numRef>
          </c:cat>
          <c:val>
            <c:numRef>
              <c:f>[0]!Total_current_liabilities</c:f>
              <c:numCache>
                <c:formatCode>#,##0</c:formatCode>
                <c:ptCount val="14"/>
                <c:pt idx="0">
                  <c:v>71724</c:v>
                </c:pt>
                <c:pt idx="1">
                  <c:v>64633</c:v>
                </c:pt>
                <c:pt idx="2">
                  <c:v>53976</c:v>
                </c:pt>
                <c:pt idx="3">
                  <c:v>47638</c:v>
                </c:pt>
                <c:pt idx="4">
                  <c:v>57771</c:v>
                </c:pt>
                <c:pt idx="5">
                  <c:v>63656.08896032878</c:v>
                </c:pt>
                <c:pt idx="6">
                  <c:v>67514.677548969048</c:v>
                </c:pt>
                <c:pt idx="7">
                  <c:v>70980.197652998977</c:v>
                </c:pt>
                <c:pt idx="8">
                  <c:v>77269.3695219199</c:v>
                </c:pt>
                <c:pt idx="9">
                  <c:v>86179.751473801298</c:v>
                </c:pt>
                <c:pt idx="10">
                  <c:v>93684.543024180035</c:v>
                </c:pt>
                <c:pt idx="11">
                  <c:v>100591.26787245352</c:v>
                </c:pt>
                <c:pt idx="12">
                  <c:v>106923.69077178702</c:v>
                </c:pt>
                <c:pt idx="13">
                  <c:v>112663.88567167807</c:v>
                </c:pt>
              </c:numCache>
            </c:numRef>
          </c:val>
          <c:smooth val="0"/>
          <c:extLst>
            <c:ext xmlns:c16="http://schemas.microsoft.com/office/drawing/2014/chart" uri="{C3380CC4-5D6E-409C-BE32-E72D297353CC}">
              <c16:uniqueId val="{00000002-323E-4825-964F-D9D80B181BCC}"/>
            </c:ext>
          </c:extLst>
        </c:ser>
        <c:dLbls>
          <c:showLegendKey val="0"/>
          <c:showVal val="0"/>
          <c:showCatName val="0"/>
          <c:showSerName val="0"/>
          <c:showPercent val="0"/>
          <c:showBubbleSize val="0"/>
        </c:dLbls>
        <c:marker val="1"/>
        <c:smooth val="0"/>
        <c:axId val="780126472"/>
        <c:axId val="780127784"/>
      </c:lineChart>
      <c:catAx>
        <c:axId val="78012647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0127784"/>
        <c:crosses val="autoZero"/>
        <c:auto val="1"/>
        <c:lblAlgn val="ctr"/>
        <c:lblOffset val="100"/>
        <c:noMultiLvlLbl val="0"/>
      </c:catAx>
      <c:valAx>
        <c:axId val="780127784"/>
        <c:scaling>
          <c:orientation val="minMax"/>
          <c:max val="140000"/>
          <c:min val="3000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0126472"/>
        <c:crosses val="autoZero"/>
        <c:crossBetween val="between"/>
      </c:valAx>
      <c:spPr>
        <a:noFill/>
        <a:ln>
          <a:noFill/>
        </a:ln>
        <a:effectLst/>
      </c:spPr>
    </c:plotArea>
    <c:legend>
      <c:legendPos val="b"/>
      <c:legendEntry>
        <c:idx val="0"/>
        <c:delete val="1"/>
      </c:legendEntry>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ctrlProps/ctrlProp8.xml><?xml version="1.0" encoding="utf-8"?>
<formControlPr xmlns="http://schemas.microsoft.com/office/spreadsheetml/2009/9/main" objectType="Button" lockText="1"/>
</file>

<file path=xl/ctrlProps/ctrlProp9.xml><?xml version="1.0" encoding="utf-8"?>
<formControlPr xmlns="http://schemas.microsoft.com/office/spreadsheetml/2009/9/main" objectType="Button" lockText="1"/>
</file>

<file path=xl/ctrlProps/ctrlProp10.xml><?xml version="1.0" encoding="utf-8"?>
<formControlPr xmlns="http://schemas.microsoft.com/office/spreadsheetml/2009/9/main" objectType="Button" lockText="1"/>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0</xdr:colOff>
      <xdr:row>15</xdr:row>
      <xdr:rowOff>3705</xdr:rowOff>
    </xdr:from>
    <xdr:to>
      <xdr:col>1</xdr:col>
      <xdr:colOff>3390900</xdr:colOff>
      <xdr:row>28</xdr:row>
      <xdr:rowOff>182297</xdr:rowOff>
    </xdr:to>
    <xdr:graphicFrame macro="">
      <xdr:nvGraphicFramePr>
        <xdr:cNvPr id="2" name="Chart 1">
          <a:extLst>
            <a:ext uri="{FF2B5EF4-FFF2-40B4-BE49-F238E27FC236}">
              <a16:creationId xmlns:a16="http://schemas.microsoft.com/office/drawing/2014/main" id="{00000000-0008-0000-01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0</xdr:colOff>
      <xdr:row>5</xdr:row>
      <xdr:rowOff>0</xdr:rowOff>
    </xdr:from>
    <xdr:to>
      <xdr:col>5</xdr:col>
      <xdr:colOff>838201</xdr:colOff>
      <xdr:row>13</xdr:row>
      <xdr:rowOff>189177</xdr:rowOff>
    </xdr:to>
    <xdr:graphicFrame macro="">
      <xdr:nvGraphicFramePr>
        <xdr:cNvPr id="10" name="Chart 9">
          <a:extLst>
            <a:ext uri="{FF2B5EF4-FFF2-40B4-BE49-F238E27FC236}">
              <a16:creationId xmlns:a16="http://schemas.microsoft.com/office/drawing/2014/main" id="{00000000-0008-0000-01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38100</xdr:colOff>
      <xdr:row>15</xdr:row>
      <xdr:rowOff>19050</xdr:rowOff>
    </xdr:from>
    <xdr:to>
      <xdr:col>5</xdr:col>
      <xdr:colOff>809625</xdr:colOff>
      <xdr:row>28</xdr:row>
      <xdr:rowOff>161394</xdr:rowOff>
    </xdr:to>
    <xdr:graphicFrame macro="">
      <xdr:nvGraphicFramePr>
        <xdr:cNvPr id="11" name="Chart 10">
          <a:extLst>
            <a:ext uri="{FF2B5EF4-FFF2-40B4-BE49-F238E27FC236}">
              <a16:creationId xmlns:a16="http://schemas.microsoft.com/office/drawing/2014/main" id="{00000000-0008-0000-01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5</xdr:col>
          <xdr:colOff>219075</xdr:colOff>
          <xdr:row>6</xdr:row>
          <xdr:rowOff>152400</xdr:rowOff>
        </xdr:from>
        <xdr:to>
          <xdr:col>9</xdr:col>
          <xdr:colOff>342900</xdr:colOff>
          <xdr:row>11</xdr:row>
          <xdr:rowOff>171450</xdr:rowOff>
        </xdr:to>
        <xdr:sp macro="" textlink="">
          <xdr:nvSpPr>
            <xdr:cNvPr id="23553" name="Button 1" hidden="1">
              <a:extLst>
                <a:ext uri="{63B3BB69-23CF-44E3-9099-C40C66FF867C}">
                  <a14:compatExt spid="_x0000_s23553"/>
                </a:ext>
                <a:ext uri="{FF2B5EF4-FFF2-40B4-BE49-F238E27FC236}">
                  <a16:creationId xmlns:a16="http://schemas.microsoft.com/office/drawing/2014/main" id="{00000000-0008-0000-0300-0000015C0000}"/>
                </a:ext>
              </a:extLst>
            </xdr:cNvPr>
            <xdr:cNvSpPr/>
          </xdr:nvSpPr>
          <xdr:spPr bwMode="auto">
            <a:xfrm>
              <a:off x="0" y="0"/>
              <a:ext cx="0" cy="0"/>
            </a:xfrm>
            <a:prstGeom prst="rect">
              <a:avLst/>
            </a:prstGeom>
            <a:noFill/>
            <a:ln w="9525">
              <a:miter lim="800000"/>
              <a:headEnd/>
              <a:tailEnd/>
            </a:ln>
          </xdr:spPr>
          <xdr:txBody>
            <a:bodyPr vertOverflow="clip" wrap="square" lIns="45720" tIns="50292" rIns="45720" bIns="50292" anchor="ctr" upright="1"/>
            <a:lstStyle/>
            <a:p>
              <a:pPr algn="ctr" rtl="0">
                <a:defRPr sz="1000"/>
              </a:pPr>
              <a:r>
                <a:rPr lang="en-US" sz="2400" b="1" i="0" u="sng" strike="noStrike" baseline="0">
                  <a:solidFill>
                    <a:srgbClr val="000000"/>
                  </a:solidFill>
                  <a:latin typeface="Calibri"/>
                  <a:cs typeface="Calibri"/>
                </a:rPr>
                <a:t>Click to Re-Balance Financials</a:t>
              </a: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9</xdr:col>
          <xdr:colOff>342900</xdr:colOff>
          <xdr:row>1</xdr:row>
          <xdr:rowOff>28575</xdr:rowOff>
        </xdr:from>
        <xdr:to>
          <xdr:col>13</xdr:col>
          <xdr:colOff>76200</xdr:colOff>
          <xdr:row>2</xdr:row>
          <xdr:rowOff>104775</xdr:rowOff>
        </xdr:to>
        <xdr:sp macro="" textlink="">
          <xdr:nvSpPr>
            <xdr:cNvPr id="30724" name="Button 4" hidden="1">
              <a:extLst>
                <a:ext uri="{63B3BB69-23CF-44E3-9099-C40C66FF867C}">
                  <a14:compatExt spid="_x0000_s30724"/>
                </a:ext>
                <a:ext uri="{FF2B5EF4-FFF2-40B4-BE49-F238E27FC236}">
                  <a16:creationId xmlns:a16="http://schemas.microsoft.com/office/drawing/2014/main" id="{00000000-0008-0000-0400-00000478000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200" b="1" i="0" u="sng" strike="noStrike" baseline="0">
                  <a:solidFill>
                    <a:srgbClr val="000000"/>
                  </a:solidFill>
                  <a:latin typeface="Calibri"/>
                  <a:cs typeface="Calibri"/>
                </a:rPr>
                <a:t>Click to Re-Balance Financials</a:t>
              </a:r>
            </a:p>
          </xdr:txBody>
        </xdr:sp>
        <xdr:clientData fPrintsWithSheet="0"/>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10</xdr:col>
          <xdr:colOff>704850</xdr:colOff>
          <xdr:row>1</xdr:row>
          <xdr:rowOff>19050</xdr:rowOff>
        </xdr:from>
        <xdr:to>
          <xdr:col>14</xdr:col>
          <xdr:colOff>619125</xdr:colOff>
          <xdr:row>2</xdr:row>
          <xdr:rowOff>95250</xdr:rowOff>
        </xdr:to>
        <xdr:sp macro="" textlink="">
          <xdr:nvSpPr>
            <xdr:cNvPr id="10249" name="Button 9" hidden="1">
              <a:extLst>
                <a:ext uri="{63B3BB69-23CF-44E3-9099-C40C66FF867C}">
                  <a14:compatExt spid="_x0000_s10249"/>
                </a:ext>
                <a:ext uri="{FF2B5EF4-FFF2-40B4-BE49-F238E27FC236}">
                  <a16:creationId xmlns:a16="http://schemas.microsoft.com/office/drawing/2014/main" id="{00000000-0008-0000-0500-00000928000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200" b="1" i="0" u="sng" strike="noStrike" baseline="0">
                  <a:solidFill>
                    <a:srgbClr val="000000"/>
                  </a:solidFill>
                  <a:latin typeface="Calibri"/>
                  <a:cs typeface="Calibri"/>
                </a:rPr>
                <a:t>Click to Re-Balance Financials</a:t>
              </a:r>
            </a:p>
          </xdr:txBody>
        </xdr:sp>
        <xdr:clientData fPrintsWithSheet="0"/>
      </xdr:twoCellAnchor>
    </mc:Choice>
    <mc:Fallback/>
  </mc:AlternateContent>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11</xdr:col>
          <xdr:colOff>276225</xdr:colOff>
          <xdr:row>1</xdr:row>
          <xdr:rowOff>28575</xdr:rowOff>
        </xdr:from>
        <xdr:to>
          <xdr:col>14</xdr:col>
          <xdr:colOff>704850</xdr:colOff>
          <xdr:row>2</xdr:row>
          <xdr:rowOff>104775</xdr:rowOff>
        </xdr:to>
        <xdr:sp macro="" textlink="">
          <xdr:nvSpPr>
            <xdr:cNvPr id="37889" name="Button 1" hidden="1">
              <a:extLst>
                <a:ext uri="{63B3BB69-23CF-44E3-9099-C40C66FF867C}">
                  <a14:compatExt spid="_x0000_s37889"/>
                </a:ext>
                <a:ext uri="{FF2B5EF4-FFF2-40B4-BE49-F238E27FC236}">
                  <a16:creationId xmlns:a16="http://schemas.microsoft.com/office/drawing/2014/main" id="{00000000-0008-0000-0600-00000194000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200" b="1" i="0" u="sng" strike="noStrike" baseline="0">
                  <a:solidFill>
                    <a:srgbClr val="000000"/>
                  </a:solidFill>
                  <a:latin typeface="Calibri"/>
                  <a:cs typeface="Calibri"/>
                </a:rPr>
                <a:t>Click to Re-Balance Financials</a:t>
              </a:r>
            </a:p>
          </xdr:txBody>
        </xdr:sp>
        <xdr:clientData fPrintsWithSheet="0"/>
      </xdr:twoCellAnchor>
    </mc:Choice>
    <mc:Fallback/>
  </mc:AlternateContent>
</xdr:wsDr>
</file>

<file path=xl/drawings/drawing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6</xdr:col>
          <xdr:colOff>161925</xdr:colOff>
          <xdr:row>1</xdr:row>
          <xdr:rowOff>19050</xdr:rowOff>
        </xdr:from>
        <xdr:to>
          <xdr:col>9</xdr:col>
          <xdr:colOff>733425</xdr:colOff>
          <xdr:row>2</xdr:row>
          <xdr:rowOff>85725</xdr:rowOff>
        </xdr:to>
        <xdr:sp macro="" textlink="">
          <xdr:nvSpPr>
            <xdr:cNvPr id="38913" name="Button 1" hidden="1">
              <a:extLst>
                <a:ext uri="{63B3BB69-23CF-44E3-9099-C40C66FF867C}">
                  <a14:compatExt spid="_x0000_s38913"/>
                </a:ext>
                <a:ext uri="{FF2B5EF4-FFF2-40B4-BE49-F238E27FC236}">
                  <a16:creationId xmlns:a16="http://schemas.microsoft.com/office/drawing/2014/main" id="{00000000-0008-0000-0700-00000198000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200" b="1" i="0" u="sng" strike="noStrike" baseline="0">
                  <a:solidFill>
                    <a:srgbClr val="000000"/>
                  </a:solidFill>
                  <a:latin typeface="Calibri"/>
                  <a:cs typeface="Calibri"/>
                </a:rPr>
                <a:t>Click to Re-Balance Financials</a:t>
              </a:r>
            </a:p>
          </xdr:txBody>
        </xdr:sp>
        <xdr:clientData fPrintsWithSheet="0"/>
      </xdr:twoCellAnchor>
    </mc:Choice>
    <mc:Fallback/>
  </mc:AlternateContent>
</xdr:wsDr>
</file>

<file path=xl/drawings/drawing7.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10</xdr:col>
          <xdr:colOff>257175</xdr:colOff>
          <xdr:row>1</xdr:row>
          <xdr:rowOff>28575</xdr:rowOff>
        </xdr:from>
        <xdr:to>
          <xdr:col>14</xdr:col>
          <xdr:colOff>209550</xdr:colOff>
          <xdr:row>2</xdr:row>
          <xdr:rowOff>0</xdr:rowOff>
        </xdr:to>
        <xdr:sp macro="" textlink="">
          <xdr:nvSpPr>
            <xdr:cNvPr id="39938" name="Button 2" hidden="1">
              <a:extLst>
                <a:ext uri="{63B3BB69-23CF-44E3-9099-C40C66FF867C}">
                  <a14:compatExt spid="_x0000_s39938"/>
                </a:ext>
                <a:ext uri="{FF2B5EF4-FFF2-40B4-BE49-F238E27FC236}">
                  <a16:creationId xmlns:a16="http://schemas.microsoft.com/office/drawing/2014/main" id="{00000000-0008-0000-0800-0000029C000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200" b="1" i="0" u="sng" strike="noStrike" baseline="0">
                  <a:solidFill>
                    <a:srgbClr val="000000"/>
                  </a:solidFill>
                  <a:latin typeface="Calibri"/>
                  <a:cs typeface="Calibri"/>
                </a:rPr>
                <a:t>Click to Re-Balance Financials</a:t>
              </a:r>
            </a:p>
          </xdr:txBody>
        </xdr:sp>
        <xdr:clientData fPrintsWithSheet="0"/>
      </xdr:twoCellAnchor>
    </mc:Choice>
    <mc:Fallback/>
  </mc:AlternateContent>
</xdr:wsDr>
</file>

<file path=xl/drawings/drawing8.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247650</xdr:colOff>
          <xdr:row>1</xdr:row>
          <xdr:rowOff>47625</xdr:rowOff>
        </xdr:from>
        <xdr:to>
          <xdr:col>9</xdr:col>
          <xdr:colOff>457200</xdr:colOff>
          <xdr:row>1</xdr:row>
          <xdr:rowOff>371475</xdr:rowOff>
        </xdr:to>
        <xdr:sp macro="" textlink="">
          <xdr:nvSpPr>
            <xdr:cNvPr id="40962" name="Button 2" hidden="1">
              <a:extLst>
                <a:ext uri="{63B3BB69-23CF-44E3-9099-C40C66FF867C}">
                  <a14:compatExt spid="_x0000_s40962"/>
                </a:ext>
                <a:ext uri="{FF2B5EF4-FFF2-40B4-BE49-F238E27FC236}">
                  <a16:creationId xmlns:a16="http://schemas.microsoft.com/office/drawing/2014/main" id="{00000000-0008-0000-0900-000002A0000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200" b="1" i="0" u="sng" strike="noStrike" baseline="0">
                  <a:solidFill>
                    <a:srgbClr val="000000"/>
                  </a:solidFill>
                  <a:latin typeface="Calibri"/>
                  <a:cs typeface="Calibri"/>
                </a:rPr>
                <a:t>Click to Re-Balance Financials</a:t>
              </a:r>
            </a:p>
          </xdr:txBody>
        </xdr:sp>
        <xdr:clientData fPrintsWithSheet="0"/>
      </xdr:twoCellAnchor>
    </mc:Choice>
    <mc:Fallback/>
  </mc:AlternateContent>
</xdr:wsDr>
</file>

<file path=xl/drawings/drawing9.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10</xdr:col>
          <xdr:colOff>200025</xdr:colOff>
          <xdr:row>1</xdr:row>
          <xdr:rowOff>95250</xdr:rowOff>
        </xdr:from>
        <xdr:to>
          <xdr:col>14</xdr:col>
          <xdr:colOff>457200</xdr:colOff>
          <xdr:row>1</xdr:row>
          <xdr:rowOff>523875</xdr:rowOff>
        </xdr:to>
        <xdr:sp macro="" textlink="">
          <xdr:nvSpPr>
            <xdr:cNvPr id="41985" name="Button 1" hidden="1">
              <a:extLst>
                <a:ext uri="{63B3BB69-23CF-44E3-9099-C40C66FF867C}">
                  <a14:compatExt spid="_x0000_s41985"/>
                </a:ext>
                <a:ext uri="{FF2B5EF4-FFF2-40B4-BE49-F238E27FC236}">
                  <a16:creationId xmlns:a16="http://schemas.microsoft.com/office/drawing/2014/main" id="{00000000-0008-0000-0A00-000001A4000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200" b="1" i="0" u="sng" strike="noStrike" baseline="0">
                  <a:solidFill>
                    <a:srgbClr val="000000"/>
                  </a:solidFill>
                  <a:latin typeface="Calibri"/>
                  <a:cs typeface="Calibri"/>
                </a:rPr>
                <a:t>Click to Re-Balance Financials</a:t>
              </a:r>
            </a:p>
          </xdr:txBody>
        </xdr:sp>
        <xdr:clientData fPrintsWithSheet="0"/>
      </xdr:twoCellAnchor>
    </mc:Choice>
    <mc:Fallback/>
  </mc:AlternateContent>
</xdr:wsDr>
</file>

<file path=xl/drawings/drawing10.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8</xdr:col>
          <xdr:colOff>0</xdr:colOff>
          <xdr:row>1</xdr:row>
          <xdr:rowOff>9525</xdr:rowOff>
        </xdr:from>
        <xdr:to>
          <xdr:col>9</xdr:col>
          <xdr:colOff>942975</xdr:colOff>
          <xdr:row>2</xdr:row>
          <xdr:rowOff>0</xdr:rowOff>
        </xdr:to>
        <xdr:sp macro="" textlink="">
          <xdr:nvSpPr>
            <xdr:cNvPr id="19484" name="Button 28" hidden="1">
              <a:extLst>
                <a:ext uri="{63B3BB69-23CF-44E3-9099-C40C66FF867C}">
                  <a14:compatExt spid="_x0000_s19484"/>
                </a:ext>
                <a:ext uri="{FF2B5EF4-FFF2-40B4-BE49-F238E27FC236}">
                  <a16:creationId xmlns:a16="http://schemas.microsoft.com/office/drawing/2014/main" id="{00000000-0008-0000-0B00-00001C4C000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200" b="1" i="0" u="sng" strike="noStrike" baseline="0">
                  <a:solidFill>
                    <a:srgbClr val="000000"/>
                  </a:solidFill>
                  <a:latin typeface="Calibri"/>
                  <a:cs typeface="Calibri"/>
                </a:rPr>
                <a:t>Click to Re-Balance Financials</a:t>
              </a:r>
            </a:p>
          </xdr:txBody>
        </xdr:sp>
        <xdr:clientData fPrintsWithSheet="0"/>
      </xdr:twoCellAnchor>
    </mc:Choice>
    <mc:Fallback/>
  </mc:AlternateContent>
</xdr:wsDr>
</file>

<file path=xl/drawings/drawing1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6</xdr:col>
          <xdr:colOff>695325</xdr:colOff>
          <xdr:row>1</xdr:row>
          <xdr:rowOff>552450</xdr:rowOff>
        </xdr:from>
        <xdr:to>
          <xdr:col>9</xdr:col>
          <xdr:colOff>600075</xdr:colOff>
          <xdr:row>2</xdr:row>
          <xdr:rowOff>295275</xdr:rowOff>
        </xdr:to>
        <xdr:sp macro="" textlink="">
          <xdr:nvSpPr>
            <xdr:cNvPr id="5157" name="Button 37" hidden="1">
              <a:extLst>
                <a:ext uri="{63B3BB69-23CF-44E3-9099-C40C66FF867C}">
                  <a14:compatExt spid="_x0000_s5157"/>
                </a:ext>
                <a:ext uri="{FF2B5EF4-FFF2-40B4-BE49-F238E27FC236}">
                  <a16:creationId xmlns:a16="http://schemas.microsoft.com/office/drawing/2014/main" id="{00000000-0008-0000-0C00-00002514000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200" b="1" i="0" u="sng" strike="noStrike" baseline="0">
                  <a:solidFill>
                    <a:srgbClr val="000000"/>
                  </a:solidFill>
                  <a:latin typeface="Calibri"/>
                  <a:cs typeface="Calibri"/>
                </a:rPr>
                <a:t>Click to Re-Balance Financials</a:t>
              </a:r>
            </a:p>
          </xdr:txBody>
        </xdr:sp>
        <xdr:clientData fPrintsWithSheet="0"/>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1.bin"/><Relationship Id="rId4" Type="http://schemas.openxmlformats.org/officeDocument/2006/relationships/ctrlProp" Target="../ctrlProps/ctrlProp1.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2.bin"/><Relationship Id="rId5" Type="http://schemas.openxmlformats.org/officeDocument/2006/relationships/comments" Target="../comments1.xml"/><Relationship Id="rId4" Type="http://schemas.openxmlformats.org/officeDocument/2006/relationships/ctrlProp" Target="../ctrlProps/ctrlProp2.xml"/></Relationships>
</file>

<file path=xl/worksheets/_rels/sheet6.xml.rels><?xml version="1.0" encoding="UTF-8" standalone="yes"?>
<Relationships xmlns="http://schemas.openxmlformats.org/package/2006/relationships"><Relationship Id="rId3" Type="http://schemas.openxmlformats.org/officeDocument/2006/relationships/ctrlProp" Target="../ctrlProps/ctrlProp3.xml"/><Relationship Id="rId2" Type="http://schemas.openxmlformats.org/officeDocument/2006/relationships/vmlDrawing" Target="../drawings/vmlDrawing3.vml"/><Relationship Id="rId1" Type="http://schemas.openxmlformats.org/officeDocument/2006/relationships/drawing" Target="../drawings/drawing4.xml"/><Relationship Id="rId4" Type="http://schemas.openxmlformats.org/officeDocument/2006/relationships/comments" Target="../comments2.xml"/></Relationships>
</file>

<file path=xl/worksheets/_rels/sheet7.xml.rels><?xml version="1.0" encoding="UTF-8" standalone="yes"?>
<Relationships xmlns="http://schemas.openxmlformats.org/package/2006/relationships"><Relationship Id="rId3" Type="http://schemas.openxmlformats.org/officeDocument/2006/relationships/ctrlProp" Target="../ctrlProps/ctrlProp4.xml"/><Relationship Id="rId2" Type="http://schemas.openxmlformats.org/officeDocument/2006/relationships/vmlDrawing" Target="../drawings/vmlDrawing4.vml"/><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3" Type="http://schemas.openxmlformats.org/officeDocument/2006/relationships/ctrlProp" Target="../ctrlProps/ctrlProp5.xml"/><Relationship Id="rId2" Type="http://schemas.openxmlformats.org/officeDocument/2006/relationships/vmlDrawing" Target="../drawings/vmlDrawing5.vml"/><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printerSettings" Target="../printerSettings/printerSettings3.bin"/><Relationship Id="rId4" Type="http://schemas.openxmlformats.org/officeDocument/2006/relationships/ctrlProp" Target="../ctrlProps/ctrlProp6.xml"/></Relationships>
</file>

<file path=xl/worksheets/_rels/sheet10.xml.rels><?xml version="1.0" encoding="UTF-8" standalone="yes"?>
<Relationships xmlns="http://schemas.openxmlformats.org/package/2006/relationships"><Relationship Id="rId3" Type="http://schemas.openxmlformats.org/officeDocument/2006/relationships/ctrlProp" Target="../ctrlProps/ctrlProp7.xml"/><Relationship Id="rId2" Type="http://schemas.openxmlformats.org/officeDocument/2006/relationships/vmlDrawing" Target="../drawings/vmlDrawing7.vml"/><Relationship Id="rId1" Type="http://schemas.openxmlformats.org/officeDocument/2006/relationships/drawing" Target="../drawings/drawing8.xml"/></Relationships>
</file>

<file path=xl/worksheets/_rels/sheet11.xml.rels><?xml version="1.0" encoding="UTF-8" standalone="yes"?>
<Relationships xmlns="http://schemas.openxmlformats.org/package/2006/relationships"><Relationship Id="rId3" Type="http://schemas.openxmlformats.org/officeDocument/2006/relationships/ctrlProp" Target="../ctrlProps/ctrlProp8.xml"/><Relationship Id="rId2" Type="http://schemas.openxmlformats.org/officeDocument/2006/relationships/vmlDrawing" Target="../drawings/vmlDrawing8.vml"/><Relationship Id="rId1" Type="http://schemas.openxmlformats.org/officeDocument/2006/relationships/drawing" Target="../drawings/drawing9.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0.xml"/><Relationship Id="rId1" Type="http://schemas.openxmlformats.org/officeDocument/2006/relationships/printerSettings" Target="../printerSettings/printerSettings4.bin"/><Relationship Id="rId5" Type="http://schemas.openxmlformats.org/officeDocument/2006/relationships/comments" Target="../comments3.xml"/><Relationship Id="rId4" Type="http://schemas.openxmlformats.org/officeDocument/2006/relationships/ctrlProp" Target="../ctrlProps/ctrlProp9.xml"/></Relationships>
</file>

<file path=xl/worksheets/_rels/sheet13.xml.rels><?xml version="1.0" encoding="UTF-8" standalone="yes"?>
<Relationships xmlns="http://schemas.openxmlformats.org/package/2006/relationships"><Relationship Id="rId3" Type="http://schemas.openxmlformats.org/officeDocument/2006/relationships/ctrlProp" Target="../ctrlProps/ctrlProp10.xml"/><Relationship Id="rId2" Type="http://schemas.openxmlformats.org/officeDocument/2006/relationships/vmlDrawing" Target="../drawings/vmlDrawing10.vml"/><Relationship Id="rId1" Type="http://schemas.openxmlformats.org/officeDocument/2006/relationships/drawing" Target="../drawings/drawing11.xml"/><Relationship Id="rId4" Type="http://schemas.openxmlformats.org/officeDocument/2006/relationships/comments" Target="../comments4.xml"/></Relationships>
</file>

<file path=xl/worksheets/_rels/sheet1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rgb="FFF57575"/>
  </sheetPr>
  <dimension ref="A1:I31"/>
  <sheetViews>
    <sheetView tabSelected="1" zoomScaleNormal="100" workbookViewId="0">
      <selection activeCell="A4" sqref="A4:I4"/>
    </sheetView>
  </sheetViews>
  <sheetFormatPr defaultRowHeight="15" x14ac:dyDescent="0.25"/>
  <cols>
    <col min="1" max="1" width="39.28515625" customWidth="1"/>
    <col min="2" max="2" width="21" customWidth="1"/>
    <col min="3" max="3" width="20.5703125" customWidth="1"/>
  </cols>
  <sheetData>
    <row r="1" spans="1:9" ht="30" customHeight="1" x14ac:dyDescent="0.45">
      <c r="A1" s="221" t="s">
        <v>325</v>
      </c>
      <c r="B1" s="24"/>
      <c r="C1" s="24"/>
      <c r="D1" s="24"/>
      <c r="E1" s="24"/>
      <c r="F1" s="24"/>
      <c r="G1" s="24"/>
      <c r="H1" s="24"/>
      <c r="I1" s="24"/>
    </row>
    <row r="2" spans="1:9" x14ac:dyDescent="0.25">
      <c r="A2" t="s">
        <v>316</v>
      </c>
    </row>
    <row r="3" spans="1:9" s="254" customFormat="1" x14ac:dyDescent="0.25"/>
    <row r="4" spans="1:9" s="254" customFormat="1" ht="63.75" customHeight="1" x14ac:dyDescent="0.25">
      <c r="A4" s="256" t="s">
        <v>327</v>
      </c>
      <c r="B4" s="256"/>
      <c r="C4" s="256"/>
      <c r="D4" s="256"/>
      <c r="E4" s="256"/>
      <c r="F4" s="256"/>
      <c r="G4" s="256"/>
      <c r="H4" s="256"/>
      <c r="I4" s="256"/>
    </row>
    <row r="5" spans="1:9" x14ac:dyDescent="0.25">
      <c r="A5" s="255"/>
    </row>
    <row r="6" spans="1:9" ht="23.25" x14ac:dyDescent="0.35">
      <c r="A6" s="193" t="s">
        <v>270</v>
      </c>
    </row>
    <row r="7" spans="1:9" ht="13.5" customHeight="1" x14ac:dyDescent="0.25">
      <c r="A7" s="191" t="s">
        <v>271</v>
      </c>
      <c r="B7" s="259" t="s">
        <v>284</v>
      </c>
      <c r="C7" s="259"/>
      <c r="D7" s="259"/>
      <c r="E7" s="259"/>
      <c r="F7" s="259"/>
      <c r="G7" s="259"/>
      <c r="H7" s="259"/>
      <c r="I7" s="259"/>
    </row>
    <row r="8" spans="1:9" x14ac:dyDescent="0.25">
      <c r="A8" s="191" t="s">
        <v>272</v>
      </c>
      <c r="B8" s="259" t="s">
        <v>285</v>
      </c>
      <c r="C8" s="259"/>
      <c r="D8" s="259"/>
      <c r="E8" s="259"/>
      <c r="F8" s="259"/>
      <c r="G8" s="259"/>
      <c r="H8" s="259"/>
      <c r="I8" s="259"/>
    </row>
    <row r="9" spans="1:9" x14ac:dyDescent="0.25">
      <c r="A9" s="191" t="s">
        <v>273</v>
      </c>
      <c r="B9" s="259" t="s">
        <v>317</v>
      </c>
      <c r="C9" s="259"/>
      <c r="D9" s="259"/>
      <c r="E9" s="259"/>
      <c r="F9" s="259"/>
      <c r="G9" s="259"/>
      <c r="H9" s="259"/>
      <c r="I9" s="259"/>
    </row>
    <row r="10" spans="1:9" x14ac:dyDescent="0.25">
      <c r="A10" s="192" t="s">
        <v>274</v>
      </c>
      <c r="B10" s="259" t="s">
        <v>286</v>
      </c>
      <c r="C10" s="259"/>
      <c r="D10" s="259"/>
      <c r="E10" s="259"/>
      <c r="F10" s="259"/>
      <c r="G10" s="259"/>
      <c r="H10" s="259"/>
      <c r="I10" s="259"/>
    </row>
    <row r="11" spans="1:9" x14ac:dyDescent="0.25">
      <c r="A11" s="192" t="s">
        <v>275</v>
      </c>
      <c r="B11" s="259" t="s">
        <v>287</v>
      </c>
      <c r="C11" s="259"/>
      <c r="D11" s="259"/>
      <c r="E11" s="259"/>
      <c r="F11" s="259"/>
      <c r="G11" s="259"/>
      <c r="H11" s="259"/>
      <c r="I11" s="259"/>
    </row>
    <row r="12" spans="1:9" x14ac:dyDescent="0.25">
      <c r="A12" s="191" t="s">
        <v>276</v>
      </c>
      <c r="B12" s="259" t="s">
        <v>288</v>
      </c>
      <c r="C12" s="259"/>
      <c r="D12" s="259"/>
      <c r="E12" s="259"/>
      <c r="F12" s="259"/>
      <c r="G12" s="259"/>
      <c r="H12" s="259"/>
      <c r="I12" s="259"/>
    </row>
    <row r="13" spans="1:9" x14ac:dyDescent="0.25">
      <c r="A13" s="192" t="s">
        <v>277</v>
      </c>
      <c r="B13" s="259" t="s">
        <v>289</v>
      </c>
      <c r="C13" s="259"/>
      <c r="D13" s="259"/>
      <c r="E13" s="259"/>
      <c r="F13" s="259"/>
      <c r="G13" s="259"/>
      <c r="H13" s="259"/>
      <c r="I13" s="259"/>
    </row>
    <row r="14" spans="1:9" x14ac:dyDescent="0.25">
      <c r="A14" s="191" t="s">
        <v>278</v>
      </c>
      <c r="B14" s="259" t="s">
        <v>290</v>
      </c>
      <c r="C14" s="259"/>
      <c r="D14" s="259"/>
      <c r="E14" s="259"/>
      <c r="F14" s="259"/>
      <c r="G14" s="259"/>
      <c r="H14" s="259"/>
      <c r="I14" s="259"/>
    </row>
    <row r="15" spans="1:9" x14ac:dyDescent="0.25">
      <c r="A15" s="191" t="s">
        <v>279</v>
      </c>
      <c r="B15" s="259" t="s">
        <v>292</v>
      </c>
      <c r="C15" s="259"/>
      <c r="D15" s="259"/>
      <c r="E15" s="259"/>
      <c r="F15" s="259"/>
      <c r="G15" s="259"/>
      <c r="H15" s="259"/>
      <c r="I15" s="259"/>
    </row>
    <row r="16" spans="1:9" x14ac:dyDescent="0.25">
      <c r="A16" s="192" t="s">
        <v>280</v>
      </c>
      <c r="B16" s="259" t="s">
        <v>293</v>
      </c>
      <c r="C16" s="259"/>
      <c r="D16" s="259"/>
      <c r="E16" s="259"/>
      <c r="F16" s="259"/>
      <c r="G16" s="259"/>
      <c r="H16" s="259"/>
      <c r="I16" s="259"/>
    </row>
    <row r="17" spans="1:9" x14ac:dyDescent="0.25">
      <c r="A17" s="192" t="s">
        <v>281</v>
      </c>
      <c r="B17" s="259" t="s">
        <v>294</v>
      </c>
      <c r="C17" s="259"/>
      <c r="D17" s="259"/>
      <c r="E17" s="259"/>
      <c r="F17" s="259"/>
      <c r="G17" s="259"/>
      <c r="H17" s="259"/>
      <c r="I17" s="259"/>
    </row>
    <row r="18" spans="1:9" x14ac:dyDescent="0.25">
      <c r="A18" s="191" t="s">
        <v>282</v>
      </c>
      <c r="B18" s="259" t="s">
        <v>295</v>
      </c>
      <c r="C18" s="259"/>
      <c r="D18" s="259"/>
      <c r="E18" s="259"/>
      <c r="F18" s="259"/>
      <c r="G18" s="259"/>
      <c r="H18" s="259"/>
      <c r="I18" s="259"/>
    </row>
    <row r="19" spans="1:9" x14ac:dyDescent="0.25">
      <c r="A19" s="191" t="s">
        <v>283</v>
      </c>
      <c r="B19" s="259" t="s">
        <v>283</v>
      </c>
      <c r="C19" s="259"/>
      <c r="D19" s="259"/>
      <c r="E19" s="259"/>
      <c r="F19" s="259"/>
      <c r="G19" s="259"/>
      <c r="H19" s="259"/>
      <c r="I19" s="259"/>
    </row>
    <row r="20" spans="1:9" ht="15" customHeight="1" x14ac:dyDescent="0.25"/>
    <row r="21" spans="1:9" ht="28.5" x14ac:dyDescent="0.45">
      <c r="A21" s="253" t="s">
        <v>324</v>
      </c>
    </row>
    <row r="22" spans="1:9" ht="229.5" customHeight="1" x14ac:dyDescent="0.25">
      <c r="A22" s="257" t="s">
        <v>326</v>
      </c>
      <c r="B22" s="258"/>
      <c r="C22" s="258"/>
      <c r="D22" s="258"/>
      <c r="E22" s="258"/>
      <c r="F22" s="258"/>
      <c r="G22" s="258"/>
      <c r="H22" s="258"/>
      <c r="I22" s="258"/>
    </row>
    <row r="31" spans="1:9" ht="18.75" customHeight="1" x14ac:dyDescent="0.25"/>
  </sheetData>
  <mergeCells count="15">
    <mergeCell ref="A4:I4"/>
    <mergeCell ref="A22:I22"/>
    <mergeCell ref="B7:I7"/>
    <mergeCell ref="B14:I14"/>
    <mergeCell ref="B15:I15"/>
    <mergeCell ref="B16:I16"/>
    <mergeCell ref="B17:I17"/>
    <mergeCell ref="B8:I8"/>
    <mergeCell ref="B18:I18"/>
    <mergeCell ref="B19:I19"/>
    <mergeCell ref="B9:I9"/>
    <mergeCell ref="B10:I10"/>
    <mergeCell ref="B11:I11"/>
    <mergeCell ref="B12:I12"/>
    <mergeCell ref="B13:I13"/>
  </mergeCells>
  <hyperlinks>
    <hyperlink ref="A7" location="'Home Page'!A1" display="Home Page" xr:uid="{00000000-0004-0000-0000-000000000000}"/>
    <hyperlink ref="A8" location="Summary!A1" display="Summary" xr:uid="{00000000-0004-0000-0000-000001000000}"/>
    <hyperlink ref="A9" location="'Critical Inputs'!A1" display="Critical Inputs" xr:uid="{00000000-0004-0000-0000-000002000000}"/>
    <hyperlink ref="A10" location="'DCF Valuation'!A1" display="DCF Valuation" xr:uid="{00000000-0004-0000-0000-000003000000}"/>
    <hyperlink ref="A11" location="'Exxon Income Statement'!A1" display="Exxon Income Statement" xr:uid="{00000000-0004-0000-0000-000004000000}"/>
    <hyperlink ref="A12" location="'Exxon Balance Sheet'!A1" display="Exxon Balance Sheet" xr:uid="{00000000-0004-0000-0000-000005000000}"/>
    <hyperlink ref="A13" location="'Exxon Cash Flow'!A1" display="Exxon Cash Flow" xr:uid="{00000000-0004-0000-0000-000006000000}"/>
    <hyperlink ref="A14" location="'Segment Projections'!A1" display="Segment Projections" xr:uid="{00000000-0004-0000-0000-000007000000}"/>
    <hyperlink ref="A15" location="'Net Working Capital'!A1" display="Net Working Capital" xr:uid="{00000000-0004-0000-0000-000008000000}"/>
    <hyperlink ref="A16" location="'PP&amp;E'!A1" display="PP&amp;E" xr:uid="{00000000-0004-0000-0000-000009000000}"/>
    <hyperlink ref="A17" location="'Long Term Debt'!A1" display="Long Term Debt" xr:uid="{00000000-0004-0000-0000-00000A000000}"/>
    <hyperlink ref="A18" location="Vectors!A1" display="Vectors" xr:uid="{00000000-0004-0000-0000-00000B000000}"/>
    <hyperlink ref="A19" location="'Consistency Check'!A1" display="Consistency Check" xr:uid="{00000000-0004-0000-0000-00000C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40"/>
  <sheetViews>
    <sheetView zoomScaleNormal="100" workbookViewId="0">
      <selection activeCell="H10" sqref="H10"/>
    </sheetView>
  </sheetViews>
  <sheetFormatPr defaultRowHeight="15" x14ac:dyDescent="0.25"/>
  <cols>
    <col min="1" max="1" width="31.7109375" bestFit="1" customWidth="1"/>
    <col min="2" max="2" width="51.5703125" customWidth="1"/>
    <col min="3" max="6" width="12.7109375" customWidth="1"/>
    <col min="7" max="13" width="12.85546875" customWidth="1"/>
  </cols>
  <sheetData>
    <row r="1" spans="1:11" ht="28.5" x14ac:dyDescent="0.45">
      <c r="A1" s="222" t="s">
        <v>305</v>
      </c>
      <c r="B1" s="145"/>
      <c r="C1" s="145"/>
      <c r="D1" s="145"/>
      <c r="E1" s="145"/>
      <c r="F1" s="145"/>
      <c r="G1" s="145"/>
      <c r="H1" s="145"/>
      <c r="I1" s="145"/>
      <c r="J1" s="145"/>
    </row>
    <row r="2" spans="1:11" ht="30" x14ac:dyDescent="0.25">
      <c r="A2" s="227" t="s">
        <v>271</v>
      </c>
      <c r="B2" s="228" t="s">
        <v>273</v>
      </c>
      <c r="C2" s="228" t="s">
        <v>274</v>
      </c>
      <c r="D2" s="228" t="s">
        <v>319</v>
      </c>
      <c r="E2" s="228" t="s">
        <v>320</v>
      </c>
      <c r="F2" s="228" t="s">
        <v>321</v>
      </c>
      <c r="G2" s="228" t="s">
        <v>278</v>
      </c>
      <c r="H2" s="228" t="s">
        <v>279</v>
      </c>
      <c r="I2" s="228" t="s">
        <v>281</v>
      </c>
      <c r="J2" s="228" t="s">
        <v>282</v>
      </c>
      <c r="K2" s="217"/>
    </row>
    <row r="4" spans="1:11" ht="21" x14ac:dyDescent="0.35">
      <c r="A4" s="41" t="s">
        <v>303</v>
      </c>
      <c r="B4" s="41" t="str">
        <f>Scenario_Selector</f>
        <v>High Growth across all Segments (#1)</v>
      </c>
    </row>
    <row r="5" spans="1:11" x14ac:dyDescent="0.25">
      <c r="A5" s="83" t="s">
        <v>313</v>
      </c>
    </row>
    <row r="6" spans="1:11" s="217" customFormat="1" ht="21" x14ac:dyDescent="0.35">
      <c r="A6" s="260" t="s">
        <v>311</v>
      </c>
      <c r="B6" s="260"/>
    </row>
    <row r="7" spans="1:11" s="217" customFormat="1" ht="26.25" x14ac:dyDescent="0.4">
      <c r="A7" s="261">
        <f>ROUND(Share_Price,0)</f>
        <v>79</v>
      </c>
      <c r="B7" s="261"/>
    </row>
    <row r="9" spans="1:11" ht="21" x14ac:dyDescent="0.35">
      <c r="A9" s="260" t="s">
        <v>312</v>
      </c>
      <c r="B9" s="260"/>
    </row>
    <row r="10" spans="1:11" ht="31.5" x14ac:dyDescent="0.5">
      <c r="A10" s="262">
        <f>ROUND(Equity_Valuation*One_million,-6)</f>
        <v>333981000000</v>
      </c>
      <c r="B10" s="262"/>
    </row>
    <row r="11" spans="1:11" x14ac:dyDescent="0.25">
      <c r="A11" s="83" t="s">
        <v>309</v>
      </c>
    </row>
    <row r="12" spans="1:11" s="217" customFormat="1" x14ac:dyDescent="0.25">
      <c r="A12" s="83"/>
    </row>
    <row r="13" spans="1:11" s="217" customFormat="1" x14ac:dyDescent="0.25">
      <c r="A13" s="83"/>
    </row>
    <row r="14" spans="1:11" s="217" customFormat="1" x14ac:dyDescent="0.25">
      <c r="A14" s="83"/>
    </row>
    <row r="15" spans="1:11" x14ac:dyDescent="0.25">
      <c r="C15" s="83" t="s">
        <v>308</v>
      </c>
    </row>
    <row r="30" spans="1:3" x14ac:dyDescent="0.25">
      <c r="A30" s="83" t="s">
        <v>306</v>
      </c>
      <c r="C30" s="247" t="s">
        <v>307</v>
      </c>
    </row>
    <row r="40" spans="2:2" x14ac:dyDescent="0.25">
      <c r="B40" s="83"/>
    </row>
  </sheetData>
  <sheetProtection sheet="1" objects="1" scenarios="1"/>
  <mergeCells count="4">
    <mergeCell ref="A6:B6"/>
    <mergeCell ref="A7:B7"/>
    <mergeCell ref="A9:B9"/>
    <mergeCell ref="A10:B10"/>
  </mergeCells>
  <hyperlinks>
    <hyperlink ref="A5" location="'Critical Inputs'!A1" display="Jump to Critical Inputs" xr:uid="{6A3276CD-123E-47A3-A8D8-26538DC01568}"/>
    <hyperlink ref="A30" location="Net_income_including_noncontrolling_interests" display="Jump to Net Income" xr:uid="{80D14A16-CCAC-4C98-A80B-C7CC97CD01FB}"/>
    <hyperlink ref="C30" location="Total_current_assets" display="Jump to Current Assets" xr:uid="{7A967ED9-7553-4E00-BA42-CDD57C3FECEE}"/>
    <hyperlink ref="C15" location="range_STDebtOut" display="Jump to Short Term Debt" xr:uid="{1FB6D592-26F6-41B9-9636-5497B9E1B165}"/>
    <hyperlink ref="A11" location="'DCF Valuation'!A1" display="Jump to Equity Valuation" xr:uid="{140ED341-1978-416D-8BDE-54D9835CC424}"/>
    <hyperlink ref="A2" location="'Home Page'!A1" display="Home Page" xr:uid="{3E491F95-2619-466B-9387-BD3D6591D6FC}"/>
    <hyperlink ref="D2" location="'Exxon Income Statement'!A1" display="Exxon Income Statement" xr:uid="{C6393B49-0A73-489C-AD95-B5CA89C7A9F1}"/>
    <hyperlink ref="E2" location="'Exxon Balance Sheet'!A1" display="Exxon Balance Sheet" xr:uid="{C8BC960E-51BD-4616-88A0-0D88FE39138A}"/>
    <hyperlink ref="F2" location="'Exxon Cash Flow'!A1" display="Exxon Cash Flow" xr:uid="{0B224F44-243A-42EE-854A-8F8F48F1033E}"/>
    <hyperlink ref="C2" location="'DCF Valuation'!A1" display="DCF Valuation" xr:uid="{CDE8F4F7-9D30-4901-9854-431E7255883D}"/>
    <hyperlink ref="B2" location="'Critical Inputs'!A1" display="Critical Inputs" xr:uid="{05975F80-6BB7-4E0F-876E-EA9ACF179B46}"/>
    <hyperlink ref="G2" location="'Segment Projections'!A1" display="Segment Projections" xr:uid="{5EF4E768-83C7-4DB4-9278-C85C8ADAA270}"/>
    <hyperlink ref="H2" location="'Net Working Capital'!A1" display="Net Working Capital" xr:uid="{2752429A-CE8C-46CF-8285-46A7AE14AD4B}"/>
    <hyperlink ref="I2" location="'Long Term Debt'!A1" display="Long Term Debt" xr:uid="{8F7BADE3-7D2C-4E9C-B36C-2EC47DD5015F}"/>
    <hyperlink ref="J2" location="Vectors!A1" display="Vectors" xr:uid="{3634E1AD-9C69-4099-9087-0AD849C8FFBA}"/>
  </hyperlink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Q19"/>
  <sheetViews>
    <sheetView workbookViewId="0">
      <selection activeCell="A3" sqref="A3"/>
    </sheetView>
  </sheetViews>
  <sheetFormatPr defaultRowHeight="15" x14ac:dyDescent="0.25"/>
  <cols>
    <col min="2" max="2" width="21" customWidth="1"/>
    <col min="3" max="3" width="20.5703125" customWidth="1"/>
  </cols>
  <sheetData>
    <row r="1" spans="1:17" ht="28.5" x14ac:dyDescent="0.45">
      <c r="A1" s="24" t="s">
        <v>315</v>
      </c>
      <c r="B1" s="24"/>
      <c r="C1" s="24"/>
      <c r="D1" s="24"/>
      <c r="E1" s="24"/>
      <c r="F1" s="24"/>
      <c r="G1" s="24"/>
      <c r="H1" s="24"/>
      <c r="I1" s="24"/>
      <c r="J1" s="24"/>
      <c r="K1" s="24"/>
      <c r="L1" s="25"/>
      <c r="M1" s="25"/>
      <c r="N1" s="25"/>
      <c r="O1" s="25"/>
      <c r="P1" s="25"/>
      <c r="Q1" s="25"/>
    </row>
    <row r="3" spans="1:17" s="217" customFormat="1" x14ac:dyDescent="0.25"/>
    <row r="7" spans="1:17" ht="30.75" customHeight="1" x14ac:dyDescent="0.25">
      <c r="A7" s="257" t="s">
        <v>76</v>
      </c>
      <c r="B7" s="257"/>
      <c r="C7" s="257"/>
      <c r="D7" s="257"/>
      <c r="E7" s="257"/>
      <c r="F7" s="257"/>
      <c r="G7" s="257"/>
      <c r="H7" s="257"/>
      <c r="I7" s="257"/>
      <c r="J7" s="257"/>
      <c r="K7" s="257"/>
    </row>
    <row r="9" spans="1:17" x14ac:dyDescent="0.25">
      <c r="A9" s="263" t="s">
        <v>77</v>
      </c>
      <c r="B9" s="263"/>
      <c r="C9" s="263"/>
      <c r="D9" s="263"/>
      <c r="E9" s="263"/>
      <c r="F9" s="263"/>
      <c r="G9" s="263"/>
      <c r="H9" s="263"/>
      <c r="I9" s="263"/>
      <c r="J9" s="263"/>
      <c r="K9" s="263"/>
    </row>
    <row r="10" spans="1:17" x14ac:dyDescent="0.25">
      <c r="A10" s="263"/>
      <c r="B10" s="263"/>
      <c r="C10" s="263"/>
      <c r="D10" s="263"/>
      <c r="E10" s="263"/>
      <c r="F10" s="263"/>
      <c r="G10" s="263"/>
      <c r="H10" s="263"/>
      <c r="I10" s="263"/>
      <c r="J10" s="263"/>
      <c r="K10" s="263"/>
    </row>
    <row r="11" spans="1:17" x14ac:dyDescent="0.25">
      <c r="A11" s="263"/>
      <c r="B11" s="263"/>
      <c r="C11" s="263"/>
      <c r="D11" s="263"/>
      <c r="E11" s="263"/>
      <c r="F11" s="263"/>
      <c r="G11" s="263"/>
      <c r="H11" s="263"/>
      <c r="I11" s="263"/>
      <c r="J11" s="263"/>
      <c r="K11" s="263"/>
    </row>
    <row r="12" spans="1:17" x14ac:dyDescent="0.25">
      <c r="A12" s="263"/>
      <c r="B12" s="263"/>
      <c r="C12" s="263"/>
      <c r="D12" s="263"/>
      <c r="E12" s="263"/>
      <c r="F12" s="263"/>
      <c r="G12" s="263"/>
      <c r="H12" s="263"/>
      <c r="I12" s="263"/>
      <c r="J12" s="263"/>
      <c r="K12" s="263"/>
    </row>
    <row r="13" spans="1:17" x14ac:dyDescent="0.25">
      <c r="A13" s="263"/>
      <c r="B13" s="263"/>
      <c r="C13" s="263"/>
      <c r="D13" s="263"/>
      <c r="E13" s="263"/>
      <c r="F13" s="263"/>
      <c r="G13" s="263"/>
      <c r="H13" s="263"/>
      <c r="I13" s="263"/>
      <c r="J13" s="263"/>
      <c r="K13" s="263"/>
    </row>
    <row r="14" spans="1:17" ht="39.75" customHeight="1" x14ac:dyDescent="0.25">
      <c r="A14" s="263"/>
      <c r="B14" s="263"/>
      <c r="C14" s="263"/>
      <c r="D14" s="263"/>
      <c r="E14" s="263"/>
      <c r="F14" s="263"/>
      <c r="G14" s="263"/>
      <c r="H14" s="263"/>
      <c r="I14" s="263"/>
      <c r="J14" s="263"/>
      <c r="K14" s="263"/>
    </row>
    <row r="16" spans="1:17" x14ac:dyDescent="0.25">
      <c r="A16" t="s">
        <v>314</v>
      </c>
    </row>
    <row r="17" spans="2:3" x14ac:dyDescent="0.25">
      <c r="B17" s="14" t="s">
        <v>58</v>
      </c>
      <c r="C17" s="15">
        <v>71.72</v>
      </c>
    </row>
    <row r="18" spans="2:3" x14ac:dyDescent="0.25">
      <c r="B18" s="14" t="s">
        <v>59</v>
      </c>
      <c r="C18" s="16">
        <v>4230000000</v>
      </c>
    </row>
    <row r="19" spans="2:3" x14ac:dyDescent="0.25">
      <c r="B19" s="14" t="s">
        <v>60</v>
      </c>
      <c r="C19" s="17">
        <f>C17*C18</f>
        <v>303375600000</v>
      </c>
    </row>
  </sheetData>
  <mergeCells count="2">
    <mergeCell ref="A9:K14"/>
    <mergeCell ref="A7:K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M18"/>
  <sheetViews>
    <sheetView zoomScale="120" zoomScaleNormal="120" workbookViewId="0">
      <selection activeCell="N4" sqref="N4"/>
    </sheetView>
  </sheetViews>
  <sheetFormatPr defaultRowHeight="15" x14ac:dyDescent="0.25"/>
  <cols>
    <col min="2" max="2" width="33.140625" bestFit="1" customWidth="1"/>
    <col min="3" max="12" width="11" customWidth="1"/>
  </cols>
  <sheetData>
    <row r="1" spans="1:13" ht="30" customHeight="1" x14ac:dyDescent="0.45">
      <c r="A1" s="222" t="s">
        <v>269</v>
      </c>
      <c r="B1" s="145"/>
      <c r="C1" s="229"/>
      <c r="D1" s="145"/>
      <c r="E1" s="145"/>
      <c r="F1" s="146"/>
      <c r="G1" s="147"/>
      <c r="H1" s="147"/>
      <c r="I1" s="147"/>
      <c r="J1" s="147"/>
      <c r="K1" s="147"/>
      <c r="L1" s="147"/>
      <c r="M1" s="147"/>
    </row>
    <row r="2" spans="1:13" ht="45" x14ac:dyDescent="0.25">
      <c r="A2" s="227" t="s">
        <v>271</v>
      </c>
      <c r="B2" s="227" t="s">
        <v>272</v>
      </c>
      <c r="C2" s="228" t="s">
        <v>273</v>
      </c>
      <c r="D2" s="228" t="s">
        <v>274</v>
      </c>
      <c r="E2" s="228" t="s">
        <v>319</v>
      </c>
      <c r="F2" s="228" t="s">
        <v>320</v>
      </c>
      <c r="G2" s="228" t="s">
        <v>321</v>
      </c>
      <c r="H2" s="228" t="s">
        <v>278</v>
      </c>
      <c r="I2" s="228" t="s">
        <v>279</v>
      </c>
      <c r="J2" s="228" t="s">
        <v>280</v>
      </c>
      <c r="K2" s="228" t="s">
        <v>281</v>
      </c>
      <c r="L2" s="228" t="s">
        <v>282</v>
      </c>
      <c r="M2" s="217"/>
    </row>
    <row r="4" spans="1:13" ht="18.75" x14ac:dyDescent="0.3">
      <c r="A4" s="26"/>
      <c r="B4" s="26"/>
      <c r="C4" s="215"/>
      <c r="D4" s="26"/>
      <c r="E4" s="26"/>
      <c r="F4" s="26"/>
      <c r="G4" s="26"/>
      <c r="H4" s="26"/>
      <c r="I4" s="26"/>
      <c r="J4" s="26"/>
      <c r="K4" s="26"/>
      <c r="L4" s="26"/>
      <c r="M4" s="26"/>
    </row>
    <row r="5" spans="1:13" ht="36" customHeight="1" x14ac:dyDescent="0.25">
      <c r="A5" s="26"/>
      <c r="B5" s="219" t="s">
        <v>93</v>
      </c>
      <c r="C5" s="264" t="s">
        <v>297</v>
      </c>
      <c r="D5" s="265"/>
      <c r="E5" s="265"/>
      <c r="F5" s="265"/>
      <c r="G5" s="265"/>
      <c r="H5" s="265"/>
      <c r="I5" s="265"/>
      <c r="J5" s="265"/>
      <c r="K5" s="265"/>
      <c r="L5" s="265"/>
      <c r="M5" s="26"/>
    </row>
    <row r="6" spans="1:13" x14ac:dyDescent="0.25">
      <c r="A6" s="26"/>
      <c r="B6" s="26"/>
      <c r="C6" s="26"/>
      <c r="D6" s="26"/>
      <c r="E6" s="26"/>
      <c r="F6" s="26"/>
      <c r="G6" s="26"/>
      <c r="H6" s="26"/>
      <c r="I6" s="26"/>
      <c r="J6" s="26"/>
      <c r="K6" s="26"/>
      <c r="L6" s="26"/>
      <c r="M6" s="26"/>
    </row>
    <row r="7" spans="1:13" x14ac:dyDescent="0.25">
      <c r="A7" s="26"/>
      <c r="B7" s="26"/>
      <c r="C7" s="26"/>
      <c r="D7" s="26"/>
      <c r="E7" s="26"/>
      <c r="F7" s="26"/>
      <c r="G7" s="26"/>
      <c r="H7" s="26"/>
      <c r="I7" s="26"/>
      <c r="J7" s="26"/>
      <c r="K7" s="26"/>
      <c r="L7" s="26"/>
      <c r="M7" s="26"/>
    </row>
    <row r="8" spans="1:13" ht="18.75" x14ac:dyDescent="0.3">
      <c r="A8" s="26"/>
      <c r="B8" s="218" t="s">
        <v>100</v>
      </c>
      <c r="C8" s="248">
        <v>1.4999999999999999E-2</v>
      </c>
      <c r="D8" s="26"/>
      <c r="E8" s="26"/>
      <c r="F8" s="26"/>
      <c r="G8" s="26"/>
      <c r="H8" s="26"/>
      <c r="I8" s="26"/>
      <c r="J8" s="26"/>
      <c r="K8" s="26"/>
      <c r="L8" s="26"/>
      <c r="M8" s="26"/>
    </row>
    <row r="9" spans="1:13" ht="18.75" x14ac:dyDescent="0.3">
      <c r="A9" s="26"/>
      <c r="B9" s="218" t="s">
        <v>127</v>
      </c>
      <c r="C9" s="248">
        <v>0.21</v>
      </c>
      <c r="D9" s="26"/>
      <c r="E9" s="26"/>
      <c r="F9" s="26"/>
      <c r="G9" s="26"/>
      <c r="H9" s="26"/>
      <c r="I9" s="26"/>
      <c r="J9" s="26"/>
      <c r="K9" s="26"/>
      <c r="L9" s="26"/>
      <c r="M9" s="26"/>
    </row>
    <row r="10" spans="1:13" ht="18.75" x14ac:dyDescent="0.3">
      <c r="A10" s="26"/>
      <c r="B10" s="218" t="s">
        <v>165</v>
      </c>
      <c r="C10" s="249" t="s">
        <v>167</v>
      </c>
      <c r="D10" s="26"/>
      <c r="E10" s="26"/>
      <c r="F10" s="26"/>
      <c r="G10" s="26"/>
      <c r="H10" s="26"/>
      <c r="I10" s="26"/>
      <c r="J10" s="26"/>
      <c r="K10" s="26"/>
      <c r="L10" s="26"/>
      <c r="M10" s="26"/>
    </row>
    <row r="11" spans="1:13" ht="18.75" x14ac:dyDescent="0.3">
      <c r="A11" s="26"/>
      <c r="B11" s="218" t="s">
        <v>187</v>
      </c>
      <c r="C11" s="248">
        <v>0.04</v>
      </c>
      <c r="D11" s="26"/>
      <c r="E11" s="26"/>
      <c r="F11" s="26"/>
      <c r="G11" s="26"/>
      <c r="H11" s="26"/>
      <c r="I11" s="26"/>
      <c r="J11" s="26"/>
      <c r="K11" s="26"/>
      <c r="L11" s="26"/>
      <c r="M11" s="26"/>
    </row>
    <row r="12" spans="1:13" ht="18.75" x14ac:dyDescent="0.3">
      <c r="A12" s="26"/>
      <c r="B12" s="218" t="s">
        <v>200</v>
      </c>
      <c r="C12" s="248">
        <v>0.04</v>
      </c>
      <c r="D12" s="26"/>
      <c r="E12" s="26"/>
      <c r="F12" s="26"/>
      <c r="G12" s="26"/>
      <c r="H12" s="26"/>
      <c r="I12" s="26"/>
      <c r="J12" s="26"/>
      <c r="K12" s="26"/>
      <c r="L12" s="26"/>
      <c r="M12" s="26"/>
    </row>
    <row r="13" spans="1:13" x14ac:dyDescent="0.25">
      <c r="A13" s="26"/>
      <c r="B13" s="26"/>
      <c r="C13" s="26"/>
      <c r="D13" s="26"/>
      <c r="E13" s="26"/>
      <c r="F13" s="26"/>
      <c r="G13" s="26"/>
      <c r="H13" s="26"/>
      <c r="I13" s="26"/>
      <c r="J13" s="26"/>
      <c r="K13" s="26"/>
      <c r="L13" s="26"/>
      <c r="M13" s="26"/>
    </row>
    <row r="14" spans="1:13" ht="18.75" customHeight="1" x14ac:dyDescent="0.3">
      <c r="A14" s="26"/>
      <c r="B14" s="218" t="s">
        <v>262</v>
      </c>
      <c r="C14" s="248">
        <v>3.7499999999999999E-2</v>
      </c>
      <c r="D14" s="26"/>
      <c r="E14" s="266" t="str">
        <f>Rebalance_check</f>
        <v>Balance Sheet is Balanced</v>
      </c>
      <c r="F14" s="266"/>
      <c r="G14" s="266"/>
      <c r="H14" s="266"/>
      <c r="I14" s="266"/>
      <c r="J14" s="266"/>
      <c r="K14" s="266"/>
      <c r="L14" s="266"/>
      <c r="M14" s="26"/>
    </row>
    <row r="15" spans="1:13" ht="18.75" x14ac:dyDescent="0.3">
      <c r="A15" s="26"/>
      <c r="B15" s="218" t="s">
        <v>263</v>
      </c>
      <c r="C15" s="248">
        <v>0.04</v>
      </c>
      <c r="D15" s="26"/>
      <c r="E15" s="266"/>
      <c r="F15" s="266"/>
      <c r="G15" s="266"/>
      <c r="H15" s="266"/>
      <c r="I15" s="266"/>
      <c r="J15" s="266"/>
      <c r="K15" s="266"/>
      <c r="L15" s="266"/>
      <c r="M15" s="26"/>
    </row>
    <row r="16" spans="1:13" ht="18.75" x14ac:dyDescent="0.3">
      <c r="A16" s="26"/>
      <c r="B16" s="218" t="s">
        <v>264</v>
      </c>
      <c r="C16" s="250">
        <v>0.95</v>
      </c>
      <c r="D16" s="26"/>
      <c r="E16" s="26"/>
      <c r="F16" s="26"/>
      <c r="G16" s="26"/>
      <c r="H16" s="26"/>
      <c r="I16" s="26"/>
      <c r="J16" s="26"/>
      <c r="K16" s="26"/>
      <c r="L16" s="26"/>
      <c r="M16" s="26"/>
    </row>
    <row r="17" spans="1:13" ht="18.75" x14ac:dyDescent="0.3">
      <c r="A17" s="26"/>
      <c r="B17" s="215"/>
      <c r="C17" s="26"/>
      <c r="D17" s="26"/>
      <c r="E17" s="26"/>
      <c r="F17" s="26"/>
      <c r="G17" s="26"/>
      <c r="H17" s="26"/>
      <c r="I17" s="26"/>
      <c r="J17" s="26"/>
      <c r="K17" s="26"/>
      <c r="L17" s="26"/>
      <c r="M17" s="26"/>
    </row>
    <row r="18" spans="1:13" x14ac:dyDescent="0.25">
      <c r="A18" s="26"/>
      <c r="B18" s="26"/>
      <c r="C18" s="26"/>
      <c r="D18" s="26"/>
      <c r="E18" s="26"/>
      <c r="F18" s="26"/>
      <c r="G18" s="26"/>
      <c r="H18" s="26"/>
      <c r="I18" s="26"/>
      <c r="J18" s="26"/>
      <c r="K18" s="26"/>
      <c r="L18" s="26"/>
      <c r="M18" s="26"/>
    </row>
  </sheetData>
  <sheetProtection sheet="1" objects="1" scenarios="1"/>
  <mergeCells count="2">
    <mergeCell ref="C5:L5"/>
    <mergeCell ref="E14:L15"/>
  </mergeCells>
  <dataValidations count="2">
    <dataValidation type="list" allowBlank="1" showInputMessage="1" showErrorMessage="1" sqref="C5" xr:uid="{00000000-0002-0000-0300-000000000000}">
      <formula1>Scenario_List</formula1>
    </dataValidation>
    <dataValidation type="list" allowBlank="1" showInputMessage="1" showErrorMessage="1" sqref="C10" xr:uid="{00000000-0002-0000-0300-000001000000}">
      <formula1>Yes_No_Roll_Over</formula1>
    </dataValidation>
  </dataValidations>
  <hyperlinks>
    <hyperlink ref="A2" location="'Home Page'!A1" display="Home Page" xr:uid="{7FB990D9-BF13-45C2-9031-5077ED3DC0FD}"/>
    <hyperlink ref="E2" location="'Exxon Income Statement'!A1" display="Exxon Income Statement" xr:uid="{B9E43503-C759-46FD-AA1E-3BF21449A96F}"/>
    <hyperlink ref="B2" location="Summary!A1" display="Summary" xr:uid="{4EAB05FD-992E-4946-A16F-9BF3CF027612}"/>
    <hyperlink ref="F2" location="'Exxon Balance Sheet'!A1" display="Exxon Balance Sheet" xr:uid="{D885FE74-6D22-4A7C-808E-DC5D94518719}"/>
    <hyperlink ref="G2" location="'Exxon Cash Flow'!A1" display="Exxon Cash Flow" xr:uid="{17CC5917-4C4C-4A75-8E64-5F52E3A67249}"/>
    <hyperlink ref="D2" location="'DCF Valuation'!A1" display="DCF Valuation" xr:uid="{FA9237F7-FDF0-448D-8D02-2DC987720119}"/>
    <hyperlink ref="C2" location="'Critical Inputs'!A1" display="Critical Inputs" xr:uid="{6C15957E-1B23-462B-ACC9-6ADCA25E8FA2}"/>
    <hyperlink ref="H2" location="'Segment Projections'!A1" display="Segment Projections" xr:uid="{F713C46B-05EF-4B44-B7A7-C4221668CBFE}"/>
    <hyperlink ref="I2" location="'Net Working Capital'!A1" display="Net Working Capital" xr:uid="{2C22F6B9-8635-43C8-8897-7CC0F7048AC1}"/>
    <hyperlink ref="J2" location="'PP&amp;E'!A1" display="PP&amp;E" xr:uid="{CF782209-F2DE-4759-96E1-A712AB05E4DA}"/>
    <hyperlink ref="K2" location="'Long Term Debt'!A1" display="Long Term Debt" xr:uid="{1B7C3CDC-31AF-4F39-8BB3-D6EE7C40D078}"/>
    <hyperlink ref="L2" location="Vectors!A1" display="Vectors" xr:uid="{55767CAD-5970-4105-90EA-4EC2D81014E4}"/>
  </hyperlinks>
  <pageMargins left="0.7" right="0.7" top="0.75" bottom="0.75" header="0.3" footer="0.3"/>
  <pageSetup orientation="portrait" horizontalDpi="300" verticalDpi="300" r:id="rId1"/>
  <drawing r:id="rId2"/>
  <legacyDrawing r:id="rId3"/>
  <mc:AlternateContent xmlns:mc="http://schemas.openxmlformats.org/markup-compatibility/2006">
    <mc:Choice Requires="x14">
      <controls>
        <mc:AlternateContent xmlns:mc="http://schemas.openxmlformats.org/markup-compatibility/2006">
          <mc:Choice Requires="x14">
            <control shapeId="23553" r:id="rId4" name="Button 1">
              <controlPr defaultSize="0" print="0" autoFill="0" autoPict="0" macro="[0]!Plug">
                <anchor moveWithCells="1" sizeWithCells="1">
                  <from>
                    <xdr:col>5</xdr:col>
                    <xdr:colOff>219075</xdr:colOff>
                    <xdr:row>6</xdr:row>
                    <xdr:rowOff>152400</xdr:rowOff>
                  </from>
                  <to>
                    <xdr:col>9</xdr:col>
                    <xdr:colOff>342900</xdr:colOff>
                    <xdr:row>11</xdr:row>
                    <xdr:rowOff>171450</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23"/>
  <sheetViews>
    <sheetView zoomScale="134" zoomScaleNormal="134" workbookViewId="0">
      <selection activeCell="C11" sqref="C11"/>
    </sheetView>
  </sheetViews>
  <sheetFormatPr defaultRowHeight="15" x14ac:dyDescent="0.25"/>
  <cols>
    <col min="1" max="1" width="24" customWidth="1"/>
    <col min="2" max="2" width="11.85546875" customWidth="1"/>
    <col min="3" max="3" width="3.85546875" style="152" customWidth="1"/>
    <col min="4" max="4" width="24.7109375" customWidth="1"/>
    <col min="5" max="5" width="13.5703125" customWidth="1"/>
    <col min="6" max="14" width="12.28515625" customWidth="1"/>
  </cols>
  <sheetData>
    <row r="1" spans="1:14" ht="28.5" customHeight="1" x14ac:dyDescent="0.45">
      <c r="A1" s="222" t="s">
        <v>237</v>
      </c>
      <c r="B1" s="145"/>
      <c r="C1" s="151"/>
      <c r="D1" s="145"/>
      <c r="E1" s="145"/>
      <c r="F1" s="146"/>
      <c r="G1" s="147"/>
      <c r="H1" s="147"/>
      <c r="I1" s="269" t="str">
        <f>Rebalance_check</f>
        <v>Balance Sheet is Balanced</v>
      </c>
      <c r="J1" s="269"/>
      <c r="K1" s="269"/>
      <c r="L1" s="269"/>
      <c r="M1" s="269"/>
      <c r="N1" s="269"/>
    </row>
    <row r="2" spans="1:14" ht="29.25" customHeight="1" x14ac:dyDescent="0.25">
      <c r="A2" s="227" t="s">
        <v>271</v>
      </c>
      <c r="B2" s="227" t="s">
        <v>272</v>
      </c>
      <c r="D2" s="228" t="s">
        <v>273</v>
      </c>
      <c r="E2" s="228" t="s">
        <v>274</v>
      </c>
      <c r="F2" s="228" t="s">
        <v>319</v>
      </c>
      <c r="G2" s="228" t="s">
        <v>320</v>
      </c>
      <c r="H2" s="228" t="s">
        <v>321</v>
      </c>
      <c r="I2" s="228" t="s">
        <v>282</v>
      </c>
      <c r="M2" s="217"/>
    </row>
    <row r="3" spans="1:14" x14ac:dyDescent="0.25">
      <c r="D3" s="226"/>
    </row>
    <row r="4" spans="1:14" ht="21" x14ac:dyDescent="0.35">
      <c r="A4" s="267" t="s">
        <v>238</v>
      </c>
      <c r="B4" s="267"/>
      <c r="C4" s="268"/>
      <c r="E4" t="s">
        <v>310</v>
      </c>
      <c r="N4" t="s">
        <v>261</v>
      </c>
    </row>
    <row r="5" spans="1:14" x14ac:dyDescent="0.25">
      <c r="E5" s="6">
        <v>2018</v>
      </c>
      <c r="F5" s="6">
        <v>2019</v>
      </c>
      <c r="G5" s="6">
        <v>2020</v>
      </c>
      <c r="H5" s="6">
        <v>2021</v>
      </c>
      <c r="I5" s="6">
        <v>2022</v>
      </c>
      <c r="J5" s="6">
        <v>2023</v>
      </c>
      <c r="K5" s="6">
        <v>2024</v>
      </c>
      <c r="L5" s="6">
        <v>2025</v>
      </c>
      <c r="M5" s="6">
        <v>2026</v>
      </c>
    </row>
    <row r="6" spans="1:14" x14ac:dyDescent="0.25">
      <c r="A6" t="s">
        <v>239</v>
      </c>
      <c r="B6" s="251">
        <v>0.03</v>
      </c>
      <c r="D6" t="s">
        <v>252</v>
      </c>
      <c r="E6" s="153">
        <f>'Exxon Income Statement'!G24+'Exxon Income Statement'!G18</f>
        <v>28987.353799999983</v>
      </c>
      <c r="F6" s="153">
        <f>'Exxon Income Statement'!H24+'Exxon Income Statement'!H18</f>
        <v>31862.108652999974</v>
      </c>
      <c r="G6" s="153">
        <f>'Exxon Income Statement'!I24+'Exxon Income Statement'!I18</f>
        <v>34422.557106099994</v>
      </c>
      <c r="H6" s="153">
        <f>'Exxon Income Statement'!J24+'Exxon Income Statement'!J18</f>
        <v>36659.866492701403</v>
      </c>
      <c r="I6" s="153">
        <f>'Exxon Income Statement'!K24+'Exxon Income Statement'!K18</f>
        <v>38613.816721952717</v>
      </c>
      <c r="J6" s="153">
        <f>'Exxon Income Statement'!L24+'Exxon Income Statement'!L18</f>
        <v>40612.71234496629</v>
      </c>
      <c r="K6" s="153">
        <f>'Exxon Income Statement'!M24+'Exxon Income Statement'!M18</f>
        <v>42605.004694859919</v>
      </c>
      <c r="L6" s="153">
        <f>'Exxon Income Statement'!N24+'Exxon Income Statement'!N18</f>
        <v>44630.559747886007</v>
      </c>
      <c r="M6" s="153">
        <f>'Exxon Income Statement'!O24+'Exxon Income Statement'!O18</f>
        <v>46686.458288320049</v>
      </c>
      <c r="N6" s="153">
        <f>M6*(1+Perpetual_Growth_Rate)</f>
        <v>48437.200474132056</v>
      </c>
    </row>
    <row r="7" spans="1:14" x14ac:dyDescent="0.25">
      <c r="A7" t="s">
        <v>240</v>
      </c>
      <c r="B7" s="251">
        <v>0.06</v>
      </c>
      <c r="D7" t="s">
        <v>250</v>
      </c>
      <c r="E7" s="155">
        <f t="shared" ref="E7:N7" si="0">Tax_Rate</f>
        <v>0.21</v>
      </c>
      <c r="F7" s="155">
        <f t="shared" si="0"/>
        <v>0.21</v>
      </c>
      <c r="G7" s="155">
        <f t="shared" si="0"/>
        <v>0.21</v>
      </c>
      <c r="H7" s="155">
        <f t="shared" si="0"/>
        <v>0.21</v>
      </c>
      <c r="I7" s="155">
        <f t="shared" si="0"/>
        <v>0.21</v>
      </c>
      <c r="J7" s="155">
        <f t="shared" si="0"/>
        <v>0.21</v>
      </c>
      <c r="K7" s="155">
        <f t="shared" si="0"/>
        <v>0.21</v>
      </c>
      <c r="L7" s="155">
        <f t="shared" si="0"/>
        <v>0.21</v>
      </c>
      <c r="M7" s="155">
        <f t="shared" si="0"/>
        <v>0.21</v>
      </c>
      <c r="N7" s="155">
        <f t="shared" si="0"/>
        <v>0.21</v>
      </c>
    </row>
    <row r="8" spans="1:14" x14ac:dyDescent="0.25">
      <c r="D8" t="s">
        <v>253</v>
      </c>
      <c r="E8" s="156">
        <f>E6*(1-E7)</f>
        <v>22900.009501999986</v>
      </c>
      <c r="F8" s="156">
        <f t="shared" ref="F8:N8" si="1">F6*(1-F7)</f>
        <v>25171.06583586998</v>
      </c>
      <c r="G8" s="156">
        <f t="shared" si="1"/>
        <v>27193.820113818998</v>
      </c>
      <c r="H8" s="156">
        <f t="shared" si="1"/>
        <v>28961.29452923411</v>
      </c>
      <c r="I8" s="156">
        <f t="shared" si="1"/>
        <v>30504.915210342646</v>
      </c>
      <c r="J8" s="156">
        <f t="shared" si="1"/>
        <v>32084.042752523372</v>
      </c>
      <c r="K8" s="156">
        <f t="shared" si="1"/>
        <v>33657.953708939334</v>
      </c>
      <c r="L8" s="156">
        <f t="shared" si="1"/>
        <v>35258.142200829949</v>
      </c>
      <c r="M8" s="156">
        <f t="shared" si="1"/>
        <v>36882.302047772842</v>
      </c>
      <c r="N8" s="156">
        <f t="shared" si="1"/>
        <v>38265.388374564325</v>
      </c>
    </row>
    <row r="9" spans="1:14" x14ac:dyDescent="0.25">
      <c r="A9" t="s">
        <v>241</v>
      </c>
      <c r="B9" s="251">
        <v>3.8300000000000001E-2</v>
      </c>
      <c r="D9" s="82" t="s">
        <v>254</v>
      </c>
      <c r="E9" s="158">
        <f>'Exxon Income Statement'!G16</f>
        <v>19182.837000000003</v>
      </c>
      <c r="F9" s="158">
        <f>'Exxon Income Statement'!H16</f>
        <v>19374.665369999999</v>
      </c>
      <c r="G9" s="158">
        <f>'Exxon Income Statement'!I16</f>
        <v>19568.412023700002</v>
      </c>
      <c r="H9" s="158">
        <f>'Exxon Income Statement'!J16</f>
        <v>19764.096143937004</v>
      </c>
      <c r="I9" s="158">
        <f>'Exxon Income Statement'!K16</f>
        <v>19961.737105376371</v>
      </c>
      <c r="J9" s="158">
        <f>'Exxon Income Statement'!L16</f>
        <v>20161.354476430137</v>
      </c>
      <c r="K9" s="158">
        <f>'Exxon Income Statement'!M16</f>
        <v>20362.968021194436</v>
      </c>
      <c r="L9" s="158">
        <f>'Exxon Income Statement'!N16</f>
        <v>20566.597701406383</v>
      </c>
      <c r="M9" s="158">
        <f>'Exxon Income Statement'!O16</f>
        <v>20772.263678420448</v>
      </c>
      <c r="N9" s="158">
        <f>-N11/CAPEX_DEPR_Long_Term</f>
        <v>22627.027206658568</v>
      </c>
    </row>
    <row r="10" spans="1:14" ht="30" x14ac:dyDescent="0.25">
      <c r="A10" t="s">
        <v>242</v>
      </c>
      <c r="B10" s="80">
        <f>(B9-B6)/B7</f>
        <v>0.13833333333333336</v>
      </c>
      <c r="D10" s="10" t="s">
        <v>255</v>
      </c>
      <c r="E10" s="158">
        <f>'Net Working Capital'!B12</f>
        <v>3498.6840551232967</v>
      </c>
      <c r="F10" s="158">
        <f>'Net Working Capital'!C12</f>
        <v>908.30116775259648</v>
      </c>
      <c r="G10" s="158">
        <f>'Net Working Capital'!D12</f>
        <v>815.77392485622295</v>
      </c>
      <c r="H10" s="158">
        <f>'Net Working Capital'!E12</f>
        <v>720.63618780054321</v>
      </c>
      <c r="I10" s="158">
        <f>'Net Working Capital'!F12</f>
        <v>637.28672888215306</v>
      </c>
      <c r="J10" s="158">
        <f>'Net Working Capital'!G12</f>
        <v>651.18464904307712</v>
      </c>
      <c r="K10" s="158">
        <f>'Net Working Capital'!H12</f>
        <v>649.82005742131332</v>
      </c>
      <c r="L10" s="158">
        <f>'Net Working Capital'!I12</f>
        <v>660.26941031641218</v>
      </c>
      <c r="M10" s="158">
        <f>'Net Working Capital'!J12</f>
        <v>669.8600829545976</v>
      </c>
      <c r="N10" s="158">
        <f>M10*(1+Perpetual_Growth_Rate)</f>
        <v>694.97983606539503</v>
      </c>
    </row>
    <row r="11" spans="1:14" x14ac:dyDescent="0.25">
      <c r="D11" t="s">
        <v>256</v>
      </c>
      <c r="E11" s="158">
        <f>-'PP&amp;E'!G7</f>
        <v>-19087.400000000001</v>
      </c>
      <c r="F11" s="158">
        <f>-'PP&amp;E'!H7</f>
        <v>-19278.274000000001</v>
      </c>
      <c r="G11" s="158">
        <f>-'PP&amp;E'!I7</f>
        <v>-19471.05674</v>
      </c>
      <c r="H11" s="158">
        <f>-'PP&amp;E'!J7</f>
        <v>-19665.767307400001</v>
      </c>
      <c r="I11" s="158">
        <f>-'PP&amp;E'!K7</f>
        <v>-19862.424980474003</v>
      </c>
      <c r="J11" s="158">
        <f>-'PP&amp;E'!L7</f>
        <v>-20061.049230278742</v>
      </c>
      <c r="K11" s="158">
        <f>-'PP&amp;E'!M7</f>
        <v>-20261.659722581531</v>
      </c>
      <c r="L11" s="158">
        <f>-'PP&amp;E'!N7</f>
        <v>-20464.276319807344</v>
      </c>
      <c r="M11" s="158">
        <f>-'PP&amp;E'!O7</f>
        <v>-20668.919083005421</v>
      </c>
      <c r="N11" s="158">
        <f>M11*(1+CAPEX_Long_Term_Growth)</f>
        <v>-21495.675846325637</v>
      </c>
    </row>
    <row r="12" spans="1:14" x14ac:dyDescent="0.25">
      <c r="A12" t="s">
        <v>243</v>
      </c>
      <c r="B12" s="252">
        <v>1.6</v>
      </c>
      <c r="D12" s="125" t="s">
        <v>257</v>
      </c>
      <c r="E12" s="156">
        <f>SUM(E8:E11)</f>
        <v>26494.130557123281</v>
      </c>
      <c r="F12" s="156">
        <f t="shared" ref="F12:N12" si="2">SUM(F8:F11)</f>
        <v>26175.758373622568</v>
      </c>
      <c r="G12" s="156">
        <f t="shared" si="2"/>
        <v>28106.949322375222</v>
      </c>
      <c r="H12" s="156">
        <f t="shared" si="2"/>
        <v>29780.259553571657</v>
      </c>
      <c r="I12" s="156">
        <f t="shared" si="2"/>
        <v>31241.514064127165</v>
      </c>
      <c r="J12" s="156">
        <f t="shared" si="2"/>
        <v>32835.532647717846</v>
      </c>
      <c r="K12" s="156">
        <f t="shared" si="2"/>
        <v>34409.082064973554</v>
      </c>
      <c r="L12" s="156">
        <f t="shared" si="2"/>
        <v>36020.732992745397</v>
      </c>
      <c r="M12" s="156">
        <f t="shared" si="2"/>
        <v>37655.50672614247</v>
      </c>
      <c r="N12" s="156">
        <f t="shared" si="2"/>
        <v>40091.719570962654</v>
      </c>
    </row>
    <row r="13" spans="1:14" x14ac:dyDescent="0.25">
      <c r="A13" t="s">
        <v>244</v>
      </c>
      <c r="B13" s="94">
        <f>B6+B12*B7</f>
        <v>0.126</v>
      </c>
      <c r="D13" t="s">
        <v>258</v>
      </c>
      <c r="E13" s="154"/>
      <c r="F13" s="154"/>
      <c r="G13" s="154"/>
      <c r="H13" s="154"/>
      <c r="I13" s="154"/>
      <c r="J13" s="154"/>
      <c r="K13" s="154"/>
      <c r="L13" s="154"/>
      <c r="M13" s="153">
        <f>N12/(WACC-Perpetual_Growth_Rate)</f>
        <v>612935.3844207509</v>
      </c>
      <c r="N13" s="154"/>
    </row>
    <row r="14" spans="1:14" x14ac:dyDescent="0.25">
      <c r="D14" s="157"/>
      <c r="E14" s="91">
        <f>E12+E13</f>
        <v>26494.130557123281</v>
      </c>
      <c r="F14" s="91">
        <f t="shared" ref="F14:M14" si="3">F12+F13</f>
        <v>26175.758373622568</v>
      </c>
      <c r="G14" s="91">
        <f t="shared" si="3"/>
        <v>28106.949322375222</v>
      </c>
      <c r="H14" s="91">
        <f t="shared" si="3"/>
        <v>29780.259553571657</v>
      </c>
      <c r="I14" s="91">
        <f t="shared" si="3"/>
        <v>31241.514064127165</v>
      </c>
      <c r="J14" s="91">
        <f t="shared" si="3"/>
        <v>32835.532647717846</v>
      </c>
      <c r="K14" s="91">
        <f t="shared" si="3"/>
        <v>34409.082064973554</v>
      </c>
      <c r="L14" s="91">
        <f t="shared" si="3"/>
        <v>36020.732992745397</v>
      </c>
      <c r="M14" s="91">
        <f t="shared" si="3"/>
        <v>650590.89114689338</v>
      </c>
    </row>
    <row r="15" spans="1:14" x14ac:dyDescent="0.25">
      <c r="A15" t="s">
        <v>245</v>
      </c>
      <c r="B15" s="52">
        <f>SUM('Exxon Balance Sheet'!F29:F33)</f>
        <v>96420</v>
      </c>
    </row>
    <row r="16" spans="1:14" x14ac:dyDescent="0.25">
      <c r="A16" t="s">
        <v>246</v>
      </c>
      <c r="B16" s="52">
        <v>303376</v>
      </c>
      <c r="D16" t="s">
        <v>259</v>
      </c>
      <c r="E16" s="99">
        <f>NPV(WACC,E14:M14)</f>
        <v>427223.94819595752</v>
      </c>
    </row>
    <row r="17" spans="1:5" x14ac:dyDescent="0.25">
      <c r="A17" t="s">
        <v>247</v>
      </c>
      <c r="B17" s="79">
        <f>B15/(B15+B16)</f>
        <v>0.24117299822909685</v>
      </c>
      <c r="D17" s="82" t="s">
        <v>260</v>
      </c>
      <c r="E17" s="158">
        <f>SUM('Exxon Balance Sheet'!F29:F33)</f>
        <v>96420</v>
      </c>
    </row>
    <row r="18" spans="1:5" x14ac:dyDescent="0.25">
      <c r="D18" s="159" t="s">
        <v>265</v>
      </c>
      <c r="E18" s="160">
        <f>'Exxon Balance Sheet'!F9</f>
        <v>3177</v>
      </c>
    </row>
    <row r="19" spans="1:5" ht="15.75" thickBot="1" x14ac:dyDescent="0.3">
      <c r="A19" t="s">
        <v>248</v>
      </c>
      <c r="B19" s="150">
        <f>B17*B10+(1-B17)*B12</f>
        <v>1.2474854675884701</v>
      </c>
      <c r="D19" s="161" t="s">
        <v>266</v>
      </c>
      <c r="E19" s="162">
        <f>E16-E17+E18</f>
        <v>333980.94819595752</v>
      </c>
    </row>
    <row r="20" spans="1:5" ht="15.75" thickTop="1" x14ac:dyDescent="0.25">
      <c r="A20" t="s">
        <v>249</v>
      </c>
      <c r="B20" s="94">
        <f>B6+B7*B19</f>
        <v>0.1048491280553082</v>
      </c>
    </row>
    <row r="21" spans="1:5" ht="15.75" thickBot="1" x14ac:dyDescent="0.3">
      <c r="D21" s="162" t="s">
        <v>58</v>
      </c>
      <c r="E21" s="162">
        <f>(Equity_Valuation*One_million)/Shares_Outstanding</f>
        <v>78.955306902117613</v>
      </c>
    </row>
    <row r="22" spans="1:5" ht="15.75" thickTop="1" x14ac:dyDescent="0.25">
      <c r="A22" t="s">
        <v>250</v>
      </c>
      <c r="B22" s="51">
        <f>Tax_Rate</f>
        <v>0.21</v>
      </c>
    </row>
    <row r="23" spans="1:5" x14ac:dyDescent="0.25">
      <c r="A23" t="s">
        <v>251</v>
      </c>
      <c r="B23" s="94">
        <f>B17*B9*(1-B22)+B13*(1-B17)</f>
        <v>0.10290937363055158</v>
      </c>
    </row>
  </sheetData>
  <sheetProtection sheet="1" objects="1" scenarios="1"/>
  <mergeCells count="2">
    <mergeCell ref="A4:C4"/>
    <mergeCell ref="I1:N1"/>
  </mergeCells>
  <hyperlinks>
    <hyperlink ref="A2" location="'Home Page'!A1" display="Home Page" xr:uid="{08E1594C-1C1C-4FAD-932B-3633A88B7B76}"/>
    <hyperlink ref="F2" location="'Exxon Income Statement'!A1" display="Exxon Income Statement" xr:uid="{66465F77-6E51-4708-9425-74DA764E9F02}"/>
    <hyperlink ref="B2" location="Summary!A1" display="Summary" xr:uid="{F4438355-A3B2-40AD-BA6A-D964178F28B8}"/>
    <hyperlink ref="G2" location="'Exxon Balance Sheet'!A1" display="Exxon Balance Sheet" xr:uid="{36D5C968-F57E-496B-896D-D2422543739E}"/>
    <hyperlink ref="H2" location="'Exxon Cash Flow'!A1" display="Exxon Cash Flow" xr:uid="{43A27472-7681-46E6-9B6A-3F75CE2673EE}"/>
    <hyperlink ref="E2" location="'DCF Valuation'!A1" display="DCF Valuation" xr:uid="{F193F13B-2D10-4B75-BF25-7D6676096424}"/>
    <hyperlink ref="I2" location="Vectors!A1" display="Vectors" xr:uid="{AE28D4ED-1F5A-4A1A-B404-00F6DFF72F13}"/>
    <hyperlink ref="D2" location="'Critical Inputs'!A1" display="Critical Inputs" xr:uid="{494E8D96-8929-46BD-9BAC-14743243A05B}"/>
  </hyperlinks>
  <pageMargins left="0.7" right="0.7" top="0.75" bottom="0.75" header="0.3" footer="0.3"/>
  <pageSetup orientation="portrait" horizontalDpi="300" verticalDpi="300" r:id="rId1"/>
  <drawing r:id="rId2"/>
  <legacyDrawing r:id="rId3"/>
  <mc:AlternateContent xmlns:mc="http://schemas.openxmlformats.org/markup-compatibility/2006">
    <mc:Choice Requires="x14">
      <controls>
        <mc:AlternateContent xmlns:mc="http://schemas.openxmlformats.org/markup-compatibility/2006">
          <mc:Choice Requires="x14">
            <control shapeId="30724" r:id="rId4" name="Button 4">
              <controlPr defaultSize="0" print="0" autoFill="0" autoPict="0" macro="[0]!Plug">
                <anchor moveWithCells="1" sizeWithCells="1">
                  <from>
                    <xdr:col>9</xdr:col>
                    <xdr:colOff>342900</xdr:colOff>
                    <xdr:row>1</xdr:row>
                    <xdr:rowOff>28575</xdr:rowOff>
                  </from>
                  <to>
                    <xdr:col>13</xdr:col>
                    <xdr:colOff>76200</xdr:colOff>
                    <xdr:row>2</xdr:row>
                    <xdr:rowOff>104775</xdr:rowOff>
                  </to>
                </anchor>
              </controlPr>
            </control>
          </mc:Choice>
        </mc:AlternateContent>
      </controls>
    </mc:Choice>
  </mc:AlternateConten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2">
    <tabColor rgb="FFFFC000"/>
  </sheetPr>
  <dimension ref="A1:Q67"/>
  <sheetViews>
    <sheetView zoomScale="110" zoomScaleNormal="110" workbookViewId="0">
      <pane xSplit="1" ySplit="4" topLeftCell="B20" activePane="bottomRight" state="frozen"/>
      <selection activeCell="A57" sqref="A57"/>
      <selection pane="topRight" activeCell="A57" sqref="A57"/>
      <selection pane="bottomLeft" activeCell="A57" sqref="A57"/>
      <selection pane="bottomRight" activeCell="B41" sqref="B41"/>
    </sheetView>
  </sheetViews>
  <sheetFormatPr defaultRowHeight="15" x14ac:dyDescent="0.25"/>
  <cols>
    <col min="1" max="1" width="66.28515625" customWidth="1"/>
    <col min="2" max="15" width="12.42578125" customWidth="1"/>
  </cols>
  <sheetData>
    <row r="1" spans="1:17" ht="28.5" x14ac:dyDescent="0.45">
      <c r="A1" s="223" t="s">
        <v>234</v>
      </c>
      <c r="B1" s="23"/>
      <c r="C1" s="23"/>
      <c r="D1" s="23"/>
      <c r="E1" s="23"/>
      <c r="F1" s="21"/>
      <c r="G1" s="22"/>
      <c r="H1" s="22"/>
      <c r="I1" s="22"/>
      <c r="J1" s="275" t="str">
        <f>Rebalance_check</f>
        <v>Balance Sheet is Balanced</v>
      </c>
      <c r="K1" s="275"/>
      <c r="L1" s="275"/>
      <c r="M1" s="275"/>
      <c r="N1" s="275"/>
      <c r="O1" s="275"/>
    </row>
    <row r="2" spans="1:17" ht="30" x14ac:dyDescent="0.25">
      <c r="A2" s="227" t="s">
        <v>271</v>
      </c>
      <c r="B2" s="227" t="s">
        <v>272</v>
      </c>
      <c r="C2" s="228" t="s">
        <v>273</v>
      </c>
      <c r="D2" s="228" t="s">
        <v>274</v>
      </c>
      <c r="E2" s="228" t="s">
        <v>319</v>
      </c>
      <c r="F2" s="228" t="s">
        <v>320</v>
      </c>
      <c r="G2" s="228" t="s">
        <v>321</v>
      </c>
      <c r="H2" s="228" t="s">
        <v>278</v>
      </c>
      <c r="I2" s="228" t="s">
        <v>281</v>
      </c>
      <c r="J2" s="228" t="s">
        <v>282</v>
      </c>
      <c r="M2" s="217"/>
    </row>
    <row r="3" spans="1:17" ht="15" customHeight="1" x14ac:dyDescent="0.25">
      <c r="A3" s="1" t="s">
        <v>0</v>
      </c>
      <c r="B3" s="270" t="s">
        <v>74</v>
      </c>
      <c r="C3" s="270"/>
      <c r="D3" s="270"/>
      <c r="E3" s="270"/>
      <c r="F3" s="270"/>
      <c r="G3" t="s">
        <v>75</v>
      </c>
    </row>
    <row r="4" spans="1:17" ht="30" x14ac:dyDescent="0.25">
      <c r="A4" s="1" t="s">
        <v>1</v>
      </c>
      <c r="B4" s="58">
        <v>2013</v>
      </c>
      <c r="C4" s="58">
        <v>2014</v>
      </c>
      <c r="D4" s="59">
        <v>2015</v>
      </c>
      <c r="E4" s="59">
        <v>2016</v>
      </c>
      <c r="F4" s="59">
        <v>2017</v>
      </c>
      <c r="G4" s="6">
        <v>2018</v>
      </c>
      <c r="H4" s="6">
        <v>2019</v>
      </c>
      <c r="I4" s="6">
        <v>2020</v>
      </c>
      <c r="J4" s="6">
        <v>2021</v>
      </c>
      <c r="K4" s="6">
        <v>2022</v>
      </c>
      <c r="L4" s="6">
        <v>2023</v>
      </c>
      <c r="M4" s="6">
        <v>2024</v>
      </c>
      <c r="N4" s="6">
        <v>2025</v>
      </c>
      <c r="O4" s="6">
        <v>2026</v>
      </c>
    </row>
    <row r="5" spans="1:17" ht="18" customHeight="1" x14ac:dyDescent="0.25">
      <c r="A5" s="8" t="s">
        <v>2</v>
      </c>
      <c r="B5" s="100"/>
      <c r="C5" s="60"/>
      <c r="D5" s="61"/>
      <c r="E5" s="62"/>
      <c r="F5" s="61"/>
    </row>
    <row r="6" spans="1:17" ht="18" customHeight="1" x14ac:dyDescent="0.25">
      <c r="A6" s="13" t="s">
        <v>53</v>
      </c>
      <c r="B6" s="63">
        <v>420836</v>
      </c>
      <c r="C6" s="63">
        <v>394105</v>
      </c>
      <c r="D6" s="64">
        <v>259488</v>
      </c>
      <c r="E6" s="64">
        <v>218608</v>
      </c>
      <c r="F6" s="64">
        <v>237162</v>
      </c>
      <c r="G6" s="55">
        <f>'Segment Projections'!G22</f>
        <v>253527.32000000004</v>
      </c>
      <c r="H6" s="55">
        <f>'Segment Projections'!H22</f>
        <v>269667.2317</v>
      </c>
      <c r="I6" s="55">
        <f>'Segment Projections'!I22</f>
        <v>284162.99542000005</v>
      </c>
      <c r="J6" s="55">
        <f>'Segment Projections'!J22</f>
        <v>296968.22440336004</v>
      </c>
      <c r="K6" s="55">
        <f>'Segment Projections'!K22</f>
        <v>308292.38856489008</v>
      </c>
      <c r="L6" s="55">
        <f>'Segment Projections'!L22</f>
        <v>319863.50958629715</v>
      </c>
      <c r="M6" s="55">
        <f>'Segment Projections'!M22</f>
        <v>331410.38271607575</v>
      </c>
      <c r="N6" s="55">
        <f>'Segment Projections'!N22</f>
        <v>343142.93394364434</v>
      </c>
      <c r="O6" s="55">
        <f>'Segment Projections'!O22</f>
        <v>355045.90508810803</v>
      </c>
    </row>
    <row r="7" spans="1:17" ht="18" customHeight="1" x14ac:dyDescent="0.25">
      <c r="A7" s="13" t="s">
        <v>3</v>
      </c>
      <c r="B7" s="65">
        <v>13927</v>
      </c>
      <c r="C7" s="65">
        <v>13323</v>
      </c>
      <c r="D7" s="66">
        <v>7644</v>
      </c>
      <c r="E7" s="66">
        <v>4806</v>
      </c>
      <c r="F7" s="66">
        <v>5380</v>
      </c>
      <c r="G7" s="4">
        <f>G6*Vectors!B70</f>
        <v>5070.5464000000011</v>
      </c>
      <c r="H7" s="4">
        <f>H6*Vectors!C70</f>
        <v>5393.344634</v>
      </c>
      <c r="I7" s="4">
        <f>I6*Vectors!D70</f>
        <v>5683.2599084000012</v>
      </c>
      <c r="J7" s="4">
        <f>J6*Vectors!E70</f>
        <v>5939.3644880672009</v>
      </c>
      <c r="K7" s="4">
        <f>K6*Vectors!F70</f>
        <v>6165.847771297802</v>
      </c>
      <c r="L7" s="4">
        <f>L6*Vectors!G70</f>
        <v>6397.2701917259428</v>
      </c>
      <c r="M7" s="4">
        <f>M6*Vectors!H70</f>
        <v>6628.2076543215153</v>
      </c>
      <c r="N7" s="4">
        <f>N6*Vectors!I70</f>
        <v>6862.8586788728871</v>
      </c>
      <c r="O7" s="4">
        <f>O6*Vectors!J70</f>
        <v>7100.9181017621604</v>
      </c>
    </row>
    <row r="8" spans="1:17" ht="18" customHeight="1" x14ac:dyDescent="0.25">
      <c r="A8" s="13" t="s">
        <v>4</v>
      </c>
      <c r="B8" s="65">
        <v>3492</v>
      </c>
      <c r="C8" s="65">
        <v>4511</v>
      </c>
      <c r="D8" s="66">
        <v>1750</v>
      </c>
      <c r="E8" s="66">
        <v>2680</v>
      </c>
      <c r="F8" s="66">
        <v>1821</v>
      </c>
      <c r="G8" s="4">
        <v>0</v>
      </c>
      <c r="H8" s="4">
        <v>0</v>
      </c>
      <c r="I8" s="4">
        <v>0</v>
      </c>
      <c r="J8" s="4">
        <v>0</v>
      </c>
      <c r="K8" s="4">
        <v>0</v>
      </c>
      <c r="L8" s="4">
        <v>0</v>
      </c>
      <c r="M8" s="4">
        <v>0</v>
      </c>
      <c r="N8" s="4">
        <v>0</v>
      </c>
      <c r="O8" s="4">
        <v>0</v>
      </c>
      <c r="P8" s="4"/>
      <c r="Q8" s="4"/>
    </row>
    <row r="9" spans="1:17" ht="18" customHeight="1" thickBot="1" x14ac:dyDescent="0.3">
      <c r="A9" s="9" t="s">
        <v>5</v>
      </c>
      <c r="B9" s="67">
        <f>Sales_and_other_operating_revenue+Income_from_equity_affiliates+Other_income</f>
        <v>438255</v>
      </c>
      <c r="C9" s="67">
        <f>Sales_and_other_operating_revenue+Income_from_equity_affiliates+Other_income</f>
        <v>411939</v>
      </c>
      <c r="D9" s="67">
        <f>Sales_and_other_operating_revenue+Income_from_equity_affiliates+Other_income-D36</f>
        <v>249248</v>
      </c>
      <c r="E9" s="67">
        <f>Sales_and_other_operating_revenue+Income_from_equity_affiliates+Other_income-E36</f>
        <v>208114</v>
      </c>
      <c r="F9" s="67">
        <f t="shared" ref="F9:O9" si="0">Sales_and_other_operating_revenue+Income_from_equity_affiliates+Other_income</f>
        <v>244363</v>
      </c>
      <c r="G9" s="40">
        <f t="shared" si="0"/>
        <v>258597.86640000003</v>
      </c>
      <c r="H9" s="40">
        <f t="shared" si="0"/>
        <v>275060.57633399998</v>
      </c>
      <c r="I9" s="40">
        <f t="shared" si="0"/>
        <v>289846.25532840006</v>
      </c>
      <c r="J9" s="40">
        <f t="shared" si="0"/>
        <v>302907.58889142727</v>
      </c>
      <c r="K9" s="40">
        <f t="shared" si="0"/>
        <v>314458.23633618787</v>
      </c>
      <c r="L9" s="40">
        <f t="shared" si="0"/>
        <v>326260.77977802308</v>
      </c>
      <c r="M9" s="40">
        <f t="shared" si="0"/>
        <v>338038.59037039726</v>
      </c>
      <c r="N9" s="40">
        <f t="shared" si="0"/>
        <v>350005.79262251721</v>
      </c>
      <c r="O9" s="40">
        <f t="shared" si="0"/>
        <v>362146.82318987022</v>
      </c>
    </row>
    <row r="10" spans="1:17" ht="18" customHeight="1" x14ac:dyDescent="0.25">
      <c r="A10" s="7"/>
      <c r="B10" s="68"/>
      <c r="C10" s="69"/>
      <c r="D10" s="69"/>
      <c r="E10" s="69"/>
      <c r="F10" s="69"/>
    </row>
    <row r="11" spans="1:17" ht="18" customHeight="1" x14ac:dyDescent="0.25">
      <c r="A11" s="7"/>
      <c r="B11" s="70"/>
      <c r="C11" s="69"/>
      <c r="D11" s="69"/>
      <c r="E11" s="69"/>
      <c r="F11" s="69"/>
    </row>
    <row r="12" spans="1:17" ht="18" customHeight="1" x14ac:dyDescent="0.25">
      <c r="A12" s="8" t="s">
        <v>6</v>
      </c>
      <c r="B12" s="71"/>
      <c r="C12" s="71"/>
      <c r="D12" s="62"/>
      <c r="E12" s="62"/>
      <c r="F12" s="61"/>
    </row>
    <row r="13" spans="1:17" ht="18" customHeight="1" x14ac:dyDescent="0.25">
      <c r="A13" s="13" t="s">
        <v>7</v>
      </c>
      <c r="B13" s="65">
        <v>244156</v>
      </c>
      <c r="C13" s="65">
        <v>225972</v>
      </c>
      <c r="D13" s="66">
        <v>130003</v>
      </c>
      <c r="E13" s="66">
        <v>104171</v>
      </c>
      <c r="F13" s="66">
        <v>128217</v>
      </c>
      <c r="G13" s="57">
        <f>G$6*Vectors!B29</f>
        <v>139440.02600000004</v>
      </c>
      <c r="H13" s="57">
        <f>H$6*Vectors!C29</f>
        <v>148316.97743500001</v>
      </c>
      <c r="I13" s="57">
        <f>I$6*Vectors!D29</f>
        <v>156289.64748100005</v>
      </c>
      <c r="J13" s="57">
        <f>J$6*Vectors!E29</f>
        <v>163332.52342184805</v>
      </c>
      <c r="K13" s="57">
        <f>K$6*Vectors!F29</f>
        <v>169560.81371068954</v>
      </c>
      <c r="L13" s="57">
        <f>L$6*Vectors!G29</f>
        <v>175924.93027246345</v>
      </c>
      <c r="M13" s="57">
        <f>M$6*Vectors!H29</f>
        <v>182275.71049384167</v>
      </c>
      <c r="N13" s="57">
        <f>N$6*Vectors!I29</f>
        <v>188728.61366900441</v>
      </c>
      <c r="O13" s="57">
        <f>O$6*Vectors!J29</f>
        <v>195275.24779845943</v>
      </c>
    </row>
    <row r="14" spans="1:17" ht="18" customHeight="1" x14ac:dyDescent="0.25">
      <c r="A14" s="13" t="s">
        <v>8</v>
      </c>
      <c r="B14" s="65">
        <v>40525</v>
      </c>
      <c r="C14" s="65">
        <v>40859</v>
      </c>
      <c r="D14" s="66">
        <v>35587</v>
      </c>
      <c r="E14" s="66">
        <v>31927</v>
      </c>
      <c r="F14" s="66">
        <v>34128</v>
      </c>
      <c r="G14" s="57">
        <f>G$6*Vectors!B30</f>
        <v>32958.551600000006</v>
      </c>
      <c r="H14" s="57">
        <f>H$6*Vectors!C30</f>
        <v>35056.740121000003</v>
      </c>
      <c r="I14" s="57">
        <f>I$6*Vectors!D30</f>
        <v>36941.189404600009</v>
      </c>
      <c r="J14" s="57">
        <f>J$6*Vectors!E30</f>
        <v>38605.869172436804</v>
      </c>
      <c r="K14" s="57">
        <f>K$6*Vectors!F30</f>
        <v>40078.010513435715</v>
      </c>
      <c r="L14" s="57">
        <f>L$6*Vectors!G30</f>
        <v>41582.256246218632</v>
      </c>
      <c r="M14" s="57">
        <f>M$6*Vectors!H30</f>
        <v>43083.349753089846</v>
      </c>
      <c r="N14" s="57">
        <f>N$6*Vectors!I30</f>
        <v>44608.581412673768</v>
      </c>
      <c r="O14" s="57">
        <f>O$6*Vectors!J30</f>
        <v>46155.967661454044</v>
      </c>
    </row>
    <row r="15" spans="1:17" ht="18" customHeight="1" x14ac:dyDescent="0.25">
      <c r="A15" s="13" t="s">
        <v>9</v>
      </c>
      <c r="B15" s="72">
        <v>12877</v>
      </c>
      <c r="C15" s="65">
        <v>12598</v>
      </c>
      <c r="D15" s="66">
        <v>11501</v>
      </c>
      <c r="E15" s="66">
        <v>10799</v>
      </c>
      <c r="F15" s="66">
        <v>10956</v>
      </c>
      <c r="G15" s="57">
        <f>G$6*Vectors!B31</f>
        <v>10141.092800000002</v>
      </c>
      <c r="H15" s="57">
        <f>H$6*Vectors!C31</f>
        <v>10786.689268</v>
      </c>
      <c r="I15" s="57">
        <f>I$6*Vectors!D31</f>
        <v>11366.519816800002</v>
      </c>
      <c r="J15" s="57">
        <f>J$6*Vectors!E31</f>
        <v>11878.728976134402</v>
      </c>
      <c r="K15" s="57">
        <f>K$6*Vectors!F31</f>
        <v>12331.695542595604</v>
      </c>
      <c r="L15" s="57">
        <f>L$6*Vectors!G31</f>
        <v>12794.540383451886</v>
      </c>
      <c r="M15" s="57">
        <f>M$6*Vectors!H31</f>
        <v>13256.415308643031</v>
      </c>
      <c r="N15" s="57">
        <f>N$6*Vectors!I31</f>
        <v>13725.717357745774</v>
      </c>
      <c r="O15" s="57">
        <f>O$6*Vectors!J31</f>
        <v>14201.836203524321</v>
      </c>
    </row>
    <row r="16" spans="1:17" ht="18" customHeight="1" x14ac:dyDescent="0.25">
      <c r="A16" s="13" t="s">
        <v>10</v>
      </c>
      <c r="B16" s="65">
        <v>17182</v>
      </c>
      <c r="C16" s="65">
        <v>17297</v>
      </c>
      <c r="D16" s="66">
        <v>18048</v>
      </c>
      <c r="E16" s="66">
        <v>22308</v>
      </c>
      <c r="F16" s="66">
        <v>19893</v>
      </c>
      <c r="G16" s="4">
        <f>'PP&amp;E'!G15</f>
        <v>19182.837000000003</v>
      </c>
      <c r="H16" s="4">
        <f>'PP&amp;E'!H15</f>
        <v>19374.665369999999</v>
      </c>
      <c r="I16" s="4">
        <f>'PP&amp;E'!I15</f>
        <v>19568.412023700002</v>
      </c>
      <c r="J16" s="4">
        <f>'PP&amp;E'!J15</f>
        <v>19764.096143937004</v>
      </c>
      <c r="K16" s="4">
        <f>'PP&amp;E'!K15</f>
        <v>19961.737105376371</v>
      </c>
      <c r="L16" s="4">
        <f>'PP&amp;E'!L15</f>
        <v>20161.354476430137</v>
      </c>
      <c r="M16" s="4">
        <f>'PP&amp;E'!M15</f>
        <v>20362.968021194436</v>
      </c>
      <c r="N16" s="4">
        <f>'PP&amp;E'!N15</f>
        <v>20566.597701406383</v>
      </c>
      <c r="O16" s="4">
        <f>'PP&amp;E'!O15</f>
        <v>20772.263678420448</v>
      </c>
    </row>
    <row r="17" spans="1:15" ht="18" customHeight="1" x14ac:dyDescent="0.25">
      <c r="A17" s="13" t="s">
        <v>11</v>
      </c>
      <c r="B17" s="65">
        <v>1976</v>
      </c>
      <c r="C17" s="65">
        <v>1669</v>
      </c>
      <c r="D17" s="66">
        <v>1523</v>
      </c>
      <c r="E17" s="66">
        <v>1467</v>
      </c>
      <c r="F17" s="66">
        <v>1790</v>
      </c>
      <c r="G17" s="4">
        <f>G$6*Vectors!B32</f>
        <v>2535.2732000000005</v>
      </c>
      <c r="H17" s="4">
        <f>H$6*Vectors!C32</f>
        <v>2696.672317</v>
      </c>
      <c r="I17" s="4">
        <f>I$6*Vectors!D32</f>
        <v>2841.6299542000006</v>
      </c>
      <c r="J17" s="4">
        <f>J$6*Vectors!E32</f>
        <v>2969.6822440336005</v>
      </c>
      <c r="K17" s="4">
        <f>K$6*Vectors!F32</f>
        <v>3082.923885648901</v>
      </c>
      <c r="L17" s="4">
        <f>L$6*Vectors!G32</f>
        <v>3198.6350958629714</v>
      </c>
      <c r="M17" s="4">
        <f>M$6*Vectors!H32</f>
        <v>3314.1038271607576</v>
      </c>
      <c r="N17" s="4">
        <f>N$6*Vectors!I32</f>
        <v>3431.4293394364436</v>
      </c>
      <c r="O17" s="4">
        <f>O$6*Vectors!J32</f>
        <v>3550.4590508810802</v>
      </c>
    </row>
    <row r="18" spans="1:15" ht="18" customHeight="1" x14ac:dyDescent="0.25">
      <c r="A18" s="13" t="s">
        <v>12</v>
      </c>
      <c r="B18" s="73">
        <v>9</v>
      </c>
      <c r="C18" s="73">
        <v>286</v>
      </c>
      <c r="D18" s="66">
        <v>311</v>
      </c>
      <c r="E18" s="66">
        <v>453</v>
      </c>
      <c r="F18" s="66">
        <v>601</v>
      </c>
      <c r="G18" s="52">
        <f>'Long Term Debt'!C132+(Interest_on_Short_term_debt*'Exxon Balance Sheet'!G23)</f>
        <v>691.6768400000002</v>
      </c>
      <c r="H18" s="52">
        <f>'Long Term Debt'!C132+(Interest_on_Short_term_debt*'Exxon Balance Sheet'!H23)</f>
        <v>691.6768400000002</v>
      </c>
      <c r="I18" s="52">
        <f>'Long Term Debt'!D132+(Interest_on_Short_term_debt*'Exxon Balance Sheet'!I23)</f>
        <v>691.6768400000002</v>
      </c>
      <c r="J18" s="52">
        <f>'Long Term Debt'!E132+(Interest_on_Short_term_debt*'Exxon Balance Sheet'!J23)</f>
        <v>820.78923954401762</v>
      </c>
      <c r="K18" s="52">
        <f>'Long Term Debt'!F132+(Interest_on_Short_term_debt*'Exxon Balance Sheet'!K23)</f>
        <v>1068.9132421234635</v>
      </c>
      <c r="L18" s="52">
        <f>'Long Term Debt'!G132+(Interest_on_Short_term_debt*'Exxon Balance Sheet'!L23)</f>
        <v>1258.4520174044756</v>
      </c>
      <c r="M18" s="52">
        <f>'Long Term Debt'!H132+(Interest_on_Short_term_debt*'Exxon Balance Sheet'!M23)</f>
        <v>1424.3000035351295</v>
      </c>
      <c r="N18" s="52">
        <f>'Long Term Debt'!I132+(Interest_on_Short_term_debt*'Exxon Balance Sheet'!N23)</f>
        <v>1565.4003000379089</v>
      </c>
      <c r="O18" s="52">
        <f>'Long Term Debt'!J132+(Interest_on_Short_term_debt*'Exxon Balance Sheet'!O23)</f>
        <v>1681.1817765774358</v>
      </c>
    </row>
    <row r="19" spans="1:15" ht="18" customHeight="1" x14ac:dyDescent="0.25">
      <c r="A19" s="13" t="s">
        <v>20</v>
      </c>
      <c r="B19" s="65">
        <v>30589</v>
      </c>
      <c r="C19" s="65">
        <v>29342</v>
      </c>
      <c r="D19" s="66">
        <v>22678</v>
      </c>
      <c r="E19" s="66">
        <v>21090</v>
      </c>
      <c r="F19" s="74"/>
    </row>
    <row r="20" spans="1:15" ht="18" customHeight="1" x14ac:dyDescent="0.25">
      <c r="A20" s="13" t="s">
        <v>82</v>
      </c>
      <c r="B20" s="65">
        <v>33230</v>
      </c>
      <c r="C20" s="65">
        <v>32286</v>
      </c>
      <c r="D20" s="66">
        <v>27265</v>
      </c>
      <c r="E20" s="66">
        <v>25910</v>
      </c>
      <c r="F20" s="66">
        <v>30104</v>
      </c>
      <c r="G20" s="56">
        <f>G6*Vectors!B33</f>
        <v>25352.732000000004</v>
      </c>
      <c r="H20" s="56">
        <f>H6*Vectors!C33</f>
        <v>26966.723170000001</v>
      </c>
      <c r="I20" s="56">
        <f>I6*Vectors!D33</f>
        <v>28416.299542000008</v>
      </c>
      <c r="J20" s="56">
        <f>J6*Vectors!E33</f>
        <v>29696.822440336007</v>
      </c>
      <c r="K20" s="56">
        <f>K6*Vectors!F33</f>
        <v>30829.23885648901</v>
      </c>
      <c r="L20" s="56">
        <f>L6*Vectors!G33</f>
        <v>31986.350958629715</v>
      </c>
      <c r="M20" s="56">
        <f>M6*Vectors!H33</f>
        <v>33141.038271607576</v>
      </c>
      <c r="N20" s="56">
        <f>N6*Vectors!I33</f>
        <v>34314.293394364438</v>
      </c>
      <c r="O20" s="56">
        <f>O6*Vectors!J33</f>
        <v>35504.590508810805</v>
      </c>
    </row>
    <row r="21" spans="1:15" ht="18" customHeight="1" thickBot="1" x14ac:dyDescent="0.3">
      <c r="A21" s="9" t="s">
        <v>14</v>
      </c>
      <c r="B21" s="67">
        <f>Crude_oil_and_product_purchases+Production_and_manufacturing_expenses+Selling__general_and_administrative_expenses+Depreciation_and_depletion+Exploration_expenses__including_dry_holes+Interest_expense+Sales_based_taxes+Other_taxes_and_duties</f>
        <v>380544</v>
      </c>
      <c r="C21" s="67">
        <f>Crude_oil_and_product_purchases+Production_and_manufacturing_expenses+Selling__general_and_administrative_expenses+Depreciation_and_depletion+Exploration_expenses__including_dry_holes+Interest_expense+Sales_based_taxes+Other_taxes_and_duties</f>
        <v>360309</v>
      </c>
      <c r="D21" s="67">
        <f>Crude_oil_and_product_purchases+Production_and_manufacturing_expenses+Selling__general_and_administrative_expenses+Depreciation_and_depletion+Exploration_expenses__including_dry_holes+Interest_expense+Sales_based_taxes+Other_taxes_and_duties-D36</f>
        <v>227282</v>
      </c>
      <c r="E21" s="67">
        <f>Crude_oil_and_product_purchases+Production_and_manufacturing_expenses+Selling__general_and_administrative_expenses+Depreciation_and_depletion+Exploration_expenses__including_dry_holes+Interest_expense+Sales_based_taxes+Other_taxes_and_duties-E36</f>
        <v>200145</v>
      </c>
      <c r="F21" s="67">
        <f t="shared" ref="F21:O21" si="1">Crude_oil_and_product_purchases+Production_and_manufacturing_expenses+Selling__general_and_administrative_expenses+Depreciation_and_depletion+Exploration_expenses__including_dry_holes+Interest_expense+Sales_based_taxes+Other_taxes_and_duties</f>
        <v>225689</v>
      </c>
      <c r="G21" s="40">
        <f>Crude_oil_and_product_purchases+Production_and_manufacturing_expenses+Selling__general_and_administrative_expenses+Depreciation_and_depletion+Exploration_expenses__including_dry_holes+Interest_expense+Sales_based_taxes+Other_taxes_and_duties</f>
        <v>230302.18944000005</v>
      </c>
      <c r="H21" s="40">
        <f t="shared" si="1"/>
        <v>243890.14452100001</v>
      </c>
      <c r="I21" s="40">
        <f t="shared" si="1"/>
        <v>256115.37506230007</v>
      </c>
      <c r="J21" s="40">
        <f t="shared" si="1"/>
        <v>267068.51163826988</v>
      </c>
      <c r="K21" s="40">
        <f t="shared" si="1"/>
        <v>276913.33285635861</v>
      </c>
      <c r="L21" s="40">
        <f t="shared" si="1"/>
        <v>286906.51945046126</v>
      </c>
      <c r="M21" s="40">
        <f t="shared" si="1"/>
        <v>296857.88567907247</v>
      </c>
      <c r="N21" s="40">
        <f t="shared" si="1"/>
        <v>306940.63317466911</v>
      </c>
      <c r="O21" s="40">
        <f t="shared" si="1"/>
        <v>317141.5466781276</v>
      </c>
    </row>
    <row r="22" spans="1:15" ht="18" customHeight="1" x14ac:dyDescent="0.25">
      <c r="B22" s="68"/>
      <c r="C22" s="68"/>
      <c r="D22" s="68"/>
      <c r="E22" s="75"/>
      <c r="F22" s="68"/>
    </row>
    <row r="23" spans="1:15" ht="18" customHeight="1" x14ac:dyDescent="0.25">
      <c r="B23" s="68"/>
      <c r="C23" s="68"/>
      <c r="D23" s="68"/>
      <c r="E23" s="68"/>
      <c r="F23" s="68"/>
    </row>
    <row r="24" spans="1:15" ht="18" customHeight="1" thickBot="1" x14ac:dyDescent="0.3">
      <c r="A24" s="9" t="s">
        <v>15</v>
      </c>
      <c r="B24" s="76">
        <f t="shared" ref="B24:O24" si="2">Total_revenues_and_other_income-Total_costs_and_other_deductions</f>
        <v>57711</v>
      </c>
      <c r="C24" s="76">
        <f t="shared" si="2"/>
        <v>51630</v>
      </c>
      <c r="D24" s="76">
        <f t="shared" si="2"/>
        <v>21966</v>
      </c>
      <c r="E24" s="76">
        <f t="shared" si="2"/>
        <v>7969</v>
      </c>
      <c r="F24" s="76">
        <f t="shared" si="2"/>
        <v>18674</v>
      </c>
      <c r="G24" s="12">
        <f t="shared" si="2"/>
        <v>28295.676959999983</v>
      </c>
      <c r="H24" s="12">
        <f t="shared" si="2"/>
        <v>31170.431812999974</v>
      </c>
      <c r="I24" s="12">
        <f t="shared" si="2"/>
        <v>33730.880266099994</v>
      </c>
      <c r="J24" s="12">
        <f t="shared" si="2"/>
        <v>35839.077253157389</v>
      </c>
      <c r="K24" s="12">
        <f t="shared" si="2"/>
        <v>37544.903479829256</v>
      </c>
      <c r="L24" s="12">
        <f t="shared" si="2"/>
        <v>39354.260327561817</v>
      </c>
      <c r="M24" s="12">
        <f t="shared" si="2"/>
        <v>41180.70469132479</v>
      </c>
      <c r="N24" s="12">
        <f t="shared" si="2"/>
        <v>43065.159447848098</v>
      </c>
      <c r="O24" s="12">
        <f t="shared" si="2"/>
        <v>45005.276511742617</v>
      </c>
    </row>
    <row r="25" spans="1:15" ht="18" customHeight="1" x14ac:dyDescent="0.25">
      <c r="A25" s="211" t="s">
        <v>16</v>
      </c>
      <c r="B25" s="212">
        <v>24263</v>
      </c>
      <c r="C25" s="212">
        <v>18015</v>
      </c>
      <c r="D25" s="213">
        <v>5415</v>
      </c>
      <c r="E25" s="213">
        <v>-406</v>
      </c>
      <c r="F25" s="213">
        <v>-1174</v>
      </c>
      <c r="G25" s="214">
        <f t="shared" ref="G25:O25" si="3">G24*Tax_Rate</f>
        <v>5942.092161599996</v>
      </c>
      <c r="H25" s="214">
        <f t="shared" si="3"/>
        <v>6545.7906807299942</v>
      </c>
      <c r="I25" s="214">
        <f t="shared" si="3"/>
        <v>7083.4848558809981</v>
      </c>
      <c r="J25" s="214">
        <f t="shared" si="3"/>
        <v>7526.2062231630516</v>
      </c>
      <c r="K25" s="214">
        <f t="shared" si="3"/>
        <v>7884.4297307641436</v>
      </c>
      <c r="L25" s="214">
        <f t="shared" si="3"/>
        <v>8264.3946687879816</v>
      </c>
      <c r="M25" s="214">
        <f t="shared" si="3"/>
        <v>8647.9479851782053</v>
      </c>
      <c r="N25" s="214">
        <f t="shared" si="3"/>
        <v>9043.6834840481006</v>
      </c>
      <c r="O25" s="214">
        <f t="shared" si="3"/>
        <v>9451.1080674659497</v>
      </c>
    </row>
    <row r="26" spans="1:15" ht="18" customHeight="1" x14ac:dyDescent="0.25">
      <c r="A26" s="19" t="s">
        <v>17</v>
      </c>
      <c r="B26" s="20">
        <f t="shared" ref="B26:O26" si="4">Income_before_income_taxes-Income_taxes</f>
        <v>33448</v>
      </c>
      <c r="C26" s="20">
        <f t="shared" si="4"/>
        <v>33615</v>
      </c>
      <c r="D26" s="20">
        <f t="shared" si="4"/>
        <v>16551</v>
      </c>
      <c r="E26" s="20">
        <f t="shared" si="4"/>
        <v>8375</v>
      </c>
      <c r="F26" s="20">
        <f t="shared" si="4"/>
        <v>19848</v>
      </c>
      <c r="G26" s="20">
        <f t="shared" si="4"/>
        <v>22353.584798399985</v>
      </c>
      <c r="H26" s="20">
        <f t="shared" si="4"/>
        <v>24624.641132269979</v>
      </c>
      <c r="I26" s="20">
        <f t="shared" si="4"/>
        <v>26647.395410218996</v>
      </c>
      <c r="J26" s="20">
        <f t="shared" si="4"/>
        <v>28312.871029994338</v>
      </c>
      <c r="K26" s="20">
        <f t="shared" si="4"/>
        <v>29660.473749065113</v>
      </c>
      <c r="L26" s="20">
        <f t="shared" si="4"/>
        <v>31089.865658773837</v>
      </c>
      <c r="M26" s="20">
        <f t="shared" si="4"/>
        <v>32532.756706146585</v>
      </c>
      <c r="N26" s="20">
        <f t="shared" si="4"/>
        <v>34021.475963799996</v>
      </c>
      <c r="O26" s="20">
        <f t="shared" si="4"/>
        <v>35554.168444276671</v>
      </c>
    </row>
    <row r="27" spans="1:15" ht="28.5" customHeight="1" x14ac:dyDescent="0.25">
      <c r="A27" s="43" t="s">
        <v>18</v>
      </c>
      <c r="B27" s="73">
        <v>868</v>
      </c>
      <c r="C27" s="65">
        <v>1095</v>
      </c>
      <c r="D27" s="66">
        <v>401</v>
      </c>
      <c r="E27" s="66">
        <v>535</v>
      </c>
      <c r="F27" s="66">
        <v>138</v>
      </c>
      <c r="G27" s="11">
        <v>0</v>
      </c>
      <c r="H27" s="11">
        <v>0</v>
      </c>
      <c r="I27" s="11">
        <v>0</v>
      </c>
      <c r="J27" s="11">
        <v>0</v>
      </c>
      <c r="K27" s="11">
        <v>0</v>
      </c>
      <c r="L27" s="11">
        <v>0</v>
      </c>
      <c r="M27" s="11">
        <v>0</v>
      </c>
      <c r="N27" s="11">
        <v>0</v>
      </c>
      <c r="O27" s="11">
        <v>0</v>
      </c>
    </row>
    <row r="28" spans="1:15" ht="18" customHeight="1" x14ac:dyDescent="0.25">
      <c r="A28" s="19" t="s">
        <v>19</v>
      </c>
      <c r="B28" s="20">
        <f t="shared" ref="B28:O28" si="5">Net_income_including_noncontrolling_interests-Net_income_attributable_to_noncontrolling_interests</f>
        <v>32580</v>
      </c>
      <c r="C28" s="20">
        <f t="shared" si="5"/>
        <v>32520</v>
      </c>
      <c r="D28" s="20">
        <f t="shared" si="5"/>
        <v>16150</v>
      </c>
      <c r="E28" s="20">
        <f t="shared" si="5"/>
        <v>7840</v>
      </c>
      <c r="F28" s="20">
        <f t="shared" si="5"/>
        <v>19710</v>
      </c>
      <c r="G28" s="20">
        <f t="shared" si="5"/>
        <v>22353.584798399985</v>
      </c>
      <c r="H28" s="20">
        <f t="shared" si="5"/>
        <v>24624.641132269979</v>
      </c>
      <c r="I28" s="20">
        <f t="shared" si="5"/>
        <v>26647.395410218996</v>
      </c>
      <c r="J28" s="20">
        <f t="shared" si="5"/>
        <v>28312.871029994338</v>
      </c>
      <c r="K28" s="20">
        <f t="shared" si="5"/>
        <v>29660.473749065113</v>
      </c>
      <c r="L28" s="20">
        <f t="shared" si="5"/>
        <v>31089.865658773837</v>
      </c>
      <c r="M28" s="20">
        <f t="shared" si="5"/>
        <v>32532.756706146585</v>
      </c>
      <c r="N28" s="20">
        <f t="shared" si="5"/>
        <v>34021.475963799996</v>
      </c>
      <c r="O28" s="20">
        <f t="shared" si="5"/>
        <v>35554.168444276671</v>
      </c>
    </row>
    <row r="29" spans="1:15" ht="15" customHeight="1" x14ac:dyDescent="0.25">
      <c r="A29" s="7"/>
      <c r="B29" s="18"/>
      <c r="C29" s="18"/>
      <c r="D29" s="18"/>
      <c r="E29" s="18"/>
      <c r="F29" s="18"/>
    </row>
    <row r="30" spans="1:15" ht="15" customHeight="1" x14ac:dyDescent="0.25">
      <c r="A30" s="7"/>
      <c r="B30" s="18"/>
      <c r="C30" s="18"/>
      <c r="D30" s="18"/>
      <c r="E30" s="18"/>
      <c r="F30" s="18"/>
    </row>
    <row r="31" spans="1:15" ht="15" customHeight="1" x14ac:dyDescent="0.25">
      <c r="A31" s="7" t="s">
        <v>185</v>
      </c>
      <c r="B31" s="97">
        <v>2.46</v>
      </c>
      <c r="C31" s="97">
        <v>2.7</v>
      </c>
      <c r="D31" s="97">
        <v>2.88</v>
      </c>
      <c r="E31" s="97">
        <v>2.98</v>
      </c>
      <c r="F31" s="97">
        <v>3.06</v>
      </c>
      <c r="G31" s="98">
        <f t="shared" ref="G31:O31" si="6">F31*(1+Dividend_Growth_Rate)</f>
        <v>3.1824000000000003</v>
      </c>
      <c r="H31" s="98">
        <f t="shared" si="6"/>
        <v>3.3096960000000006</v>
      </c>
      <c r="I31" s="98">
        <f t="shared" si="6"/>
        <v>3.4420838400000009</v>
      </c>
      <c r="J31" s="98">
        <f t="shared" si="6"/>
        <v>3.5797671936000008</v>
      </c>
      <c r="K31" s="98">
        <f t="shared" si="6"/>
        <v>3.722957881344001</v>
      </c>
      <c r="L31" s="98">
        <f t="shared" si="6"/>
        <v>3.8718761965977611</v>
      </c>
      <c r="M31" s="98">
        <f t="shared" si="6"/>
        <v>4.0267512444616713</v>
      </c>
      <c r="N31" s="98">
        <f t="shared" si="6"/>
        <v>4.1878212942401385</v>
      </c>
      <c r="O31" s="98">
        <f t="shared" si="6"/>
        <v>4.3553341460097439</v>
      </c>
    </row>
    <row r="32" spans="1:15" ht="15" customHeight="1" x14ac:dyDescent="0.25">
      <c r="A32" s="7" t="s">
        <v>189</v>
      </c>
      <c r="B32" s="3">
        <f t="shared" ref="B32:O32" si="7">B31*Shares_Outstanding/1000000</f>
        <v>10405.799999999999</v>
      </c>
      <c r="C32" s="3">
        <f t="shared" si="7"/>
        <v>11421</v>
      </c>
      <c r="D32" s="3">
        <f t="shared" si="7"/>
        <v>12182.4</v>
      </c>
      <c r="E32" s="3">
        <f t="shared" si="7"/>
        <v>12605.4</v>
      </c>
      <c r="F32" s="3">
        <f t="shared" si="7"/>
        <v>12943.8</v>
      </c>
      <c r="G32" s="3">
        <f t="shared" si="7"/>
        <v>13461.552000000001</v>
      </c>
      <c r="H32" s="3">
        <f t="shared" si="7"/>
        <v>14000.014080000003</v>
      </c>
      <c r="I32" s="3">
        <f t="shared" si="7"/>
        <v>14560.014643200004</v>
      </c>
      <c r="J32" s="3">
        <f t="shared" si="7"/>
        <v>15142.415228928003</v>
      </c>
      <c r="K32" s="3">
        <f t="shared" si="7"/>
        <v>15748.111838085126</v>
      </c>
      <c r="L32" s="3">
        <f t="shared" si="7"/>
        <v>16378.03631160853</v>
      </c>
      <c r="M32" s="3">
        <f t="shared" si="7"/>
        <v>17033.157764072872</v>
      </c>
      <c r="N32" s="3">
        <f t="shared" si="7"/>
        <v>17714.484074635784</v>
      </c>
      <c r="O32" s="3">
        <f t="shared" si="7"/>
        <v>18423.063437621215</v>
      </c>
    </row>
    <row r="33" spans="1:15" ht="15" customHeight="1" x14ac:dyDescent="0.25">
      <c r="A33" s="7" t="s">
        <v>190</v>
      </c>
      <c r="B33" s="99">
        <f>B28-B32</f>
        <v>22174.2</v>
      </c>
      <c r="C33" s="99">
        <f t="shared" ref="C33:O33" si="8">C28-C32</f>
        <v>21099</v>
      </c>
      <c r="D33" s="99">
        <f t="shared" si="8"/>
        <v>3967.6000000000004</v>
      </c>
      <c r="E33" s="99">
        <f t="shared" si="8"/>
        <v>-4765.3999999999996</v>
      </c>
      <c r="F33" s="99">
        <f t="shared" si="8"/>
        <v>6766.2000000000007</v>
      </c>
      <c r="G33" s="99">
        <f t="shared" si="8"/>
        <v>8892.0327983999832</v>
      </c>
      <c r="H33" s="99">
        <f t="shared" si="8"/>
        <v>10624.627052269976</v>
      </c>
      <c r="I33" s="99">
        <f t="shared" si="8"/>
        <v>12087.380767018993</v>
      </c>
      <c r="J33" s="99">
        <f t="shared" si="8"/>
        <v>13170.455801066335</v>
      </c>
      <c r="K33" s="99">
        <f t="shared" si="8"/>
        <v>13912.361910979987</v>
      </c>
      <c r="L33" s="99">
        <f t="shared" si="8"/>
        <v>14711.829347165307</v>
      </c>
      <c r="M33" s="99">
        <f t="shared" si="8"/>
        <v>15499.598942073713</v>
      </c>
      <c r="N33" s="99">
        <f t="shared" si="8"/>
        <v>16306.991889164212</v>
      </c>
      <c r="O33" s="99">
        <f t="shared" si="8"/>
        <v>17131.105006655456</v>
      </c>
    </row>
    <row r="34" spans="1:15" ht="30" customHeight="1" x14ac:dyDescent="0.25">
      <c r="A34" s="26"/>
      <c r="B34" s="26"/>
      <c r="C34" s="26"/>
      <c r="D34" s="26"/>
      <c r="E34" s="26"/>
      <c r="F34" s="26"/>
      <c r="G34" s="26"/>
      <c r="H34" s="26"/>
      <c r="I34" s="99"/>
    </row>
    <row r="35" spans="1:15" x14ac:dyDescent="0.25">
      <c r="A35" s="26"/>
      <c r="B35" s="26"/>
      <c r="C35" s="26"/>
      <c r="D35" s="26"/>
      <c r="E35" s="26"/>
      <c r="F35" s="26"/>
      <c r="G35" s="26"/>
      <c r="H35" s="26"/>
    </row>
    <row r="36" spans="1:15" x14ac:dyDescent="0.25">
      <c r="A36" s="2" t="s">
        <v>51</v>
      </c>
      <c r="B36" s="3">
        <v>30589</v>
      </c>
      <c r="C36" s="5">
        <v>29342</v>
      </c>
      <c r="D36" s="4">
        <v>19634</v>
      </c>
      <c r="E36" s="4">
        <v>17980</v>
      </c>
      <c r="F36" s="5" t="s">
        <v>62</v>
      </c>
      <c r="G36" s="26"/>
      <c r="H36" s="26"/>
    </row>
    <row r="37" spans="1:15" x14ac:dyDescent="0.25">
      <c r="A37" s="2" t="s">
        <v>52</v>
      </c>
      <c r="B37" s="3">
        <v>30589</v>
      </c>
      <c r="C37" s="5">
        <v>29342</v>
      </c>
      <c r="D37" s="4">
        <v>22678</v>
      </c>
      <c r="E37" s="4">
        <v>21090</v>
      </c>
      <c r="F37" s="5" t="s">
        <v>62</v>
      </c>
      <c r="G37" s="26"/>
      <c r="H37" s="26"/>
    </row>
    <row r="38" spans="1:15" ht="18" customHeight="1" x14ac:dyDescent="0.25">
      <c r="A38" s="271"/>
      <c r="B38" s="271"/>
      <c r="C38" s="271"/>
      <c r="D38" s="271"/>
      <c r="E38" s="271"/>
      <c r="F38" s="271"/>
      <c r="G38" s="27"/>
      <c r="H38" s="26"/>
    </row>
    <row r="39" spans="1:15" ht="18" customHeight="1" x14ac:dyDescent="0.25">
      <c r="A39" s="272" t="s">
        <v>61</v>
      </c>
      <c r="B39" s="272"/>
      <c r="C39" s="272"/>
      <c r="D39" s="272"/>
      <c r="E39" s="272"/>
      <c r="F39" s="272"/>
      <c r="G39" s="26"/>
      <c r="H39" s="26"/>
    </row>
    <row r="40" spans="1:15" x14ac:dyDescent="0.25">
      <c r="A40" s="26"/>
      <c r="B40" s="26"/>
      <c r="C40" s="26"/>
      <c r="D40" s="26"/>
      <c r="E40" s="26"/>
      <c r="F40" s="26"/>
      <c r="G40" s="26"/>
      <c r="H40" s="26"/>
    </row>
    <row r="41" spans="1:15" x14ac:dyDescent="0.25">
      <c r="A41" s="26"/>
      <c r="B41" s="26"/>
      <c r="C41" s="26"/>
      <c r="D41" s="26"/>
      <c r="E41" s="26"/>
      <c r="F41" s="26"/>
      <c r="G41" s="26"/>
      <c r="H41" s="26"/>
    </row>
    <row r="44" spans="1:15" ht="31.5" customHeight="1" x14ac:dyDescent="0.25">
      <c r="A44" s="273"/>
      <c r="B44" s="274"/>
      <c r="C44" s="274"/>
      <c r="D44" s="274"/>
      <c r="E44" s="274"/>
    </row>
    <row r="61" spans="2:2" x14ac:dyDescent="0.25">
      <c r="B61" t="s">
        <v>78</v>
      </c>
    </row>
    <row r="62" spans="2:2" x14ac:dyDescent="0.25">
      <c r="B62" t="s">
        <v>79</v>
      </c>
    </row>
    <row r="63" spans="2:2" x14ac:dyDescent="0.25">
      <c r="B63" t="s">
        <v>80</v>
      </c>
    </row>
    <row r="64" spans="2:2" x14ac:dyDescent="0.25">
      <c r="B64" t="s">
        <v>81</v>
      </c>
    </row>
    <row r="66" spans="6:6" x14ac:dyDescent="0.25">
      <c r="F66" s="52"/>
    </row>
    <row r="67" spans="6:6" x14ac:dyDescent="0.25">
      <c r="F67" s="52"/>
    </row>
  </sheetData>
  <mergeCells count="5">
    <mergeCell ref="B3:F3"/>
    <mergeCell ref="A38:F38"/>
    <mergeCell ref="A39:F39"/>
    <mergeCell ref="A44:E44"/>
    <mergeCell ref="J1:O1"/>
  </mergeCells>
  <hyperlinks>
    <hyperlink ref="A2" location="'Home Page'!A1" display="Home Page" xr:uid="{7E1EAFC0-C8CF-45EC-9545-F7F1F1FDB86A}"/>
    <hyperlink ref="E2" location="'Exxon Income Statement'!A1" display="Exxon Income Statement" xr:uid="{28D3AEFD-FB6A-4F07-86ED-2859AFF38837}"/>
    <hyperlink ref="B2" location="Summary!A1" display="Summary" xr:uid="{945B7498-B1C9-4E82-BBBD-63FFA8117566}"/>
    <hyperlink ref="F2" location="'Exxon Balance Sheet'!A1" display="Exxon Balance Sheet" xr:uid="{5BF6FDDC-6478-4CA7-8CB8-075AC54EBA71}"/>
    <hyperlink ref="G2" location="'Exxon Cash Flow'!A1" display="Exxon Cash Flow" xr:uid="{5776FCEA-AAE6-47E1-89A9-CE0795E25254}"/>
    <hyperlink ref="D2" location="'DCF Valuation'!A1" display="DCF Valuation" xr:uid="{BE7ECDA2-38A3-476E-B1BB-5A2A1FBBBBF4}"/>
    <hyperlink ref="C2" location="'Critical Inputs'!A1" display="Critical Inputs" xr:uid="{B7D66DA8-A7F4-4D0B-9E11-4A23488020EE}"/>
    <hyperlink ref="H2" location="'Segment Projections'!A1" display="Segment Projections" xr:uid="{7B1B4E01-1382-4478-A906-792045697CBC}"/>
    <hyperlink ref="I2" location="'Long Term Debt'!A1" display="Long Term Debt" xr:uid="{D8A733A2-B3E1-476E-BD3E-A18CECC1BE9C}"/>
    <hyperlink ref="J2" location="Vectors!A1" display="Vectors" xr:uid="{8F526644-2B83-41F5-94C7-5007FB69D175}"/>
  </hyperlinks>
  <pageMargins left="0.75" right="0.75" top="1" bottom="1" header="0.5" footer="0.5"/>
  <drawing r:id="rId1"/>
  <legacyDrawing r:id="rId2"/>
  <mc:AlternateContent xmlns:mc="http://schemas.openxmlformats.org/markup-compatibility/2006">
    <mc:Choice Requires="x14">
      <controls>
        <mc:AlternateContent xmlns:mc="http://schemas.openxmlformats.org/markup-compatibility/2006">
          <mc:Choice Requires="x14">
            <control shapeId="10249" r:id="rId3" name="Button 9">
              <controlPr defaultSize="0" print="0" autoFill="0" autoPict="0" macro="[0]!Plug">
                <anchor moveWithCells="1" sizeWithCells="1">
                  <from>
                    <xdr:col>10</xdr:col>
                    <xdr:colOff>704850</xdr:colOff>
                    <xdr:row>1</xdr:row>
                    <xdr:rowOff>19050</xdr:rowOff>
                  </from>
                  <to>
                    <xdr:col>14</xdr:col>
                    <xdr:colOff>619125</xdr:colOff>
                    <xdr:row>2</xdr:row>
                    <xdr:rowOff>95250</xdr:rowOff>
                  </to>
                </anchor>
              </controlPr>
            </control>
          </mc:Choice>
        </mc:AlternateContent>
      </controls>
    </mc:Choice>
  </mc:AlternateConten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3">
    <tabColor theme="4" tint="0.39997558519241921"/>
  </sheetPr>
  <dimension ref="A1:P73"/>
  <sheetViews>
    <sheetView zoomScaleNormal="100" workbookViewId="0">
      <pane xSplit="1" ySplit="4" topLeftCell="B5" activePane="bottomRight" state="frozen"/>
      <selection pane="topRight" activeCell="B1" sqref="B1"/>
      <selection pane="bottomLeft" activeCell="A5" sqref="A5"/>
      <selection pane="bottomRight" activeCell="G23" sqref="G23:O23"/>
    </sheetView>
  </sheetViews>
  <sheetFormatPr defaultRowHeight="15" x14ac:dyDescent="0.25"/>
  <cols>
    <col min="1" max="1" width="80.7109375" bestFit="1" customWidth="1"/>
    <col min="2" max="3" width="12.5703125" bestFit="1" customWidth="1"/>
    <col min="4" max="4" width="12" customWidth="1"/>
    <col min="5" max="5" width="12.85546875" customWidth="1"/>
    <col min="6" max="6" width="12.5703125" customWidth="1"/>
    <col min="7" max="15" width="12.85546875" customWidth="1"/>
  </cols>
  <sheetData>
    <row r="1" spans="1:15" ht="33.75" customHeight="1" x14ac:dyDescent="0.45">
      <c r="A1" s="224" t="s">
        <v>233</v>
      </c>
      <c r="B1" s="240"/>
      <c r="C1" s="240"/>
      <c r="D1" s="240"/>
      <c r="E1" s="240"/>
      <c r="F1" s="240"/>
      <c r="G1" s="240"/>
      <c r="H1" s="240"/>
      <c r="I1" s="240"/>
      <c r="J1" s="276" t="str">
        <f>Rebalance_check</f>
        <v>Balance Sheet is Balanced</v>
      </c>
      <c r="K1" s="276"/>
      <c r="L1" s="276"/>
      <c r="M1" s="276"/>
      <c r="N1" s="276"/>
      <c r="O1" s="276"/>
    </row>
    <row r="2" spans="1:15" ht="30" x14ac:dyDescent="0.25">
      <c r="A2" s="227" t="s">
        <v>271</v>
      </c>
      <c r="B2" s="227" t="s">
        <v>272</v>
      </c>
      <c r="C2" s="228" t="s">
        <v>273</v>
      </c>
      <c r="D2" s="228" t="s">
        <v>319</v>
      </c>
      <c r="E2" s="228" t="s">
        <v>320</v>
      </c>
      <c r="F2" s="228" t="s">
        <v>321</v>
      </c>
      <c r="G2" s="228" t="s">
        <v>278</v>
      </c>
      <c r="H2" s="228" t="s">
        <v>279</v>
      </c>
      <c r="I2" s="228" t="s">
        <v>280</v>
      </c>
      <c r="J2" s="228" t="s">
        <v>281</v>
      </c>
      <c r="K2" s="228" t="s">
        <v>282</v>
      </c>
      <c r="M2" s="217"/>
    </row>
    <row r="3" spans="1:15" ht="30" customHeight="1" x14ac:dyDescent="0.25">
      <c r="A3" s="29" t="s">
        <v>21</v>
      </c>
    </row>
    <row r="4" spans="1:15" ht="18.75" x14ac:dyDescent="0.25">
      <c r="A4" s="29" t="s">
        <v>22</v>
      </c>
      <c r="B4" s="102">
        <v>2013</v>
      </c>
      <c r="C4" s="102">
        <v>2014</v>
      </c>
      <c r="D4" s="103">
        <v>2015</v>
      </c>
      <c r="E4" s="103">
        <v>2016</v>
      </c>
      <c r="F4" s="103">
        <v>2017</v>
      </c>
      <c r="G4" s="6">
        <v>2018</v>
      </c>
      <c r="H4" s="6">
        <v>2019</v>
      </c>
      <c r="I4" s="6">
        <v>2020</v>
      </c>
      <c r="J4" s="6">
        <v>2021</v>
      </c>
      <c r="K4" s="6">
        <v>2022</v>
      </c>
      <c r="L4" s="6">
        <v>2023</v>
      </c>
      <c r="M4" s="6">
        <v>2024</v>
      </c>
      <c r="N4" s="6">
        <v>2025</v>
      </c>
      <c r="O4" s="6">
        <v>2026</v>
      </c>
    </row>
    <row r="5" spans="1:15" ht="18.75" x14ac:dyDescent="0.25">
      <c r="A5" s="30" t="s">
        <v>64</v>
      </c>
      <c r="B5" s="104"/>
      <c r="C5" s="104"/>
      <c r="D5" s="105"/>
      <c r="E5" s="105"/>
      <c r="F5" s="105"/>
    </row>
    <row r="6" spans="1:15" ht="15.75" x14ac:dyDescent="0.25">
      <c r="A6" s="31" t="s">
        <v>23</v>
      </c>
      <c r="B6" s="106"/>
      <c r="C6" s="106"/>
      <c r="D6" s="107"/>
      <c r="E6" s="107"/>
      <c r="F6" s="107"/>
    </row>
    <row r="7" spans="1:15" ht="15.75" x14ac:dyDescent="0.25">
      <c r="A7" s="42"/>
      <c r="B7" s="108"/>
      <c r="C7" s="108"/>
      <c r="D7" s="101"/>
      <c r="E7" s="101"/>
      <c r="F7" s="101"/>
      <c r="G7" s="125"/>
      <c r="H7" s="125"/>
      <c r="I7" s="125"/>
      <c r="J7" s="125"/>
      <c r="K7" s="125"/>
      <c r="L7" s="125"/>
      <c r="M7" s="125"/>
      <c r="N7" s="125"/>
      <c r="O7" s="125"/>
    </row>
    <row r="8" spans="1:15" x14ac:dyDescent="0.25">
      <c r="A8" s="13" t="s">
        <v>100</v>
      </c>
      <c r="B8" s="108"/>
      <c r="C8" s="108"/>
      <c r="D8" s="101"/>
      <c r="E8" s="101"/>
      <c r="F8" s="101"/>
      <c r="G8" s="84">
        <f>'Exxon Income Statement'!G9*Min_Cash_Input</f>
        <v>3878.9679960000003</v>
      </c>
      <c r="H8" s="84">
        <f>'Exxon Income Statement'!H9*Min_Cash_Input</f>
        <v>4125.9086450099994</v>
      </c>
      <c r="I8" s="84">
        <f>'Exxon Income Statement'!I9*Min_Cash_Input</f>
        <v>4347.6938299260009</v>
      </c>
      <c r="J8" s="84">
        <f>'Exxon Income Statement'!J9*Min_Cash_Input</f>
        <v>4543.6138333714089</v>
      </c>
      <c r="K8" s="84">
        <f>'Exxon Income Statement'!K9*Min_Cash_Input</f>
        <v>4716.8735450428176</v>
      </c>
      <c r="L8" s="84">
        <f>'Exxon Income Statement'!L9*Min_Cash_Input</f>
        <v>4893.9116966703459</v>
      </c>
      <c r="M8" s="84">
        <f>'Exxon Income Statement'!M9*Min_Cash_Input</f>
        <v>5070.5788555559584</v>
      </c>
      <c r="N8" s="84">
        <f>'Exxon Income Statement'!N9*Min_Cash_Input</f>
        <v>5250.0868893377583</v>
      </c>
      <c r="O8" s="84">
        <f>'Exxon Income Statement'!O9*Min_Cash_Input</f>
        <v>5432.2023478480533</v>
      </c>
    </row>
    <row r="9" spans="1:15" x14ac:dyDescent="0.25">
      <c r="A9" s="13" t="s">
        <v>101</v>
      </c>
      <c r="B9" s="109">
        <v>4913</v>
      </c>
      <c r="C9" s="109">
        <v>4658</v>
      </c>
      <c r="D9" s="110">
        <v>3705</v>
      </c>
      <c r="E9" s="110">
        <v>3657</v>
      </c>
      <c r="F9" s="110">
        <v>3177</v>
      </c>
      <c r="G9" s="84">
        <v>19611.07185752329</v>
      </c>
      <c r="H9" s="84">
        <v>10934.020858535834</v>
      </c>
      <c r="I9" s="84">
        <v>3448.9425857949536</v>
      </c>
      <c r="J9" s="84">
        <v>0</v>
      </c>
      <c r="K9" s="84">
        <v>0</v>
      </c>
      <c r="L9" s="84">
        <v>0</v>
      </c>
      <c r="M9" s="84">
        <v>0</v>
      </c>
      <c r="N9" s="84">
        <v>0</v>
      </c>
      <c r="O9" s="84">
        <v>0</v>
      </c>
    </row>
    <row r="10" spans="1:15" ht="15" customHeight="1" x14ac:dyDescent="0.25">
      <c r="A10" s="13" t="s">
        <v>24</v>
      </c>
      <c r="B10" s="111">
        <v>33152</v>
      </c>
      <c r="C10" s="111">
        <v>28009</v>
      </c>
      <c r="D10" s="112">
        <v>19875</v>
      </c>
      <c r="E10" s="112">
        <v>21394</v>
      </c>
      <c r="F10" s="112">
        <v>25597</v>
      </c>
      <c r="G10" s="84">
        <f>Vectors!B37/365*'Exxon Income Statement'!G9</f>
        <v>28339.492208219181</v>
      </c>
      <c r="H10" s="84">
        <f>Vectors!C37/365*'Exxon Income Statement'!H9</f>
        <v>30143.624803726023</v>
      </c>
      <c r="I10" s="84">
        <f>Vectors!D37/365*'Exxon Income Statement'!I9</f>
        <v>31763.973186673978</v>
      </c>
      <c r="J10" s="84">
        <f>Vectors!E37/365*'Exxon Income Statement'!J9</f>
        <v>33195.352207279699</v>
      </c>
      <c r="K10" s="84">
        <f>Vectors!F37/365*'Exxon Income Statement'!K9</f>
        <v>34461.17658478771</v>
      </c>
      <c r="L10" s="84">
        <f>Vectors!G37/365*'Exxon Income Statement'!L9</f>
        <v>35754.606003071021</v>
      </c>
      <c r="M10" s="84">
        <f>Vectors!H37/365*'Exxon Income Statement'!M9</f>
        <v>37045.324972098329</v>
      </c>
      <c r="N10" s="84">
        <f>Vectors!I37/365*'Exxon Income Statement'!N9</f>
        <v>38356.799191508733</v>
      </c>
      <c r="O10" s="84">
        <f>Vectors!J37/365*'Exxon Income Statement'!O9</f>
        <v>39687.323089300844</v>
      </c>
    </row>
    <row r="11" spans="1:15" ht="15.75" x14ac:dyDescent="0.25">
      <c r="A11" s="32" t="s">
        <v>25</v>
      </c>
      <c r="B11" s="100"/>
      <c r="C11" s="100"/>
      <c r="D11" s="113"/>
      <c r="E11" s="130"/>
      <c r="F11" s="130">
        <f>-(F10-E10)+3954</f>
        <v>-249</v>
      </c>
      <c r="G11" s="84"/>
      <c r="H11" s="84"/>
      <c r="I11" s="84"/>
      <c r="J11" s="84"/>
      <c r="K11" s="84"/>
      <c r="L11" s="84"/>
      <c r="M11" s="84"/>
      <c r="N11" s="84"/>
      <c r="O11" s="84"/>
    </row>
    <row r="12" spans="1:15" x14ac:dyDescent="0.25">
      <c r="A12" s="13" t="s">
        <v>26</v>
      </c>
      <c r="B12" s="111">
        <v>12117</v>
      </c>
      <c r="C12" s="111">
        <v>12384</v>
      </c>
      <c r="D12" s="112">
        <v>12037</v>
      </c>
      <c r="E12" s="112">
        <v>10877</v>
      </c>
      <c r="F12" s="112">
        <v>12871</v>
      </c>
      <c r="G12" s="126">
        <f>Vectors!B38/365*'Exxon Income Statement'!G13</f>
        <v>13752.988865753428</v>
      </c>
      <c r="H12" s="126">
        <f>Vectors!C38/365*'Exxon Income Statement'!H13</f>
        <v>14628.52380180822</v>
      </c>
      <c r="I12" s="126">
        <f>Vectors!D38/365*'Exxon Income Statement'!I13</f>
        <v>15414.869340591786</v>
      </c>
      <c r="J12" s="126">
        <f>Vectors!E38/365*'Exxon Income Statement'!J13</f>
        <v>16109.509159415149</v>
      </c>
      <c r="K12" s="126">
        <f>Vectors!F38/365*'Exxon Income Statement'!K13</f>
        <v>16723.806283794038</v>
      </c>
      <c r="L12" s="126">
        <f>Vectors!G38/365*'Exxon Income Statement'!L13</f>
        <v>17351.499972078585</v>
      </c>
      <c r="M12" s="126">
        <f>Vectors!H38/365*'Exxon Income Statement'!M13</f>
        <v>17977.878295283015</v>
      </c>
      <c r="N12" s="126">
        <f>Vectors!I38/365*'Exxon Income Statement'!N13</f>
        <v>18614.329019408655</v>
      </c>
      <c r="O12" s="126">
        <f>Vectors!J38/365*'Exxon Income Statement'!O13</f>
        <v>19260.024440395999</v>
      </c>
    </row>
    <row r="13" spans="1:15" x14ac:dyDescent="0.25">
      <c r="A13" s="13" t="s">
        <v>27</v>
      </c>
      <c r="B13" s="111">
        <v>4018</v>
      </c>
      <c r="C13" s="111">
        <v>4294</v>
      </c>
      <c r="D13" s="112">
        <v>4208</v>
      </c>
      <c r="E13" s="112">
        <v>4203</v>
      </c>
      <c r="F13" s="112">
        <v>4121</v>
      </c>
      <c r="G13" s="84">
        <f>Vectors!B38/365*'Exxon Income Statement'!G14</f>
        <v>3250.7064591780827</v>
      </c>
      <c r="H13" s="84">
        <f>Vectors!C38/365*'Exxon Income Statement'!H14</f>
        <v>3457.6510804273976</v>
      </c>
      <c r="I13" s="84">
        <f>Vectors!D38/365*'Exxon Income Statement'!I14</f>
        <v>3643.5145714126033</v>
      </c>
      <c r="J13" s="84">
        <f>Vectors!E38/365*'Exxon Income Statement'!J14</f>
        <v>3807.702164952671</v>
      </c>
      <c r="K13" s="84">
        <f>Vectors!F38/365*'Exxon Income Statement'!K14</f>
        <v>3952.8996670785909</v>
      </c>
      <c r="L13" s="84">
        <f>Vectors!G38/365*'Exxon Income Statement'!L14</f>
        <v>4101.2636297640292</v>
      </c>
      <c r="M13" s="84">
        <f>Vectors!H38/365*'Exxon Income Statement'!M14</f>
        <v>4249.3166879759847</v>
      </c>
      <c r="N13" s="84">
        <f>Vectors!I38/365*'Exxon Income Statement'!N14</f>
        <v>4399.7504954965907</v>
      </c>
      <c r="O13" s="84">
        <f>Vectors!J38/365*'Exxon Income Statement'!O14</f>
        <v>4552.3694131845086</v>
      </c>
    </row>
    <row r="14" spans="1:15" x14ac:dyDescent="0.25">
      <c r="A14" s="45" t="s">
        <v>28</v>
      </c>
      <c r="B14" s="111">
        <v>5108</v>
      </c>
      <c r="C14" s="111">
        <v>3565</v>
      </c>
      <c r="D14" s="112">
        <v>2798</v>
      </c>
      <c r="E14" s="112">
        <v>1285</v>
      </c>
      <c r="F14" s="112">
        <v>1368</v>
      </c>
      <c r="G14" s="84">
        <f>Vectors!B38/365*'Exxon Income Statement'!G15</f>
        <v>1000.2173720547947</v>
      </c>
      <c r="H14" s="84">
        <f>Vectors!C38/365*'Exxon Income Statement'!H15</f>
        <v>1063.8926401315068</v>
      </c>
      <c r="I14" s="84">
        <f>Vectors!D38/365*'Exxon Income Statement'!I15</f>
        <v>1121.0814065884933</v>
      </c>
      <c r="J14" s="84">
        <f>Vectors!E38/365*'Exxon Income Statement'!J15</f>
        <v>1171.6006661392835</v>
      </c>
      <c r="K14" s="84">
        <f>Vectors!F38/365*'Exxon Income Statement'!K15</f>
        <v>1216.2768206395663</v>
      </c>
      <c r="L14" s="84">
        <f>Vectors!G38/365*'Exxon Income Statement'!L15</f>
        <v>1261.9272706966242</v>
      </c>
      <c r="M14" s="84">
        <f>Vectors!H38/365*'Exxon Income Statement'!M15</f>
        <v>1307.4820578387646</v>
      </c>
      <c r="N14" s="84">
        <f>Vectors!I38/365*'Exxon Income Statement'!N15</f>
        <v>1353.7693832297202</v>
      </c>
      <c r="O14" s="84">
        <f>Vectors!J38/365*'Exxon Income Statement'!O15</f>
        <v>1400.729050210618</v>
      </c>
    </row>
    <row r="15" spans="1:15" ht="15.75" x14ac:dyDescent="0.25">
      <c r="A15" s="33" t="s">
        <v>29</v>
      </c>
      <c r="B15" s="114">
        <f t="shared" ref="B15:F15" si="0">Cash_and_cash_equivalents+Notes_and_accounts_receivable__less_estimated_doubtful_amounts+Crude_oil__products_and_merchandise+Materials_and_supplies+Other_current_assets</f>
        <v>59308</v>
      </c>
      <c r="C15" s="114">
        <f t="shared" si="0"/>
        <v>52910</v>
      </c>
      <c r="D15" s="114">
        <f t="shared" si="0"/>
        <v>42623</v>
      </c>
      <c r="E15" s="114">
        <f t="shared" si="0"/>
        <v>41416</v>
      </c>
      <c r="F15" s="114">
        <f t="shared" si="0"/>
        <v>47134</v>
      </c>
      <c r="G15" s="87">
        <f>G8+Cash_and_cash_equivalents+Notes_and_accounts_receivable__less_estimated_doubtful_amounts+Crude_oil__products_and_merchandise+Materials_and_supplies+Other_current_assets</f>
        <v>69833.444758728787</v>
      </c>
      <c r="H15" s="87">
        <f>H8+Cash_and_cash_equivalents+Notes_and_accounts_receivable__less_estimated_doubtful_amounts+Crude_oil__products_and_merchandise+Materials_and_supplies+Other_current_assets</f>
        <v>64353.621829638978</v>
      </c>
      <c r="I15" s="87">
        <f t="shared" ref="I15:O15" si="1">I8+Cash_and_cash_equivalents+Notes_and_accounts_receivable__less_estimated_doubtful_amounts+Crude_oil__products_and_merchandise+Materials_and_supplies+Other_current_assets</f>
        <v>59740.074920987819</v>
      </c>
      <c r="J15" s="87">
        <f t="shared" si="1"/>
        <v>58827.77803115821</v>
      </c>
      <c r="K15" s="87">
        <f t="shared" si="1"/>
        <v>61071.032901342725</v>
      </c>
      <c r="L15" s="87">
        <f t="shared" si="1"/>
        <v>63363.2085722806</v>
      </c>
      <c r="M15" s="87">
        <f t="shared" si="1"/>
        <v>65650.580868752048</v>
      </c>
      <c r="N15" s="87">
        <f t="shared" si="1"/>
        <v>67974.734978981447</v>
      </c>
      <c r="O15" s="87">
        <f t="shared" si="1"/>
        <v>70332.648340940024</v>
      </c>
    </row>
    <row r="16" spans="1:15" ht="17.25" customHeight="1" x14ac:dyDescent="0.25">
      <c r="A16" s="13" t="s">
        <v>30</v>
      </c>
      <c r="B16" s="111">
        <v>36328</v>
      </c>
      <c r="C16" s="111">
        <v>35239</v>
      </c>
      <c r="D16" s="112">
        <v>34245</v>
      </c>
      <c r="E16" s="112">
        <v>35102</v>
      </c>
      <c r="F16" s="112">
        <v>39160</v>
      </c>
      <c r="G16" s="84">
        <f>F16*(1+Vectors!F39)</f>
        <v>39943.199999999997</v>
      </c>
      <c r="H16" s="84">
        <f>G16*(1+Vectors!G39)</f>
        <v>40742.063999999998</v>
      </c>
      <c r="I16" s="84">
        <f>H16*(1+Vectors!H39)</f>
        <v>41556.905279999999</v>
      </c>
      <c r="J16" s="84">
        <f>I16*(1+Vectors!I39)</f>
        <v>42388.043385600002</v>
      </c>
      <c r="K16" s="84">
        <f>J16*(1+Vectors!J39)</f>
        <v>43235.804253312002</v>
      </c>
      <c r="L16" s="84">
        <f>K16*(1+Vectors!K39)</f>
        <v>43235.804253312002</v>
      </c>
      <c r="M16" s="84">
        <f>L16*(1+Vectors!L39)</f>
        <v>43235.804253312002</v>
      </c>
      <c r="N16" s="84">
        <f>M16*(1+Vectors!M39)</f>
        <v>43235.804253312002</v>
      </c>
      <c r="O16" s="84">
        <f>N16*(1+Vectors!N39)</f>
        <v>43235.804253312002</v>
      </c>
    </row>
    <row r="17" spans="1:16" ht="28.5" customHeight="1" x14ac:dyDescent="0.25">
      <c r="A17" s="13" t="s">
        <v>31</v>
      </c>
      <c r="B17" s="111">
        <v>243650</v>
      </c>
      <c r="C17" s="111">
        <v>252668</v>
      </c>
      <c r="D17" s="112">
        <v>251605</v>
      </c>
      <c r="E17" s="112">
        <v>244224</v>
      </c>
      <c r="F17" s="112">
        <v>252630</v>
      </c>
      <c r="G17" s="84">
        <f>'PP&amp;E'!G17</f>
        <v>243737.837</v>
      </c>
      <c r="H17" s="84">
        <f>'PP&amp;E'!H17</f>
        <v>263112.50237</v>
      </c>
      <c r="I17" s="84">
        <f>'PP&amp;E'!I17</f>
        <v>282680.91439370002</v>
      </c>
      <c r="J17" s="84">
        <f>'PP&amp;E'!J17</f>
        <v>302445.01053763705</v>
      </c>
      <c r="K17" s="84">
        <f>'PP&amp;E'!K17</f>
        <v>322406.74764301343</v>
      </c>
      <c r="L17" s="84">
        <f>'PP&amp;E'!L17</f>
        <v>342568.10211944359</v>
      </c>
      <c r="M17" s="84">
        <f>'PP&amp;E'!M17</f>
        <v>362931.07014063804</v>
      </c>
      <c r="N17" s="84">
        <f>'PP&amp;E'!N17</f>
        <v>383497.66784204444</v>
      </c>
      <c r="O17" s="84">
        <f>'PP&amp;E'!O17</f>
        <v>404269.93152046489</v>
      </c>
    </row>
    <row r="18" spans="1:16" x14ac:dyDescent="0.25">
      <c r="A18" s="13" t="s">
        <v>32</v>
      </c>
      <c r="B18" s="111">
        <v>7522</v>
      </c>
      <c r="C18" s="111">
        <v>8676</v>
      </c>
      <c r="D18" s="112">
        <v>8285</v>
      </c>
      <c r="E18" s="112">
        <v>9572</v>
      </c>
      <c r="F18" s="112">
        <v>9767</v>
      </c>
      <c r="G18" s="52">
        <f>F18</f>
        <v>9767</v>
      </c>
      <c r="H18" s="52">
        <f t="shared" ref="H18:O18" si="2">G18</f>
        <v>9767</v>
      </c>
      <c r="I18" s="52">
        <f t="shared" si="2"/>
        <v>9767</v>
      </c>
      <c r="J18" s="52">
        <f t="shared" si="2"/>
        <v>9767</v>
      </c>
      <c r="K18" s="52">
        <f t="shared" si="2"/>
        <v>9767</v>
      </c>
      <c r="L18" s="52">
        <f t="shared" si="2"/>
        <v>9767</v>
      </c>
      <c r="M18" s="52">
        <f t="shared" si="2"/>
        <v>9767</v>
      </c>
      <c r="N18" s="52">
        <f t="shared" si="2"/>
        <v>9767</v>
      </c>
      <c r="O18" s="52">
        <f t="shared" si="2"/>
        <v>9767</v>
      </c>
    </row>
    <row r="19" spans="1:16" ht="19.5" thickBot="1" x14ac:dyDescent="0.3">
      <c r="A19" s="34" t="s">
        <v>63</v>
      </c>
      <c r="B19" s="115">
        <f t="shared" ref="B19:N19" si="3">Total_current_assets+Investments__advances_and_long_term_receivables+Property__plant_and_equipment__at_cost__less_accumulated_depreciation_and_depletion+Other_assets__including_intangibles__net</f>
        <v>346808</v>
      </c>
      <c r="C19" s="115">
        <f t="shared" si="3"/>
        <v>349493</v>
      </c>
      <c r="D19" s="115">
        <f t="shared" si="3"/>
        <v>336758</v>
      </c>
      <c r="E19" s="115">
        <f t="shared" si="3"/>
        <v>330314</v>
      </c>
      <c r="F19" s="115">
        <f t="shared" si="3"/>
        <v>348691</v>
      </c>
      <c r="G19" s="35">
        <f>Total_current_assets+Investments__advances_and_long_term_receivables+Property__plant_and_equipment__at_cost__less_accumulated_depreciation_and_depletion+Other_assets__including_intangibles__net</f>
        <v>363281.4817587288</v>
      </c>
      <c r="H19" s="35">
        <f t="shared" si="3"/>
        <v>377975.18819963897</v>
      </c>
      <c r="I19" s="35">
        <f t="shared" si="3"/>
        <v>393744.89459468785</v>
      </c>
      <c r="J19" s="35">
        <f t="shared" si="3"/>
        <v>413427.83195439528</v>
      </c>
      <c r="K19" s="35">
        <f t="shared" si="3"/>
        <v>436480.58479766815</v>
      </c>
      <c r="L19" s="35">
        <f t="shared" si="3"/>
        <v>458934.11494503618</v>
      </c>
      <c r="M19" s="35">
        <f t="shared" si="3"/>
        <v>481584.45526270207</v>
      </c>
      <c r="N19" s="35">
        <f t="shared" si="3"/>
        <v>504475.20707433787</v>
      </c>
      <c r="O19" s="35">
        <f>Total_current_assets+Investments__advances_and_long_term_receivables+Property__plant_and_equipment__at_cost__less_accumulated_depreciation_and_depletion+Other_assets__including_intangibles__net</f>
        <v>527605.3841147169</v>
      </c>
    </row>
    <row r="20" spans="1:16" x14ac:dyDescent="0.25">
      <c r="A20" s="7"/>
      <c r="B20" s="116"/>
      <c r="C20" s="116"/>
      <c r="D20" s="117"/>
      <c r="E20" s="117"/>
      <c r="F20" s="117"/>
    </row>
    <row r="21" spans="1:16" ht="18.75" x14ac:dyDescent="0.25">
      <c r="A21" s="28" t="s">
        <v>65</v>
      </c>
      <c r="B21" s="116"/>
      <c r="C21" s="116"/>
      <c r="D21" s="117"/>
      <c r="E21" s="117"/>
      <c r="F21" s="117"/>
    </row>
    <row r="22" spans="1:16" ht="15.75" x14ac:dyDescent="0.25">
      <c r="A22" s="32" t="s">
        <v>33</v>
      </c>
      <c r="B22" s="100"/>
      <c r="C22" s="100"/>
      <c r="D22" s="113"/>
      <c r="E22" s="113"/>
      <c r="F22" s="113"/>
    </row>
    <row r="23" spans="1:16" ht="15.75" x14ac:dyDescent="0.25">
      <c r="A23" s="128" t="s">
        <v>197</v>
      </c>
      <c r="B23" s="119"/>
      <c r="C23" s="119"/>
      <c r="D23" s="121"/>
      <c r="E23" s="121"/>
      <c r="F23" s="121"/>
      <c r="G23" s="131">
        <v>0</v>
      </c>
      <c r="H23" s="131">
        <v>0</v>
      </c>
      <c r="I23" s="131">
        <v>0</v>
      </c>
      <c r="J23" s="131">
        <v>3227.8099886004347</v>
      </c>
      <c r="K23" s="131">
        <v>9430.9100530865835</v>
      </c>
      <c r="L23" s="131">
        <v>14169.379435111885</v>
      </c>
      <c r="M23" s="131">
        <v>18315.579088378232</v>
      </c>
      <c r="N23" s="131">
        <v>21843.086500947713</v>
      </c>
      <c r="O23" s="131">
        <v>24737.62341443589</v>
      </c>
    </row>
    <row r="24" spans="1:16" x14ac:dyDescent="0.25">
      <c r="A24" s="13" t="s">
        <v>34</v>
      </c>
      <c r="B24" s="111">
        <v>15808</v>
      </c>
      <c r="C24" s="111">
        <v>17468</v>
      </c>
      <c r="D24" s="112">
        <v>18762</v>
      </c>
      <c r="E24" s="112">
        <v>13830</v>
      </c>
      <c r="F24" s="112">
        <v>17930</v>
      </c>
      <c r="G24" s="129">
        <f>'Exxon Income Statement'!G9*Vectors!B47</f>
        <v>18101.850648000003</v>
      </c>
      <c r="H24" s="129">
        <f>'Exxon Income Statement'!H9*Vectors!C47</f>
        <v>19254.240343379999</v>
      </c>
      <c r="I24" s="129">
        <f>'Exxon Income Statement'!I9*Vectors!D47</f>
        <v>20289.237872988007</v>
      </c>
      <c r="J24" s="129">
        <f>'Exxon Income Statement'!J9*Vectors!E47</f>
        <v>21203.53122239991</v>
      </c>
      <c r="K24" s="129">
        <f>'Exxon Income Statement'!K9*Vectors!F47</f>
        <v>22012.076543533152</v>
      </c>
      <c r="L24" s="129">
        <f>'Exxon Income Statement'!L9*Vectors!G47</f>
        <v>22838.254584461618</v>
      </c>
      <c r="M24" s="129">
        <f>'Exxon Income Statement'!M9*Vectors!H47</f>
        <v>23662.70132592781</v>
      </c>
      <c r="N24" s="129">
        <f>'Exxon Income Statement'!N9*Vectors!I47</f>
        <v>24500.405483576207</v>
      </c>
      <c r="O24" s="129">
        <f>'Exxon Income Statement'!O9*Vectors!J47</f>
        <v>25350.277623290916</v>
      </c>
      <c r="P24" s="129"/>
    </row>
    <row r="25" spans="1:16" x14ac:dyDescent="0.25">
      <c r="A25" s="13" t="s">
        <v>35</v>
      </c>
      <c r="B25" s="111">
        <v>48085</v>
      </c>
      <c r="C25" s="111">
        <v>42227</v>
      </c>
      <c r="D25" s="112">
        <v>32412</v>
      </c>
      <c r="E25" s="112">
        <v>31193</v>
      </c>
      <c r="F25" s="112">
        <v>36796</v>
      </c>
      <c r="G25" s="129">
        <f>Vectors!B42/365*SUM('Exxon Income Statement'!G13:G15)</f>
        <v>42509.23831232878</v>
      </c>
      <c r="H25" s="129">
        <f>Vectors!C42/365*SUM('Exxon Income Statement'!H13:H15)</f>
        <v>45215.437205589042</v>
      </c>
      <c r="I25" s="129">
        <f>Vectors!D42/365*SUM('Exxon Income Statement'!I13:I15)</f>
        <v>47645.95978001097</v>
      </c>
      <c r="J25" s="129">
        <f>Vectors!E42/365*SUM('Exxon Income Statement'!J13:J15)</f>
        <v>49793.028310919552</v>
      </c>
      <c r="K25" s="129">
        <f>Vectors!F42/365*SUM('Exxon Income Statement'!K13:K15)</f>
        <v>51691.764877181566</v>
      </c>
      <c r="L25" s="129">
        <f>Vectors!G42/365*SUM('Exxon Income Statement'!L13:L15)</f>
        <v>53631.909004606532</v>
      </c>
      <c r="M25" s="129">
        <f>Vectors!H42/365*SUM('Exxon Income Statement'!M13:M15)</f>
        <v>55567.987458147487</v>
      </c>
      <c r="N25" s="129">
        <f>Vectors!I42/365*SUM('Exxon Income Statement'!N13:N15)</f>
        <v>57535.198787263107</v>
      </c>
      <c r="O25" s="129">
        <f>Vectors!J42/365*SUM('Exxon Income Statement'!O13:O15)</f>
        <v>59530.984633951266</v>
      </c>
    </row>
    <row r="26" spans="1:16" x14ac:dyDescent="0.25">
      <c r="A26" s="13" t="s">
        <v>36</v>
      </c>
      <c r="B26" s="111">
        <v>7831</v>
      </c>
      <c r="C26" s="111">
        <v>4938</v>
      </c>
      <c r="D26" s="112">
        <v>2802</v>
      </c>
      <c r="E26" s="112">
        <v>2615</v>
      </c>
      <c r="F26" s="112">
        <v>3045</v>
      </c>
      <c r="G26" s="129">
        <f>F26</f>
        <v>3045</v>
      </c>
      <c r="H26" s="129">
        <f t="shared" ref="H26:O26" si="4">G26</f>
        <v>3045</v>
      </c>
      <c r="I26" s="129">
        <f t="shared" si="4"/>
        <v>3045</v>
      </c>
      <c r="J26" s="129">
        <f t="shared" si="4"/>
        <v>3045</v>
      </c>
      <c r="K26" s="129">
        <f t="shared" si="4"/>
        <v>3045</v>
      </c>
      <c r="L26" s="129">
        <f t="shared" si="4"/>
        <v>3045</v>
      </c>
      <c r="M26" s="129">
        <f t="shared" si="4"/>
        <v>3045</v>
      </c>
      <c r="N26" s="129">
        <f t="shared" si="4"/>
        <v>3045</v>
      </c>
      <c r="O26" s="129">
        <f t="shared" si="4"/>
        <v>3045</v>
      </c>
    </row>
    <row r="27" spans="1:16" ht="15.75" x14ac:dyDescent="0.25">
      <c r="A27" s="32" t="s">
        <v>37</v>
      </c>
      <c r="B27" s="114">
        <f>B23+B24+B25+B26</f>
        <v>71724</v>
      </c>
      <c r="C27" s="114">
        <f t="shared" ref="C27:G27" si="5">C23+C24+C25+C26</f>
        <v>64633</v>
      </c>
      <c r="D27" s="114">
        <f t="shared" si="5"/>
        <v>53976</v>
      </c>
      <c r="E27" s="114">
        <f t="shared" si="5"/>
        <v>47638</v>
      </c>
      <c r="F27" s="114">
        <f t="shared" si="5"/>
        <v>57771</v>
      </c>
      <c r="G27" s="194">
        <f t="shared" si="5"/>
        <v>63656.08896032878</v>
      </c>
      <c r="H27" s="194">
        <f t="shared" ref="H27" si="6">H23+H24+H25+H26</f>
        <v>67514.677548969048</v>
      </c>
      <c r="I27" s="194">
        <f t="shared" ref="I27" si="7">I23+I24+I25+I26</f>
        <v>70980.197652998977</v>
      </c>
      <c r="J27" s="194">
        <f t="shared" ref="J27" si="8">J23+J24+J25+J26</f>
        <v>77269.3695219199</v>
      </c>
      <c r="K27" s="194">
        <f t="shared" ref="K27:L27" si="9">K23+K24+K25+K26</f>
        <v>86179.751473801298</v>
      </c>
      <c r="L27" s="194">
        <f t="shared" si="9"/>
        <v>93684.543024180035</v>
      </c>
      <c r="M27" s="194">
        <f t="shared" ref="M27" si="10">M23+M24+M25+M26</f>
        <v>100591.26787245352</v>
      </c>
      <c r="N27" s="194">
        <f t="shared" ref="N27" si="11">N23+N24+N25+N26</f>
        <v>106923.69077178702</v>
      </c>
      <c r="O27" s="194">
        <f t="shared" ref="O27" si="12">O23+O24+O25+O26</f>
        <v>112663.88567167807</v>
      </c>
    </row>
    <row r="28" spans="1:16" ht="15.75" x14ac:dyDescent="0.25">
      <c r="A28" s="148"/>
      <c r="B28" s="149"/>
      <c r="C28" s="149"/>
      <c r="D28" s="149"/>
      <c r="E28" s="149"/>
      <c r="F28" s="149"/>
      <c r="G28" s="195"/>
      <c r="H28" s="195"/>
      <c r="I28" s="195"/>
      <c r="J28" s="195"/>
      <c r="K28" s="195"/>
      <c r="L28" s="195"/>
      <c r="M28" s="195"/>
      <c r="N28" s="195"/>
      <c r="O28" s="195"/>
    </row>
    <row r="29" spans="1:16" x14ac:dyDescent="0.25">
      <c r="A29" s="13" t="s">
        <v>38</v>
      </c>
      <c r="B29" s="111">
        <v>6891</v>
      </c>
      <c r="C29" s="111">
        <v>11653</v>
      </c>
      <c r="D29" s="112">
        <v>19925</v>
      </c>
      <c r="E29" s="112">
        <v>28932</v>
      </c>
      <c r="F29" s="112">
        <v>24406</v>
      </c>
      <c r="G29" s="88">
        <f>'Long Term Debt'!B47</f>
        <v>24015</v>
      </c>
      <c r="H29" s="88">
        <f>'Long Term Debt'!C47</f>
        <v>24015</v>
      </c>
      <c r="I29" s="88">
        <f>'Long Term Debt'!D47</f>
        <v>24015</v>
      </c>
      <c r="J29" s="88">
        <f>'Long Term Debt'!E47</f>
        <v>24015</v>
      </c>
      <c r="K29" s="88">
        <f>'Long Term Debt'!F47</f>
        <v>24015</v>
      </c>
      <c r="L29" s="88">
        <f>'Long Term Debt'!G47</f>
        <v>24015</v>
      </c>
      <c r="M29" s="88">
        <f>'Long Term Debt'!H47</f>
        <v>24015</v>
      </c>
      <c r="N29" s="88">
        <f>'Long Term Debt'!I47</f>
        <v>24015</v>
      </c>
      <c r="O29" s="88">
        <f>'Long Term Debt'!J47</f>
        <v>24015</v>
      </c>
    </row>
    <row r="30" spans="1:16" x14ac:dyDescent="0.25">
      <c r="A30" s="13" t="s">
        <v>39</v>
      </c>
      <c r="B30" s="111">
        <v>20646</v>
      </c>
      <c r="C30" s="111">
        <v>25802</v>
      </c>
      <c r="D30" s="112">
        <v>22647</v>
      </c>
      <c r="E30" s="112">
        <v>20680</v>
      </c>
      <c r="F30" s="112">
        <v>21132</v>
      </c>
      <c r="G30" s="52">
        <f>F30</f>
        <v>21132</v>
      </c>
      <c r="H30" s="52">
        <f t="shared" ref="H30:O30" si="13">G30</f>
        <v>21132</v>
      </c>
      <c r="I30" s="52">
        <f t="shared" si="13"/>
        <v>21132</v>
      </c>
      <c r="J30" s="52">
        <f t="shared" si="13"/>
        <v>21132</v>
      </c>
      <c r="K30" s="52">
        <f t="shared" si="13"/>
        <v>21132</v>
      </c>
      <c r="L30" s="52">
        <f t="shared" si="13"/>
        <v>21132</v>
      </c>
      <c r="M30" s="52">
        <f t="shared" si="13"/>
        <v>21132</v>
      </c>
      <c r="N30" s="52">
        <f t="shared" si="13"/>
        <v>21132</v>
      </c>
      <c r="O30" s="52">
        <f t="shared" si="13"/>
        <v>21132</v>
      </c>
    </row>
    <row r="31" spans="1:16" x14ac:dyDescent="0.25">
      <c r="A31" s="13" t="s">
        <v>40</v>
      </c>
      <c r="B31" s="111">
        <v>40530</v>
      </c>
      <c r="C31" s="111">
        <v>39230</v>
      </c>
      <c r="D31" s="112">
        <v>36818</v>
      </c>
      <c r="E31" s="112">
        <v>34041</v>
      </c>
      <c r="F31" s="112">
        <v>26893</v>
      </c>
      <c r="G31" s="52">
        <f>F31</f>
        <v>26893</v>
      </c>
      <c r="H31" s="52">
        <f t="shared" ref="H31:O31" si="14">G31</f>
        <v>26893</v>
      </c>
      <c r="I31" s="52">
        <f t="shared" si="14"/>
        <v>26893</v>
      </c>
      <c r="J31" s="52">
        <f t="shared" si="14"/>
        <v>26893</v>
      </c>
      <c r="K31" s="52">
        <f t="shared" si="14"/>
        <v>26893</v>
      </c>
      <c r="L31" s="52">
        <f t="shared" si="14"/>
        <v>26893</v>
      </c>
      <c r="M31" s="52">
        <f t="shared" si="14"/>
        <v>26893</v>
      </c>
      <c r="N31" s="52">
        <f t="shared" si="14"/>
        <v>26893</v>
      </c>
      <c r="O31" s="52">
        <f t="shared" si="14"/>
        <v>26893</v>
      </c>
    </row>
    <row r="32" spans="1:16" x14ac:dyDescent="0.25">
      <c r="A32" s="13" t="s">
        <v>41</v>
      </c>
      <c r="B32" s="111">
        <v>4742</v>
      </c>
      <c r="C32" s="111">
        <v>5325</v>
      </c>
      <c r="D32" s="112">
        <v>5417</v>
      </c>
      <c r="E32" s="112">
        <v>5124</v>
      </c>
      <c r="F32" s="112">
        <v>4774</v>
      </c>
      <c r="G32" s="11">
        <v>4774</v>
      </c>
      <c r="H32" s="11">
        <v>4774</v>
      </c>
      <c r="I32" s="11">
        <v>4774</v>
      </c>
      <c r="J32" s="11">
        <v>4774</v>
      </c>
      <c r="K32" s="11">
        <v>4774</v>
      </c>
      <c r="L32" s="11">
        <v>4774</v>
      </c>
      <c r="M32" s="11">
        <v>4774</v>
      </c>
      <c r="N32" s="11">
        <v>4774</v>
      </c>
      <c r="O32" s="11">
        <v>4774</v>
      </c>
    </row>
    <row r="33" spans="1:15" x14ac:dyDescent="0.25">
      <c r="A33" s="13" t="s">
        <v>42</v>
      </c>
      <c r="B33" s="111">
        <v>21780</v>
      </c>
      <c r="C33" s="111">
        <v>21786</v>
      </c>
      <c r="D33" s="112">
        <v>21165</v>
      </c>
      <c r="E33" s="112">
        <v>20069</v>
      </c>
      <c r="F33" s="112">
        <v>19215</v>
      </c>
      <c r="G33" s="11">
        <v>19215</v>
      </c>
      <c r="H33" s="11">
        <v>19215</v>
      </c>
      <c r="I33" s="11">
        <v>19215</v>
      </c>
      <c r="J33" s="11">
        <v>19215</v>
      </c>
      <c r="K33" s="11">
        <v>19215</v>
      </c>
      <c r="L33" s="11">
        <v>19215</v>
      </c>
      <c r="M33" s="11">
        <v>19215</v>
      </c>
      <c r="N33" s="11">
        <v>19215</v>
      </c>
      <c r="O33" s="11">
        <v>19215</v>
      </c>
    </row>
    <row r="34" spans="1:15" ht="19.5" thickBot="1" x14ac:dyDescent="0.3">
      <c r="A34" s="34" t="s">
        <v>43</v>
      </c>
      <c r="B34" s="115">
        <f t="shared" ref="B34:O34" si="15">Total_current_liabilities+Long_term_debt+Postretirement_benefits_reserves+Deferred_income_tax_liabilities+Long_term_obligations_to_equity_companies+Other_long_term_obligations</f>
        <v>166313</v>
      </c>
      <c r="C34" s="115">
        <f t="shared" si="15"/>
        <v>168429</v>
      </c>
      <c r="D34" s="115">
        <f t="shared" si="15"/>
        <v>159948</v>
      </c>
      <c r="E34" s="115">
        <f t="shared" si="15"/>
        <v>156484</v>
      </c>
      <c r="F34" s="115">
        <f t="shared" si="15"/>
        <v>154191</v>
      </c>
      <c r="G34" s="35">
        <f t="shared" si="15"/>
        <v>159685.08896032878</v>
      </c>
      <c r="H34" s="35">
        <f t="shared" si="15"/>
        <v>163543.67754896905</v>
      </c>
      <c r="I34" s="35">
        <f t="shared" si="15"/>
        <v>167009.19765299896</v>
      </c>
      <c r="J34" s="35">
        <f t="shared" si="15"/>
        <v>173298.3695219199</v>
      </c>
      <c r="K34" s="35">
        <f t="shared" si="15"/>
        <v>182208.7514738013</v>
      </c>
      <c r="L34" s="35">
        <f t="shared" si="15"/>
        <v>189713.54302418005</v>
      </c>
      <c r="M34" s="35">
        <f t="shared" si="15"/>
        <v>196620.26787245352</v>
      </c>
      <c r="N34" s="35">
        <f t="shared" si="15"/>
        <v>202952.69077178702</v>
      </c>
      <c r="O34" s="35">
        <f t="shared" si="15"/>
        <v>208692.88567167806</v>
      </c>
    </row>
    <row r="35" spans="1:15" x14ac:dyDescent="0.25">
      <c r="A35" s="7"/>
      <c r="B35" s="118"/>
      <c r="C35" s="118"/>
      <c r="D35" s="118"/>
      <c r="E35" s="118"/>
      <c r="F35" s="118"/>
    </row>
    <row r="36" spans="1:15" x14ac:dyDescent="0.25">
      <c r="A36" s="7"/>
      <c r="B36" s="119"/>
      <c r="C36" s="119"/>
      <c r="D36" s="120"/>
      <c r="E36" s="120"/>
      <c r="F36" s="121"/>
    </row>
    <row r="37" spans="1:15" x14ac:dyDescent="0.25">
      <c r="A37" s="7"/>
      <c r="B37" s="119"/>
      <c r="C37" s="119"/>
      <c r="D37" s="120"/>
      <c r="E37" s="120"/>
      <c r="F37" s="121"/>
    </row>
    <row r="38" spans="1:15" ht="18.75" x14ac:dyDescent="0.25">
      <c r="A38" s="39" t="s">
        <v>44</v>
      </c>
      <c r="B38" s="100"/>
      <c r="C38" s="100"/>
      <c r="D38" s="113"/>
      <c r="E38" s="113"/>
      <c r="F38" s="113"/>
    </row>
    <row r="39" spans="1:15" x14ac:dyDescent="0.25">
      <c r="A39" s="13" t="s">
        <v>54</v>
      </c>
      <c r="B39" s="111">
        <v>10077</v>
      </c>
      <c r="C39" s="111">
        <v>10792</v>
      </c>
      <c r="D39" s="112">
        <v>11612</v>
      </c>
      <c r="E39" s="112">
        <v>12157</v>
      </c>
      <c r="F39" s="112">
        <v>14656</v>
      </c>
      <c r="G39" s="127">
        <v>14656</v>
      </c>
      <c r="H39" s="127">
        <v>14656</v>
      </c>
      <c r="I39" s="127">
        <v>14656</v>
      </c>
      <c r="J39" s="127">
        <v>14656</v>
      </c>
      <c r="K39" s="127">
        <v>14656</v>
      </c>
      <c r="L39" s="127">
        <v>14656</v>
      </c>
      <c r="M39" s="127">
        <v>14656</v>
      </c>
      <c r="N39" s="127">
        <v>14656</v>
      </c>
      <c r="O39" s="127">
        <v>14656</v>
      </c>
    </row>
    <row r="40" spans="1:15" x14ac:dyDescent="0.25">
      <c r="A40" s="13" t="s">
        <v>45</v>
      </c>
      <c r="B40" s="111">
        <v>387432</v>
      </c>
      <c r="C40" s="111">
        <v>408384</v>
      </c>
      <c r="D40" s="112">
        <v>412444</v>
      </c>
      <c r="E40" s="112">
        <v>407831</v>
      </c>
      <c r="F40" s="112">
        <v>414540</v>
      </c>
      <c r="G40" s="52">
        <f>F40+'Exxon Income Statement'!G33</f>
        <v>423432.03279839997</v>
      </c>
      <c r="H40" s="52">
        <f>G40+'Exxon Income Statement'!H33</f>
        <v>434056.65985066997</v>
      </c>
      <c r="I40" s="52">
        <f>H40+'Exxon Income Statement'!I33</f>
        <v>446144.04061768897</v>
      </c>
      <c r="J40" s="52">
        <f>I40+'Exxon Income Statement'!J33</f>
        <v>459314.49641875533</v>
      </c>
      <c r="K40" s="52">
        <f>J40+'Exxon Income Statement'!K33</f>
        <v>473226.85832973529</v>
      </c>
      <c r="L40" s="52">
        <f>K40+'Exxon Income Statement'!L33</f>
        <v>487938.68767690059</v>
      </c>
      <c r="M40" s="52">
        <f>L40+'Exxon Income Statement'!M33</f>
        <v>503438.28661897429</v>
      </c>
      <c r="N40" s="52">
        <f>M40+'Exxon Income Statement'!N33</f>
        <v>519745.27850813849</v>
      </c>
      <c r="O40" s="52">
        <f>N40+'Exxon Income Statement'!O33</f>
        <v>536876.38351479394</v>
      </c>
    </row>
    <row r="41" spans="1:15" x14ac:dyDescent="0.25">
      <c r="A41" s="13" t="s">
        <v>46</v>
      </c>
      <c r="B41" s="111">
        <v>-10725</v>
      </c>
      <c r="C41" s="111">
        <v>-18957</v>
      </c>
      <c r="D41" s="112">
        <v>-23511</v>
      </c>
      <c r="E41" s="112">
        <v>-22239</v>
      </c>
      <c r="F41" s="112">
        <v>-16262</v>
      </c>
      <c r="G41" s="52">
        <f>F41</f>
        <v>-16262</v>
      </c>
      <c r="H41" s="52">
        <f t="shared" ref="H41:O41" si="16">G41</f>
        <v>-16262</v>
      </c>
      <c r="I41" s="52">
        <f t="shared" si="16"/>
        <v>-16262</v>
      </c>
      <c r="J41" s="52">
        <f t="shared" si="16"/>
        <v>-16262</v>
      </c>
      <c r="K41" s="52">
        <f t="shared" si="16"/>
        <v>-16262</v>
      </c>
      <c r="L41" s="52">
        <f t="shared" si="16"/>
        <v>-16262</v>
      </c>
      <c r="M41" s="52">
        <f t="shared" si="16"/>
        <v>-16262</v>
      </c>
      <c r="N41" s="52">
        <f t="shared" si="16"/>
        <v>-16262</v>
      </c>
      <c r="O41" s="52">
        <f t="shared" si="16"/>
        <v>-16262</v>
      </c>
    </row>
    <row r="42" spans="1:15" x14ac:dyDescent="0.25">
      <c r="A42" s="13" t="s">
        <v>55</v>
      </c>
      <c r="B42" s="111">
        <v>-212781</v>
      </c>
      <c r="C42" s="111">
        <v>-225820</v>
      </c>
      <c r="D42" s="112">
        <v>-229734</v>
      </c>
      <c r="E42" s="112">
        <v>-230424</v>
      </c>
      <c r="F42" s="112">
        <v>-225246</v>
      </c>
      <c r="G42" s="52">
        <f>F42</f>
        <v>-225246</v>
      </c>
      <c r="H42" s="52">
        <f t="shared" ref="H42:O42" si="17">G42</f>
        <v>-225246</v>
      </c>
      <c r="I42" s="52">
        <f t="shared" si="17"/>
        <v>-225246</v>
      </c>
      <c r="J42" s="52">
        <f t="shared" si="17"/>
        <v>-225246</v>
      </c>
      <c r="K42" s="52">
        <f t="shared" si="17"/>
        <v>-225246</v>
      </c>
      <c r="L42" s="52">
        <f t="shared" si="17"/>
        <v>-225246</v>
      </c>
      <c r="M42" s="52">
        <f t="shared" si="17"/>
        <v>-225246</v>
      </c>
      <c r="N42" s="52">
        <f t="shared" si="17"/>
        <v>-225246</v>
      </c>
      <c r="O42" s="52">
        <f t="shared" si="17"/>
        <v>-225246</v>
      </c>
    </row>
    <row r="43" spans="1:15" ht="15.75" x14ac:dyDescent="0.25">
      <c r="A43" s="32" t="s">
        <v>47</v>
      </c>
      <c r="B43" s="122">
        <f t="shared" ref="B43:O43" si="18">Common_stock_without_par_value+Earnings_reinvested+Accumulated_other_comprehensive_income+Common_stock_held_in_treasury</f>
        <v>174003</v>
      </c>
      <c r="C43" s="122">
        <f t="shared" si="18"/>
        <v>174399</v>
      </c>
      <c r="D43" s="122">
        <f t="shared" si="18"/>
        <v>170811</v>
      </c>
      <c r="E43" s="122">
        <f t="shared" si="18"/>
        <v>167325</v>
      </c>
      <c r="F43" s="122">
        <f t="shared" si="18"/>
        <v>187688</v>
      </c>
      <c r="G43" s="38">
        <f t="shared" si="18"/>
        <v>196580.03279839997</v>
      </c>
      <c r="H43" s="38">
        <f t="shared" si="18"/>
        <v>207204.65985066997</v>
      </c>
      <c r="I43" s="38">
        <f t="shared" si="18"/>
        <v>219292.04061768897</v>
      </c>
      <c r="J43" s="38">
        <f t="shared" si="18"/>
        <v>232462.49641875533</v>
      </c>
      <c r="K43" s="38">
        <f t="shared" si="18"/>
        <v>246374.85832973529</v>
      </c>
      <c r="L43" s="38">
        <f t="shared" si="18"/>
        <v>261086.68767690059</v>
      </c>
      <c r="M43" s="38">
        <f t="shared" si="18"/>
        <v>276586.28661897429</v>
      </c>
      <c r="N43" s="38">
        <f t="shared" si="18"/>
        <v>292893.27850813849</v>
      </c>
      <c r="O43" s="38">
        <f t="shared" si="18"/>
        <v>310024.38351479394</v>
      </c>
    </row>
    <row r="44" spans="1:15" x14ac:dyDescent="0.25">
      <c r="A44" s="13" t="s">
        <v>48</v>
      </c>
      <c r="B44" s="111">
        <v>6492</v>
      </c>
      <c r="C44" s="111">
        <v>6665</v>
      </c>
      <c r="D44" s="112">
        <v>5999</v>
      </c>
      <c r="E44" s="112">
        <v>6505</v>
      </c>
      <c r="F44" s="112">
        <v>6812</v>
      </c>
      <c r="G44" s="52">
        <f>F44*(1+Vectors!B46)</f>
        <v>7016.3600000000006</v>
      </c>
      <c r="H44" s="52">
        <f>G44*(1+Vectors!C46)</f>
        <v>7226.8508000000011</v>
      </c>
      <c r="I44" s="52">
        <f>H44*(1+Vectors!D46)</f>
        <v>7443.6563240000014</v>
      </c>
      <c r="J44" s="52">
        <f>I44*(1+Vectors!E46)</f>
        <v>7666.9660137200017</v>
      </c>
      <c r="K44" s="52">
        <f>J44*(1+Vectors!F46)</f>
        <v>7896.9749941316022</v>
      </c>
      <c r="L44" s="52">
        <f>K44*(1+Vectors!G46)</f>
        <v>8133.8842439555501</v>
      </c>
      <c r="M44" s="52">
        <f>L44*(1+Vectors!H46)</f>
        <v>8377.9007712742168</v>
      </c>
      <c r="N44" s="52">
        <f>M44*(1+Vectors!I46)</f>
        <v>8629.2377944124437</v>
      </c>
      <c r="O44" s="52">
        <f>N44*(1+Vectors!J46)</f>
        <v>8888.1149282448168</v>
      </c>
    </row>
    <row r="45" spans="1:15" ht="19.5" thickBot="1" x14ac:dyDescent="0.3">
      <c r="A45" s="34" t="s">
        <v>49</v>
      </c>
      <c r="B45" s="115">
        <f t="shared" ref="B45:O45" si="19">ExxonMobil_share_of_equity+Noncontrolling_interests</f>
        <v>180495</v>
      </c>
      <c r="C45" s="115">
        <f t="shared" si="19"/>
        <v>181064</v>
      </c>
      <c r="D45" s="115">
        <f t="shared" si="19"/>
        <v>176810</v>
      </c>
      <c r="E45" s="115">
        <f t="shared" si="19"/>
        <v>173830</v>
      </c>
      <c r="F45" s="115">
        <f t="shared" si="19"/>
        <v>194500</v>
      </c>
      <c r="G45" s="35">
        <f t="shared" si="19"/>
        <v>203596.39279839996</v>
      </c>
      <c r="H45" s="35">
        <f t="shared" si="19"/>
        <v>214431.51065066998</v>
      </c>
      <c r="I45" s="35">
        <f t="shared" si="19"/>
        <v>226735.69694168898</v>
      </c>
      <c r="J45" s="35">
        <f t="shared" si="19"/>
        <v>240129.46243247532</v>
      </c>
      <c r="K45" s="35">
        <f t="shared" si="19"/>
        <v>254271.83332386689</v>
      </c>
      <c r="L45" s="35">
        <f t="shared" si="19"/>
        <v>269220.57192085613</v>
      </c>
      <c r="M45" s="35">
        <f t="shared" si="19"/>
        <v>284964.18739024852</v>
      </c>
      <c r="N45" s="35">
        <f t="shared" si="19"/>
        <v>301522.51630255091</v>
      </c>
      <c r="O45" s="35">
        <f t="shared" si="19"/>
        <v>318912.49844303878</v>
      </c>
    </row>
    <row r="46" spans="1:15" ht="18.75" x14ac:dyDescent="0.25">
      <c r="A46" s="30"/>
      <c r="B46" s="123"/>
      <c r="C46" s="123"/>
      <c r="D46" s="123"/>
      <c r="E46" s="123"/>
      <c r="F46" s="123"/>
    </row>
    <row r="47" spans="1:15" ht="21.75" thickBot="1" x14ac:dyDescent="0.3">
      <c r="A47" s="36" t="s">
        <v>50</v>
      </c>
      <c r="B47" s="124">
        <f t="shared" ref="B47:O47" si="20">Total_liabilities+Total_equity</f>
        <v>346808</v>
      </c>
      <c r="C47" s="124">
        <f t="shared" si="20"/>
        <v>349493</v>
      </c>
      <c r="D47" s="124">
        <f t="shared" si="20"/>
        <v>336758</v>
      </c>
      <c r="E47" s="124">
        <f t="shared" si="20"/>
        <v>330314</v>
      </c>
      <c r="F47" s="124">
        <f t="shared" si="20"/>
        <v>348691</v>
      </c>
      <c r="G47" s="37">
        <f t="shared" si="20"/>
        <v>363281.48175872874</v>
      </c>
      <c r="H47" s="37">
        <f t="shared" si="20"/>
        <v>377975.18819963903</v>
      </c>
      <c r="I47" s="37">
        <f t="shared" si="20"/>
        <v>393744.89459468797</v>
      </c>
      <c r="J47" s="37">
        <f t="shared" si="20"/>
        <v>413427.83195439522</v>
      </c>
      <c r="K47" s="37">
        <f t="shared" si="20"/>
        <v>436480.58479766815</v>
      </c>
      <c r="L47" s="37">
        <f t="shared" si="20"/>
        <v>458934.11494503618</v>
      </c>
      <c r="M47" s="37">
        <f t="shared" si="20"/>
        <v>481584.45526270207</v>
      </c>
      <c r="N47" s="37">
        <f t="shared" si="20"/>
        <v>504475.20707433793</v>
      </c>
      <c r="O47" s="37">
        <f t="shared" si="20"/>
        <v>527605.3841147169</v>
      </c>
    </row>
    <row r="48" spans="1:15" ht="21" x14ac:dyDescent="0.25">
      <c r="A48" s="77"/>
      <c r="B48" s="78"/>
      <c r="C48" s="78"/>
      <c r="D48" s="78"/>
      <c r="E48" s="78"/>
      <c r="F48" s="78"/>
    </row>
    <row r="49" spans="1:15" ht="21" x14ac:dyDescent="0.25">
      <c r="A49" s="77"/>
      <c r="B49" s="78"/>
      <c r="C49" s="78"/>
      <c r="D49" s="78"/>
      <c r="E49" s="78"/>
      <c r="F49" s="78"/>
    </row>
    <row r="50" spans="1:15" ht="21" x14ac:dyDescent="0.25">
      <c r="A50" s="77" t="s">
        <v>195</v>
      </c>
      <c r="B50" s="78"/>
      <c r="C50" s="78"/>
      <c r="D50" s="78"/>
      <c r="E50" s="78"/>
      <c r="F50" s="78"/>
      <c r="G50" s="84">
        <f>MAX(SUM(G24:G26,G29:G33,G39:G42,G44)-SUM(G8,G10,G12:G14,G16:G18),0)</f>
        <v>19611.07185752329</v>
      </c>
      <c r="H50" s="84">
        <f t="shared" ref="H50:O50" si="21">MAX(SUM(H24:H26,H29:H33,H39:H42,H44)-SUM(H8,H10,H12:H14,H16:H18),0)</f>
        <v>10934.020858535834</v>
      </c>
      <c r="I50" s="84">
        <f t="shared" si="21"/>
        <v>3448.9425857949536</v>
      </c>
      <c r="J50" s="84">
        <f t="shared" si="21"/>
        <v>0</v>
      </c>
      <c r="K50" s="84">
        <f t="shared" si="21"/>
        <v>0</v>
      </c>
      <c r="L50" s="84">
        <f t="shared" si="21"/>
        <v>0</v>
      </c>
      <c r="M50" s="84">
        <f t="shared" si="21"/>
        <v>0</v>
      </c>
      <c r="N50" s="84">
        <f t="shared" si="21"/>
        <v>0</v>
      </c>
      <c r="O50" s="84">
        <f t="shared" si="21"/>
        <v>0</v>
      </c>
    </row>
    <row r="51" spans="1:15" ht="21" x14ac:dyDescent="0.25">
      <c r="A51" s="189" t="s">
        <v>196</v>
      </c>
      <c r="B51" s="190"/>
      <c r="C51" s="190"/>
      <c r="D51" s="190"/>
      <c r="E51" s="190"/>
      <c r="F51" s="190"/>
      <c r="G51" s="188">
        <f>MAX(SUM(G8,G10,G12:G14,G16:G18)-SUM(G24:G26,G29:G33,G39:G42,G44),0)</f>
        <v>0</v>
      </c>
      <c r="H51" s="188">
        <f t="shared" ref="H51:O51" si="22">MAX(SUM(H8,H10,H12:H14,H16:H18)-SUM(H24:H26,H29:H33,H39:H42,H44),0)</f>
        <v>0</v>
      </c>
      <c r="I51" s="188">
        <f t="shared" si="22"/>
        <v>0</v>
      </c>
      <c r="J51" s="188">
        <f t="shared" si="22"/>
        <v>3227.8099886004347</v>
      </c>
      <c r="K51" s="188">
        <f t="shared" si="22"/>
        <v>9430.9100530865835</v>
      </c>
      <c r="L51" s="188">
        <f t="shared" si="22"/>
        <v>14169.379435111885</v>
      </c>
      <c r="M51" s="188">
        <f t="shared" si="22"/>
        <v>18315.579088378232</v>
      </c>
      <c r="N51" s="188">
        <f t="shared" si="22"/>
        <v>21843.086500947713</v>
      </c>
      <c r="O51" s="188">
        <f t="shared" si="22"/>
        <v>24737.62341443589</v>
      </c>
    </row>
    <row r="52" spans="1:15" ht="21" x14ac:dyDescent="0.25">
      <c r="A52" s="77"/>
      <c r="B52" s="78"/>
      <c r="C52" s="78"/>
      <c r="D52" s="78"/>
      <c r="E52" s="78"/>
      <c r="F52" s="78"/>
    </row>
    <row r="53" spans="1:15" ht="21" x14ac:dyDescent="0.25">
      <c r="A53" s="77"/>
      <c r="B53" s="78"/>
      <c r="C53" s="78"/>
      <c r="D53" s="78"/>
      <c r="E53" s="78"/>
      <c r="F53" s="78"/>
    </row>
    <row r="68" spans="1:8" x14ac:dyDescent="0.25">
      <c r="A68" s="26"/>
      <c r="B68" s="26"/>
      <c r="C68" s="26"/>
      <c r="D68" s="26"/>
      <c r="E68" s="26"/>
      <c r="F68" s="26"/>
      <c r="G68" s="26"/>
      <c r="H68" s="26"/>
    </row>
    <row r="69" spans="1:8" x14ac:dyDescent="0.25">
      <c r="A69" s="26"/>
      <c r="B69" s="26"/>
      <c r="C69" s="26"/>
      <c r="D69" s="26"/>
      <c r="E69" s="26"/>
      <c r="F69" s="26"/>
      <c r="G69" s="26"/>
      <c r="H69" s="26"/>
    </row>
    <row r="70" spans="1:8" x14ac:dyDescent="0.25">
      <c r="A70" s="10" t="s">
        <v>57</v>
      </c>
      <c r="G70" s="26"/>
      <c r="H70" s="26"/>
    </row>
    <row r="71" spans="1:8" x14ac:dyDescent="0.25">
      <c r="A71" s="7" t="s">
        <v>56</v>
      </c>
      <c r="B71">
        <v>3684</v>
      </c>
      <c r="C71">
        <v>3818</v>
      </c>
      <c r="D71">
        <v>3863</v>
      </c>
      <c r="E71">
        <v>3871</v>
      </c>
      <c r="F71">
        <v>3780</v>
      </c>
      <c r="G71" s="26"/>
      <c r="H71" s="26"/>
    </row>
    <row r="72" spans="1:8" x14ac:dyDescent="0.25">
      <c r="A72" s="26"/>
      <c r="B72" s="26"/>
      <c r="C72" s="26"/>
      <c r="D72" s="26"/>
      <c r="E72" s="26"/>
      <c r="F72" s="26"/>
      <c r="G72" s="26"/>
      <c r="H72" s="26"/>
    </row>
    <row r="73" spans="1:8" x14ac:dyDescent="0.25">
      <c r="A73" s="26"/>
      <c r="B73" s="26"/>
      <c r="C73" s="26"/>
      <c r="D73" s="26"/>
      <c r="E73" s="26"/>
      <c r="F73" s="26"/>
      <c r="G73" s="26"/>
      <c r="H73" s="26"/>
    </row>
  </sheetData>
  <mergeCells count="1">
    <mergeCell ref="J1:O1"/>
  </mergeCells>
  <hyperlinks>
    <hyperlink ref="A2" location="'Home Page'!A1" display="Home Page" xr:uid="{5ED08B72-165F-4BAC-B6C0-2352AB6DDD00}"/>
    <hyperlink ref="D2" location="'Exxon Income Statement'!A1" display="Exxon Income Statement" xr:uid="{EA9F34C8-A985-434D-8D9A-9B3B8688FF9A}"/>
    <hyperlink ref="B2" location="Summary!A1" display="Summary" xr:uid="{F00D63C5-6C3E-46F6-AF44-1B2754FF398D}"/>
    <hyperlink ref="E2" location="'Exxon Balance Sheet'!A1" display="Exxon Balance Sheet" xr:uid="{411DF793-91A0-4074-A544-21A824EDC725}"/>
    <hyperlink ref="F2" location="'Exxon Cash Flow'!A1" display="Exxon Cash Flow" xr:uid="{C958919A-A796-4F8A-9C43-F3E3F8630262}"/>
    <hyperlink ref="C2" location="'Critical Inputs'!A1" display="Critical Inputs" xr:uid="{FEB840B6-B1B9-4F61-A100-91F8A280DAC0}"/>
    <hyperlink ref="G2" location="'Segment Projections'!A1" display="Segment Projections" xr:uid="{26BC6F6B-C164-4AFE-B383-8B490A5C2F4B}"/>
    <hyperlink ref="H2" location="'Net Working Capital'!A1" display="Net Working Capital" xr:uid="{7EDA9734-B321-4FE7-8E64-6DB9D511423F}"/>
    <hyperlink ref="I2" location="'PP&amp;E'!A1" display="PP&amp;E" xr:uid="{67A89B67-06D8-434C-9D87-85C87DD70304}"/>
    <hyperlink ref="J2" location="'Long Term Debt'!A1" display="Long Term Debt" xr:uid="{6E758898-3AC0-402E-AC94-DC00740F90B6}"/>
    <hyperlink ref="K2" location="Vectors!A1" display="Vectors" xr:uid="{4B183DEA-EB5B-4CDA-B4A7-77BF95C302A4}"/>
  </hyperlinks>
  <pageMargins left="0.75" right="0.75" top="1" bottom="1" header="0.5" footer="0.5"/>
  <drawing r:id="rId1"/>
  <legacyDrawing r:id="rId2"/>
  <mc:AlternateContent xmlns:mc="http://schemas.openxmlformats.org/markup-compatibility/2006">
    <mc:Choice Requires="x14">
      <controls>
        <mc:AlternateContent xmlns:mc="http://schemas.openxmlformats.org/markup-compatibility/2006">
          <mc:Choice Requires="x14">
            <control shapeId="37889" r:id="rId3" name="Button 1">
              <controlPr defaultSize="0" print="0" autoFill="0" autoPict="0" macro="[0]!Plug">
                <anchor moveWithCells="1" sizeWithCells="1">
                  <from>
                    <xdr:col>11</xdr:col>
                    <xdr:colOff>276225</xdr:colOff>
                    <xdr:row>1</xdr:row>
                    <xdr:rowOff>28575</xdr:rowOff>
                  </from>
                  <to>
                    <xdr:col>14</xdr:col>
                    <xdr:colOff>704850</xdr:colOff>
                    <xdr:row>2</xdr:row>
                    <xdr:rowOff>104775</xdr:rowOff>
                  </to>
                </anchor>
              </controlPr>
            </control>
          </mc:Choice>
        </mc:AlternateContent>
      </controls>
    </mc:Choice>
  </mc:AlternateConten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9"/>
  </sheetPr>
  <dimension ref="A1:M39"/>
  <sheetViews>
    <sheetView zoomScale="130" zoomScaleNormal="130" workbookViewId="0">
      <pane ySplit="4" topLeftCell="A17" activePane="bottomLeft" state="frozen"/>
      <selection activeCell="A57" sqref="A57"/>
      <selection pane="bottomLeft" activeCell="C31" sqref="C31"/>
    </sheetView>
  </sheetViews>
  <sheetFormatPr defaultRowHeight="15" x14ac:dyDescent="0.25"/>
  <cols>
    <col min="1" max="1" width="51" bestFit="1" customWidth="1"/>
    <col min="2" max="10" width="12.7109375" customWidth="1"/>
  </cols>
  <sheetData>
    <row r="1" spans="1:13" ht="37.5" customHeight="1" x14ac:dyDescent="0.45">
      <c r="A1" s="225" t="s">
        <v>232</v>
      </c>
      <c r="B1" s="132"/>
      <c r="C1" s="132"/>
      <c r="D1" s="132"/>
      <c r="E1" s="277" t="str">
        <f>Rebalance_check</f>
        <v>Balance Sheet is Balanced</v>
      </c>
      <c r="F1" s="277"/>
      <c r="G1" s="277"/>
      <c r="H1" s="277"/>
      <c r="I1" s="277"/>
      <c r="J1" s="277"/>
    </row>
    <row r="2" spans="1:13" ht="30" x14ac:dyDescent="0.25">
      <c r="A2" s="227" t="s">
        <v>271</v>
      </c>
      <c r="B2" s="227" t="s">
        <v>272</v>
      </c>
      <c r="C2" s="228" t="s">
        <v>273</v>
      </c>
      <c r="D2" s="228" t="s">
        <v>274</v>
      </c>
      <c r="E2" s="228" t="s">
        <v>319</v>
      </c>
      <c r="F2" s="228" t="s">
        <v>320</v>
      </c>
      <c r="G2" s="228"/>
      <c r="H2" s="228"/>
      <c r="I2" s="228"/>
      <c r="J2" s="228"/>
      <c r="K2" s="228"/>
      <c r="L2" s="228"/>
      <c r="M2" s="217"/>
    </row>
    <row r="3" spans="1:13" s="217" customFormat="1" x14ac:dyDescent="0.25"/>
    <row r="4" spans="1:13" ht="18.75" x14ac:dyDescent="0.25">
      <c r="A4" s="29" t="s">
        <v>22</v>
      </c>
      <c r="B4" s="164">
        <v>2018</v>
      </c>
      <c r="C4" s="164">
        <v>2019</v>
      </c>
      <c r="D4" s="164">
        <v>2020</v>
      </c>
      <c r="E4" s="164">
        <v>2021</v>
      </c>
      <c r="F4" s="164">
        <v>2022</v>
      </c>
      <c r="G4" s="164">
        <v>2023</v>
      </c>
      <c r="H4" s="164">
        <v>2024</v>
      </c>
      <c r="I4" s="164">
        <v>2025</v>
      </c>
      <c r="J4" s="164">
        <v>2026</v>
      </c>
    </row>
    <row r="5" spans="1:13" ht="23.25" x14ac:dyDescent="0.35">
      <c r="A5" s="163" t="s">
        <v>206</v>
      </c>
      <c r="B5" s="139"/>
      <c r="C5" s="139"/>
      <c r="D5" s="139"/>
      <c r="E5" s="139"/>
      <c r="F5" s="139"/>
      <c r="G5" s="139"/>
      <c r="H5" s="139"/>
      <c r="I5" s="139"/>
      <c r="J5" s="139"/>
    </row>
    <row r="6" spans="1:13" x14ac:dyDescent="0.25">
      <c r="A6" t="s">
        <v>203</v>
      </c>
      <c r="B6" s="99">
        <f>'Exxon Income Statement'!G26</f>
        <v>22353.584798399985</v>
      </c>
      <c r="C6" s="99">
        <f>'Exxon Income Statement'!H26</f>
        <v>24624.641132269979</v>
      </c>
      <c r="D6" s="99">
        <f>'Exxon Income Statement'!I26</f>
        <v>26647.395410218996</v>
      </c>
      <c r="E6" s="99">
        <f>'Exxon Income Statement'!J26</f>
        <v>28312.871029994338</v>
      </c>
      <c r="F6" s="99">
        <f>'Exxon Income Statement'!K26</f>
        <v>29660.473749065113</v>
      </c>
      <c r="G6" s="99">
        <f>'Exxon Income Statement'!L26</f>
        <v>31089.865658773837</v>
      </c>
      <c r="H6" s="99">
        <f>'Exxon Income Statement'!M26</f>
        <v>32532.756706146585</v>
      </c>
      <c r="I6" s="99">
        <f>'Exxon Income Statement'!N26</f>
        <v>34021.475963799996</v>
      </c>
      <c r="J6" s="99">
        <f>'Exxon Income Statement'!O26</f>
        <v>35554.168444276671</v>
      </c>
    </row>
    <row r="7" spans="1:13" x14ac:dyDescent="0.25">
      <c r="A7" t="s">
        <v>204</v>
      </c>
      <c r="B7" s="52">
        <f>'PP&amp;E'!G15</f>
        <v>19182.837000000003</v>
      </c>
      <c r="C7" s="52">
        <f>'PP&amp;E'!H15</f>
        <v>19374.665369999999</v>
      </c>
      <c r="D7" s="52">
        <f>'PP&amp;E'!I15</f>
        <v>19568.412023700002</v>
      </c>
      <c r="E7" s="52">
        <f>'PP&amp;E'!J15</f>
        <v>19764.096143937004</v>
      </c>
      <c r="F7" s="52">
        <f>'PP&amp;E'!K15</f>
        <v>19961.737105376371</v>
      </c>
      <c r="G7" s="52">
        <f>'PP&amp;E'!L15</f>
        <v>20161.354476430137</v>
      </c>
      <c r="H7" s="52">
        <f>'PP&amp;E'!M15</f>
        <v>20362.968021194436</v>
      </c>
      <c r="I7" s="52">
        <f>'PP&amp;E'!N15</f>
        <v>20566.597701406383</v>
      </c>
      <c r="J7" s="52">
        <f>'PP&amp;E'!O15</f>
        <v>20772.263678420448</v>
      </c>
    </row>
    <row r="8" spans="1:13" x14ac:dyDescent="0.25">
      <c r="A8" t="s">
        <v>227</v>
      </c>
      <c r="B8" s="52">
        <v>0</v>
      </c>
      <c r="C8" s="52">
        <v>0</v>
      </c>
      <c r="D8" s="52">
        <v>0</v>
      </c>
      <c r="E8" s="52">
        <v>0</v>
      </c>
      <c r="F8" s="52">
        <v>0</v>
      </c>
      <c r="G8" s="52">
        <v>0</v>
      </c>
      <c r="H8" s="52">
        <v>0</v>
      </c>
      <c r="I8" s="52">
        <v>0</v>
      </c>
      <c r="J8" s="52">
        <v>0</v>
      </c>
    </row>
    <row r="9" spans="1:13" x14ac:dyDescent="0.25">
      <c r="A9" t="s">
        <v>228</v>
      </c>
      <c r="B9" s="52">
        <v>0</v>
      </c>
      <c r="C9" s="52">
        <v>0</v>
      </c>
      <c r="D9" s="52">
        <v>0</v>
      </c>
      <c r="E9" s="52">
        <v>0</v>
      </c>
      <c r="F9" s="52">
        <v>0</v>
      </c>
      <c r="G9" s="52">
        <v>0</v>
      </c>
      <c r="H9" s="52">
        <v>0</v>
      </c>
      <c r="I9" s="52">
        <v>0</v>
      </c>
      <c r="J9" s="52">
        <v>0</v>
      </c>
    </row>
    <row r="10" spans="1:13" x14ac:dyDescent="0.25">
      <c r="A10" t="s">
        <v>205</v>
      </c>
      <c r="B10" s="84">
        <f>'Net Working Capital'!B12</f>
        <v>3498.6840551232967</v>
      </c>
      <c r="C10" s="84">
        <f>'Net Working Capital'!C12</f>
        <v>908.30116775259648</v>
      </c>
      <c r="D10" s="84">
        <f>'Net Working Capital'!D12</f>
        <v>815.77392485622295</v>
      </c>
      <c r="E10" s="84">
        <f>'Net Working Capital'!E12</f>
        <v>720.63618780054321</v>
      </c>
      <c r="F10" s="84">
        <f>'Net Working Capital'!F12</f>
        <v>637.28672888215306</v>
      </c>
      <c r="G10" s="84">
        <f>'Net Working Capital'!G12</f>
        <v>651.18464904307712</v>
      </c>
      <c r="H10" s="84">
        <f>'Net Working Capital'!H12</f>
        <v>649.82005742131332</v>
      </c>
      <c r="I10" s="84">
        <f>'Net Working Capital'!I12</f>
        <v>660.26941031641218</v>
      </c>
      <c r="J10" s="84">
        <f>'Net Working Capital'!J12</f>
        <v>669.8600829545976</v>
      </c>
    </row>
    <row r="11" spans="1:13" x14ac:dyDescent="0.25">
      <c r="A11" t="s">
        <v>206</v>
      </c>
      <c r="B11" s="99">
        <f t="shared" ref="B11:J11" si="0">SUM(B6:B10)</f>
        <v>45035.105853523281</v>
      </c>
      <c r="C11" s="99">
        <f t="shared" si="0"/>
        <v>44907.607670022568</v>
      </c>
      <c r="D11" s="99">
        <f t="shared" si="0"/>
        <v>47031.58135877522</v>
      </c>
      <c r="E11" s="99">
        <f t="shared" si="0"/>
        <v>48797.603361731883</v>
      </c>
      <c r="F11" s="99">
        <f t="shared" si="0"/>
        <v>50259.497583323631</v>
      </c>
      <c r="G11" s="99">
        <f t="shared" si="0"/>
        <v>51902.404784247046</v>
      </c>
      <c r="H11" s="99">
        <f t="shared" si="0"/>
        <v>53545.544784762329</v>
      </c>
      <c r="I11" s="99">
        <f t="shared" si="0"/>
        <v>55248.343075522789</v>
      </c>
      <c r="J11" s="99">
        <f t="shared" si="0"/>
        <v>56996.29220565172</v>
      </c>
    </row>
    <row r="14" spans="1:13" ht="23.25" x14ac:dyDescent="0.35">
      <c r="A14" s="163" t="s">
        <v>207</v>
      </c>
      <c r="B14" s="165"/>
      <c r="C14" s="165"/>
      <c r="D14" s="165"/>
      <c r="E14" s="165"/>
      <c r="F14" s="165"/>
      <c r="G14" s="165"/>
      <c r="H14" s="165"/>
      <c r="I14" s="165"/>
      <c r="J14" s="165"/>
    </row>
    <row r="15" spans="1:13" x14ac:dyDescent="0.25">
      <c r="A15" t="s">
        <v>208</v>
      </c>
      <c r="B15" s="84">
        <f>-('Exxon Balance Sheet'!G16-'Exxon Balance Sheet'!F16)</f>
        <v>-783.19999999999709</v>
      </c>
      <c r="C15" s="84">
        <f>'Exxon Balance Sheet'!H16-'Exxon Balance Sheet'!G16</f>
        <v>798.8640000000014</v>
      </c>
      <c r="D15" s="84">
        <f>'Exxon Balance Sheet'!I16-'Exxon Balance Sheet'!H16</f>
        <v>814.84128000000055</v>
      </c>
      <c r="E15" s="84">
        <f>'Exxon Balance Sheet'!J16-'Exxon Balance Sheet'!I16</f>
        <v>831.13810560000275</v>
      </c>
      <c r="F15" s="84">
        <f>'Exxon Balance Sheet'!K16-'Exxon Balance Sheet'!J16</f>
        <v>847.76086771200062</v>
      </c>
      <c r="G15" s="84">
        <f>'Exxon Balance Sheet'!L16-'Exxon Balance Sheet'!K16</f>
        <v>0</v>
      </c>
      <c r="H15" s="84">
        <f>'Exxon Balance Sheet'!M16-'Exxon Balance Sheet'!L16</f>
        <v>0</v>
      </c>
      <c r="I15" s="84">
        <f>'Exxon Balance Sheet'!N16-'Exxon Balance Sheet'!M16</f>
        <v>0</v>
      </c>
      <c r="J15" s="84">
        <f>'Exxon Balance Sheet'!O16-'Exxon Balance Sheet'!N16</f>
        <v>0</v>
      </c>
    </row>
    <row r="16" spans="1:13" x14ac:dyDescent="0.25">
      <c r="A16" t="s">
        <v>209</v>
      </c>
      <c r="B16" s="84">
        <f>-'PP&amp;E'!G7</f>
        <v>-19087.400000000001</v>
      </c>
      <c r="C16" s="84">
        <f>-'PP&amp;E'!H7</f>
        <v>-19278.274000000001</v>
      </c>
      <c r="D16" s="84">
        <f>-'PP&amp;E'!I7</f>
        <v>-19471.05674</v>
      </c>
      <c r="E16" s="84">
        <f>-'PP&amp;E'!J7</f>
        <v>-19665.767307400001</v>
      </c>
      <c r="F16" s="84">
        <f>-'PP&amp;E'!K7</f>
        <v>-19862.424980474003</v>
      </c>
      <c r="G16" s="84">
        <f>-'PP&amp;E'!L7</f>
        <v>-20061.049230278742</v>
      </c>
      <c r="H16" s="84">
        <f>-'PP&amp;E'!M7</f>
        <v>-20261.659722581531</v>
      </c>
      <c r="I16" s="84">
        <f>-'PP&amp;E'!N7</f>
        <v>-20464.276319807344</v>
      </c>
      <c r="J16" s="84">
        <f>-'PP&amp;E'!O7</f>
        <v>-20668.919083005421</v>
      </c>
    </row>
    <row r="17" spans="1:10" x14ac:dyDescent="0.25">
      <c r="A17" t="s">
        <v>302</v>
      </c>
    </row>
    <row r="18" spans="1:10" x14ac:dyDescent="0.25">
      <c r="A18" t="s">
        <v>207</v>
      </c>
      <c r="B18" s="84">
        <f t="shared" ref="B18:J18" si="1">SUM(B15:B17)</f>
        <v>-19870.599999999999</v>
      </c>
      <c r="C18" s="84">
        <f t="shared" si="1"/>
        <v>-18479.41</v>
      </c>
      <c r="D18" s="84">
        <f t="shared" si="1"/>
        <v>-18656.215459999999</v>
      </c>
      <c r="E18" s="84">
        <f t="shared" si="1"/>
        <v>-18834.629201799999</v>
      </c>
      <c r="F18" s="84">
        <f t="shared" si="1"/>
        <v>-19014.664112762002</v>
      </c>
      <c r="G18" s="84">
        <f t="shared" si="1"/>
        <v>-20061.049230278742</v>
      </c>
      <c r="H18" s="84">
        <f t="shared" si="1"/>
        <v>-20261.659722581531</v>
      </c>
      <c r="I18" s="84">
        <f t="shared" si="1"/>
        <v>-20464.276319807344</v>
      </c>
      <c r="J18" s="84">
        <f t="shared" si="1"/>
        <v>-20668.919083005421</v>
      </c>
    </row>
    <row r="23" spans="1:10" ht="23.25" x14ac:dyDescent="0.35">
      <c r="A23" s="163" t="s">
        <v>219</v>
      </c>
      <c r="B23" s="165"/>
      <c r="C23" s="165"/>
      <c r="D23" s="165"/>
      <c r="E23" s="165"/>
      <c r="F23" s="165"/>
      <c r="G23" s="165"/>
      <c r="H23" s="165"/>
      <c r="I23" s="165"/>
      <c r="J23" s="165"/>
    </row>
    <row r="24" spans="1:10" x14ac:dyDescent="0.25">
      <c r="A24" t="s">
        <v>220</v>
      </c>
      <c r="B24" s="52">
        <f>'Exxon Balance Sheet'!G23-'Exxon Balance Sheet'!F23</f>
        <v>0</v>
      </c>
      <c r="C24" s="52">
        <f>'Exxon Balance Sheet'!H23-'Exxon Balance Sheet'!G23</f>
        <v>0</v>
      </c>
      <c r="D24" s="52">
        <f>'Exxon Balance Sheet'!I23-'Exxon Balance Sheet'!H23</f>
        <v>0</v>
      </c>
      <c r="E24" s="52">
        <f>'Exxon Balance Sheet'!J23-'Exxon Balance Sheet'!I23</f>
        <v>3227.8099886004347</v>
      </c>
      <c r="F24" s="52">
        <f>'Exxon Balance Sheet'!K23-'Exxon Balance Sheet'!J23</f>
        <v>6203.1000644861488</v>
      </c>
      <c r="G24" s="52">
        <f>'Exxon Balance Sheet'!L23-'Exxon Balance Sheet'!K23</f>
        <v>4738.4693820253015</v>
      </c>
      <c r="H24" s="52">
        <f>'Exxon Balance Sheet'!M23-'Exxon Balance Sheet'!L23</f>
        <v>4146.199653266347</v>
      </c>
      <c r="I24" s="52">
        <f>'Exxon Balance Sheet'!N23-'Exxon Balance Sheet'!M23</f>
        <v>3527.5074125694809</v>
      </c>
      <c r="J24" s="52">
        <f>'Exxon Balance Sheet'!O23-'Exxon Balance Sheet'!N23</f>
        <v>2894.5369134881767</v>
      </c>
    </row>
    <row r="25" spans="1:10" x14ac:dyDescent="0.25">
      <c r="A25" t="s">
        <v>221</v>
      </c>
      <c r="B25" s="88">
        <f>'Exxon Balance Sheet'!G29-'Exxon Balance Sheet'!F29</f>
        <v>-391</v>
      </c>
      <c r="C25" s="88">
        <f>'Exxon Balance Sheet'!H29-'Exxon Balance Sheet'!G29</f>
        <v>0</v>
      </c>
      <c r="D25" s="88">
        <f>'Exxon Balance Sheet'!I29-'Exxon Balance Sheet'!H29</f>
        <v>0</v>
      </c>
      <c r="E25" s="88">
        <f>'Exxon Balance Sheet'!J29-'Exxon Balance Sheet'!I29</f>
        <v>0</v>
      </c>
      <c r="F25" s="88">
        <f>'Exxon Balance Sheet'!K29-'Exxon Balance Sheet'!J29</f>
        <v>0</v>
      </c>
      <c r="G25" s="88">
        <f>'Exxon Balance Sheet'!L29-'Exxon Balance Sheet'!K29</f>
        <v>0</v>
      </c>
      <c r="H25" s="88">
        <f>'Exxon Balance Sheet'!M29-'Exxon Balance Sheet'!L29</f>
        <v>0</v>
      </c>
      <c r="I25" s="88">
        <f>'Exxon Balance Sheet'!N29-'Exxon Balance Sheet'!M29</f>
        <v>0</v>
      </c>
      <c r="J25" s="88">
        <f>'Exxon Balance Sheet'!O29-'Exxon Balance Sheet'!N29</f>
        <v>0</v>
      </c>
    </row>
    <row r="26" spans="1:10" ht="30" x14ac:dyDescent="0.25">
      <c r="A26" s="81" t="s">
        <v>215</v>
      </c>
      <c r="B26" s="52">
        <f>'Exxon Balance Sheet'!G30-'Exxon Balance Sheet'!F30</f>
        <v>0</v>
      </c>
      <c r="C26" s="52">
        <f>'Exxon Balance Sheet'!H30-'Exxon Balance Sheet'!G30</f>
        <v>0</v>
      </c>
      <c r="D26" s="52">
        <f>'Exxon Balance Sheet'!I30-'Exxon Balance Sheet'!H30</f>
        <v>0</v>
      </c>
      <c r="E26" s="52">
        <f>'Exxon Balance Sheet'!J30-'Exxon Balance Sheet'!I30</f>
        <v>0</v>
      </c>
      <c r="F26" s="52">
        <f>'Exxon Balance Sheet'!K30-'Exxon Balance Sheet'!J30</f>
        <v>0</v>
      </c>
      <c r="G26" s="52">
        <f>'Exxon Balance Sheet'!L30-'Exxon Balance Sheet'!K30</f>
        <v>0</v>
      </c>
      <c r="H26" s="52">
        <f>'Exxon Balance Sheet'!M30-'Exxon Balance Sheet'!L30</f>
        <v>0</v>
      </c>
      <c r="I26" s="52">
        <f>'Exxon Balance Sheet'!N30-'Exxon Balance Sheet'!M30</f>
        <v>0</v>
      </c>
      <c r="J26" s="52">
        <f>'Exxon Balance Sheet'!O30-'Exxon Balance Sheet'!N30</f>
        <v>0</v>
      </c>
    </row>
    <row r="27" spans="1:10" x14ac:dyDescent="0.25">
      <c r="A27" s="81" t="s">
        <v>216</v>
      </c>
      <c r="B27" s="52">
        <f>'Exxon Balance Sheet'!G31-'Exxon Balance Sheet'!F31</f>
        <v>0</v>
      </c>
      <c r="C27" s="52">
        <f>'Exxon Balance Sheet'!H31-'Exxon Balance Sheet'!G31</f>
        <v>0</v>
      </c>
      <c r="D27" s="52">
        <f>'Exxon Balance Sheet'!I31-'Exxon Balance Sheet'!H31</f>
        <v>0</v>
      </c>
      <c r="E27" s="52">
        <f>'Exxon Balance Sheet'!J31-'Exxon Balance Sheet'!I31</f>
        <v>0</v>
      </c>
      <c r="F27" s="52">
        <f>'Exxon Balance Sheet'!K31-'Exxon Balance Sheet'!J31</f>
        <v>0</v>
      </c>
      <c r="G27" s="52">
        <f>'Exxon Balance Sheet'!L31-'Exxon Balance Sheet'!K31</f>
        <v>0</v>
      </c>
      <c r="H27" s="52">
        <f>'Exxon Balance Sheet'!M31-'Exxon Balance Sheet'!L31</f>
        <v>0</v>
      </c>
      <c r="I27" s="52">
        <f>'Exxon Balance Sheet'!N31-'Exxon Balance Sheet'!M31</f>
        <v>0</v>
      </c>
      <c r="J27" s="52">
        <f>'Exxon Balance Sheet'!O31-'Exxon Balance Sheet'!N31</f>
        <v>0</v>
      </c>
    </row>
    <row r="28" spans="1:10" ht="30" x14ac:dyDescent="0.25">
      <c r="A28" s="81" t="s">
        <v>217</v>
      </c>
      <c r="B28" s="52">
        <f>'Exxon Balance Sheet'!G32-'Exxon Balance Sheet'!F32</f>
        <v>0</v>
      </c>
      <c r="C28" s="52">
        <f>'Exxon Balance Sheet'!H32-'Exxon Balance Sheet'!G32</f>
        <v>0</v>
      </c>
      <c r="D28" s="52">
        <f>'Exxon Balance Sheet'!I32-'Exxon Balance Sheet'!H32</f>
        <v>0</v>
      </c>
      <c r="E28" s="52">
        <f>'Exxon Balance Sheet'!J32-'Exxon Balance Sheet'!I32</f>
        <v>0</v>
      </c>
      <c r="F28" s="52">
        <f>'Exxon Balance Sheet'!K32-'Exxon Balance Sheet'!J32</f>
        <v>0</v>
      </c>
      <c r="G28" s="52">
        <f>'Exxon Balance Sheet'!L32-'Exxon Balance Sheet'!K32</f>
        <v>0</v>
      </c>
      <c r="H28" s="52">
        <f>'Exxon Balance Sheet'!M32-'Exxon Balance Sheet'!L32</f>
        <v>0</v>
      </c>
      <c r="I28" s="52">
        <f>'Exxon Balance Sheet'!N32-'Exxon Balance Sheet'!M32</f>
        <v>0</v>
      </c>
      <c r="J28" s="52">
        <f>'Exxon Balance Sheet'!O32-'Exxon Balance Sheet'!N32</f>
        <v>0</v>
      </c>
    </row>
    <row r="29" spans="1:10" x14ac:dyDescent="0.25">
      <c r="A29" s="81" t="s">
        <v>218</v>
      </c>
      <c r="B29" s="52">
        <f>'Exxon Balance Sheet'!G33-'Exxon Balance Sheet'!F33</f>
        <v>0</v>
      </c>
      <c r="C29" s="52">
        <f>'Exxon Balance Sheet'!H33-'Exxon Balance Sheet'!G33</f>
        <v>0</v>
      </c>
      <c r="D29" s="52">
        <f>'Exxon Balance Sheet'!I33-'Exxon Balance Sheet'!H33</f>
        <v>0</v>
      </c>
      <c r="E29" s="52">
        <f>'Exxon Balance Sheet'!J33-'Exxon Balance Sheet'!I33</f>
        <v>0</v>
      </c>
      <c r="F29" s="52">
        <f>'Exxon Balance Sheet'!K33-'Exxon Balance Sheet'!J33</f>
        <v>0</v>
      </c>
      <c r="G29" s="52">
        <f>'Exxon Balance Sheet'!L33-'Exxon Balance Sheet'!K33</f>
        <v>0</v>
      </c>
      <c r="H29" s="52">
        <f>'Exxon Balance Sheet'!M33-'Exxon Balance Sheet'!L33</f>
        <v>0</v>
      </c>
      <c r="I29" s="52">
        <f>'Exxon Balance Sheet'!N33-'Exxon Balance Sheet'!M33</f>
        <v>0</v>
      </c>
      <c r="J29" s="52">
        <f>'Exxon Balance Sheet'!O33-'Exxon Balance Sheet'!N33</f>
        <v>0</v>
      </c>
    </row>
    <row r="30" spans="1:10" x14ac:dyDescent="0.25">
      <c r="A30" s="81"/>
    </row>
    <row r="31" spans="1:10" x14ac:dyDescent="0.25">
      <c r="A31" s="81" t="s">
        <v>189</v>
      </c>
      <c r="B31" s="158">
        <f>-'Exxon Income Statement'!G32</f>
        <v>-13461.552000000001</v>
      </c>
      <c r="C31" s="158">
        <f>-'Exxon Income Statement'!H32</f>
        <v>-14000.014080000003</v>
      </c>
      <c r="D31" s="158">
        <f>-'Exxon Income Statement'!I32</f>
        <v>-14560.014643200004</v>
      </c>
      <c r="E31" s="158">
        <f>-'Exxon Income Statement'!J32</f>
        <v>-15142.415228928003</v>
      </c>
      <c r="F31" s="158">
        <f>-'Exxon Income Statement'!K32</f>
        <v>-15748.111838085126</v>
      </c>
      <c r="G31" s="158">
        <f>-'Exxon Income Statement'!L32</f>
        <v>-16378.03631160853</v>
      </c>
      <c r="H31" s="158">
        <f>-'Exxon Income Statement'!M32</f>
        <v>-17033.157764072872</v>
      </c>
      <c r="I31" s="158">
        <f>-'Exxon Income Statement'!N32</f>
        <v>-17714.484074635784</v>
      </c>
      <c r="J31" s="158">
        <f>-'Exxon Income Statement'!O32</f>
        <v>-18423.063437621215</v>
      </c>
    </row>
    <row r="32" spans="1:10" x14ac:dyDescent="0.25">
      <c r="A32" s="81" t="s">
        <v>219</v>
      </c>
      <c r="B32" s="52">
        <f>SUM(B24:B31)</f>
        <v>-13852.552000000001</v>
      </c>
      <c r="C32" s="52">
        <f t="shared" ref="C32:J32" si="2">SUM(C24:C31)</f>
        <v>-14000.014080000003</v>
      </c>
      <c r="D32" s="52">
        <f t="shared" si="2"/>
        <v>-14560.014643200004</v>
      </c>
      <c r="E32" s="52">
        <f t="shared" si="2"/>
        <v>-11914.605240327568</v>
      </c>
      <c r="F32" s="52">
        <f t="shared" si="2"/>
        <v>-9545.011773598977</v>
      </c>
      <c r="G32" s="52">
        <f t="shared" si="2"/>
        <v>-11639.566929583229</v>
      </c>
      <c r="H32" s="52">
        <f t="shared" si="2"/>
        <v>-12886.958110806525</v>
      </c>
      <c r="I32" s="52">
        <f t="shared" si="2"/>
        <v>-14186.976662066303</v>
      </c>
      <c r="J32" s="52">
        <f t="shared" si="2"/>
        <v>-15528.526524133038</v>
      </c>
    </row>
    <row r="35" spans="1:10" x14ac:dyDescent="0.25">
      <c r="A35" s="13" t="s">
        <v>222</v>
      </c>
      <c r="B35" s="99">
        <f t="shared" ref="B35:J35" si="3">B11+B18+B32</f>
        <v>11311.95385352328</v>
      </c>
      <c r="C35" s="99">
        <f t="shared" si="3"/>
        <v>12428.183590022565</v>
      </c>
      <c r="D35" s="99">
        <f t="shared" si="3"/>
        <v>13815.351255575217</v>
      </c>
      <c r="E35" s="99">
        <f t="shared" si="3"/>
        <v>18048.368919604316</v>
      </c>
      <c r="F35" s="99">
        <f t="shared" si="3"/>
        <v>21699.821696962652</v>
      </c>
      <c r="G35" s="99">
        <f t="shared" si="3"/>
        <v>20201.788624385073</v>
      </c>
      <c r="H35" s="99">
        <f t="shared" si="3"/>
        <v>20396.926951374269</v>
      </c>
      <c r="I35" s="99">
        <f t="shared" si="3"/>
        <v>20597.090093649142</v>
      </c>
      <c r="J35" s="99">
        <f t="shared" si="3"/>
        <v>20798.846598513261</v>
      </c>
    </row>
    <row r="37" spans="1:10" x14ac:dyDescent="0.25">
      <c r="A37" t="s">
        <v>223</v>
      </c>
      <c r="B37" s="99">
        <f>'Exxon Balance Sheet'!F9+'Exxon Cash Flow'!B35</f>
        <v>14488.95385352328</v>
      </c>
      <c r="C37" s="98">
        <f>B38+C35</f>
        <v>35918.223443545852</v>
      </c>
      <c r="D37" s="98">
        <f t="shared" ref="D37:J37" si="4">C38+D35</f>
        <v>28875.280759121051</v>
      </c>
      <c r="E37" s="98">
        <f t="shared" si="4"/>
        <v>25845.00533532527</v>
      </c>
      <c r="F37" s="98">
        <f t="shared" si="4"/>
        <v>26243.43553033406</v>
      </c>
      <c r="G37" s="98">
        <f t="shared" si="4"/>
        <v>24918.662169427891</v>
      </c>
      <c r="H37" s="98">
        <f t="shared" si="4"/>
        <v>25290.838648044613</v>
      </c>
      <c r="I37" s="98">
        <f t="shared" si="4"/>
        <v>25667.668949205101</v>
      </c>
      <c r="J37" s="98">
        <f t="shared" si="4"/>
        <v>26048.93348785102</v>
      </c>
    </row>
    <row r="38" spans="1:10" x14ac:dyDescent="0.25">
      <c r="A38" t="s">
        <v>224</v>
      </c>
      <c r="B38" s="84">
        <f>'Exxon Balance Sheet'!G8+'Exxon Balance Sheet'!G9</f>
        <v>23490.039853523289</v>
      </c>
      <c r="C38" s="84">
        <f>'Exxon Balance Sheet'!H8+'Exxon Balance Sheet'!H9</f>
        <v>15059.929503545834</v>
      </c>
      <c r="D38" s="84">
        <f>'Exxon Balance Sheet'!I8+'Exxon Balance Sheet'!I9</f>
        <v>7796.6364157209546</v>
      </c>
      <c r="E38" s="84">
        <f>'Exxon Balance Sheet'!J8+'Exxon Balance Sheet'!J9</f>
        <v>4543.6138333714089</v>
      </c>
      <c r="F38" s="84">
        <f>'Exxon Balance Sheet'!K8+'Exxon Balance Sheet'!K9</f>
        <v>4716.8735450428176</v>
      </c>
      <c r="G38" s="84">
        <f>'Exxon Balance Sheet'!L8+'Exxon Balance Sheet'!L9</f>
        <v>4893.9116966703459</v>
      </c>
      <c r="H38" s="84">
        <f>'Exxon Balance Sheet'!M8+'Exxon Balance Sheet'!M9</f>
        <v>5070.5788555559584</v>
      </c>
      <c r="I38" s="84">
        <f>'Exxon Balance Sheet'!N8+'Exxon Balance Sheet'!N9</f>
        <v>5250.0868893377583</v>
      </c>
      <c r="J38" s="84">
        <f>'Exxon Balance Sheet'!O8+'Exxon Balance Sheet'!O9</f>
        <v>5432.2023478480533</v>
      </c>
    </row>
    <row r="39" spans="1:10" x14ac:dyDescent="0.25">
      <c r="A39" t="s">
        <v>225</v>
      </c>
      <c r="B39" s="99">
        <f>B37-B38</f>
        <v>-9001.0860000000084</v>
      </c>
      <c r="C39" s="99">
        <f t="shared" ref="C39:J39" si="5">C37-C38</f>
        <v>20858.293940000018</v>
      </c>
      <c r="D39" s="99">
        <f t="shared" si="5"/>
        <v>21078.644343400098</v>
      </c>
      <c r="E39" s="99">
        <f t="shared" si="5"/>
        <v>21301.391501953862</v>
      </c>
      <c r="F39" s="99">
        <f t="shared" si="5"/>
        <v>21526.561985291242</v>
      </c>
      <c r="G39" s="99">
        <f t="shared" si="5"/>
        <v>20024.750472757543</v>
      </c>
      <c r="H39" s="99">
        <f t="shared" si="5"/>
        <v>20220.259792488654</v>
      </c>
      <c r="I39" s="99">
        <f t="shared" si="5"/>
        <v>20417.582059867342</v>
      </c>
      <c r="J39" s="99">
        <f t="shared" si="5"/>
        <v>20616.731140002965</v>
      </c>
    </row>
  </sheetData>
  <mergeCells count="1">
    <mergeCell ref="E1:J1"/>
  </mergeCells>
  <hyperlinks>
    <hyperlink ref="A2" location="'Home Page'!A1" display="Home Page" xr:uid="{0FE77E52-7C15-4647-A92F-5BD4519603C3}"/>
    <hyperlink ref="E2" location="'Exxon Income Statement'!A1" display="Exxon Income Statement" xr:uid="{EF64A5DB-7072-4D7C-81A4-3E0EB576A7B4}"/>
    <hyperlink ref="B2" location="Summary!A1" display="Summary" xr:uid="{D1958ADD-2B6C-4FDC-ACD6-0D2D1808A372}"/>
    <hyperlink ref="F2" location="'Exxon Balance Sheet'!A1" display="Exxon Balance Sheet" xr:uid="{AA931694-111E-4DD8-89DC-E89B0C8A2BC9}"/>
    <hyperlink ref="D2" location="'DCF Valuation'!A1" display="DCF Valuation" xr:uid="{BEA0F661-D1D4-4762-B044-A9B484974732}"/>
    <hyperlink ref="C2" location="'Critical Inputs'!A1" display="Critical Inputs" xr:uid="{5B0A6E17-1EBE-4E6B-89E2-14F5951FF5A9}"/>
  </hyperlink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38913" r:id="rId3" name="Button 1">
              <controlPr defaultSize="0" print="0" autoFill="0" autoPict="0" macro="[0]!Plug">
                <anchor moveWithCells="1" sizeWithCells="1">
                  <from>
                    <xdr:col>6</xdr:col>
                    <xdr:colOff>161925</xdr:colOff>
                    <xdr:row>1</xdr:row>
                    <xdr:rowOff>19050</xdr:rowOff>
                  </from>
                  <to>
                    <xdr:col>9</xdr:col>
                    <xdr:colOff>733425</xdr:colOff>
                    <xdr:row>2</xdr:row>
                    <xdr:rowOff>85725</xdr:rowOff>
                  </to>
                </anchor>
              </controlPr>
            </control>
          </mc:Choice>
        </mc:AlternateContent>
      </controls>
    </mc:Choice>
  </mc:AlternateConten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tabColor theme="5" tint="0.59999389629810485"/>
  </sheetPr>
  <dimension ref="A1:O22"/>
  <sheetViews>
    <sheetView workbookViewId="0">
      <selection activeCell="B4" sqref="B4:O4"/>
    </sheetView>
  </sheetViews>
  <sheetFormatPr defaultRowHeight="15" x14ac:dyDescent="0.25"/>
  <cols>
    <col min="1" max="1" width="29.85546875" customWidth="1"/>
    <col min="2" max="15" width="12.28515625" customWidth="1"/>
  </cols>
  <sheetData>
    <row r="1" spans="1:15" ht="30" customHeight="1" x14ac:dyDescent="0.45">
      <c r="A1" s="220" t="s">
        <v>235</v>
      </c>
      <c r="B1" s="241"/>
      <c r="C1" s="241"/>
      <c r="D1" s="241"/>
      <c r="E1" s="241"/>
      <c r="F1" s="241"/>
      <c r="G1" s="241"/>
      <c r="H1" s="241"/>
      <c r="I1" s="241"/>
      <c r="J1" s="279" t="str">
        <f>Rebalance_check</f>
        <v>Balance Sheet is Balanced</v>
      </c>
      <c r="K1" s="279"/>
      <c r="L1" s="279"/>
      <c r="M1" s="279"/>
      <c r="N1" s="279"/>
      <c r="O1" s="279"/>
    </row>
    <row r="2" spans="1:15" ht="36.75" customHeight="1" x14ac:dyDescent="0.25">
      <c r="A2" s="227" t="s">
        <v>271</v>
      </c>
      <c r="B2" s="227" t="s">
        <v>272</v>
      </c>
      <c r="C2" s="228" t="s">
        <v>273</v>
      </c>
      <c r="D2" s="228" t="s">
        <v>319</v>
      </c>
      <c r="E2" s="228" t="s">
        <v>321</v>
      </c>
      <c r="F2" s="228" t="s">
        <v>278</v>
      </c>
      <c r="G2" s="228" t="s">
        <v>279</v>
      </c>
      <c r="H2" s="228" t="s">
        <v>280</v>
      </c>
      <c r="I2" s="228" t="s">
        <v>281</v>
      </c>
      <c r="J2" s="228" t="s">
        <v>282</v>
      </c>
      <c r="M2" s="217"/>
    </row>
    <row r="3" spans="1:15" ht="37.5" x14ac:dyDescent="0.25">
      <c r="A3" s="29" t="s">
        <v>236</v>
      </c>
      <c r="B3" s="278" t="s">
        <v>74</v>
      </c>
      <c r="C3" s="278"/>
      <c r="D3" s="278"/>
      <c r="E3" s="278"/>
      <c r="F3" s="278"/>
      <c r="G3" s="272" t="s">
        <v>75</v>
      </c>
      <c r="H3" s="272"/>
      <c r="I3" s="272"/>
      <c r="J3" s="272"/>
      <c r="K3" s="272"/>
      <c r="L3" s="272"/>
      <c r="M3" s="272"/>
      <c r="N3" s="272"/>
      <c r="O3" s="272"/>
    </row>
    <row r="4" spans="1:15" x14ac:dyDescent="0.25">
      <c r="B4" s="58">
        <v>2013</v>
      </c>
      <c r="C4" s="58">
        <v>2014</v>
      </c>
      <c r="D4" s="59">
        <v>2015</v>
      </c>
      <c r="E4" s="59">
        <v>2016</v>
      </c>
      <c r="F4" s="59">
        <v>2017</v>
      </c>
      <c r="G4" s="6">
        <v>2018</v>
      </c>
      <c r="H4" s="6">
        <v>2019</v>
      </c>
      <c r="I4" s="6">
        <v>2020</v>
      </c>
      <c r="J4" s="6">
        <v>2021</v>
      </c>
      <c r="K4" s="6">
        <v>2022</v>
      </c>
      <c r="L4" s="6">
        <v>2023</v>
      </c>
      <c r="M4" s="6">
        <v>2024</v>
      </c>
      <c r="N4" s="6">
        <v>2025</v>
      </c>
      <c r="O4" s="6">
        <v>2026</v>
      </c>
    </row>
    <row r="5" spans="1:15" ht="21" x14ac:dyDescent="0.35">
      <c r="A5" s="136" t="s">
        <v>68</v>
      </c>
      <c r="B5" s="107"/>
      <c r="C5" s="137"/>
      <c r="D5" s="137"/>
      <c r="E5" s="137"/>
      <c r="F5" s="137"/>
      <c r="G5" s="138"/>
      <c r="H5" s="138"/>
      <c r="I5" s="138"/>
      <c r="J5" s="138"/>
      <c r="K5" s="138"/>
      <c r="L5" s="138"/>
      <c r="M5" s="138"/>
      <c r="N5" s="138"/>
      <c r="O5" s="138"/>
    </row>
    <row r="6" spans="1:15" x14ac:dyDescent="0.25">
      <c r="A6" s="46" t="s">
        <v>71</v>
      </c>
      <c r="B6" s="234">
        <v>13711</v>
      </c>
      <c r="C6" s="234">
        <v>14825</v>
      </c>
      <c r="D6" s="234">
        <v>8241</v>
      </c>
      <c r="E6" s="234">
        <v>7552</v>
      </c>
      <c r="F6" s="234">
        <v>9349</v>
      </c>
      <c r="G6" s="53">
        <f>F6*(1+Vectors!B16)</f>
        <v>10096.92</v>
      </c>
      <c r="H6" s="53">
        <f>G6*(1+Vectors!C16)</f>
        <v>10803.704400000001</v>
      </c>
      <c r="I6" s="53">
        <f>H6*(1+Vectors!D16)</f>
        <v>11451.926664000001</v>
      </c>
      <c r="J6" s="53">
        <f>I6*(1+Vectors!E16)</f>
        <v>12024.522997200002</v>
      </c>
      <c r="K6" s="53">
        <f>J6*(1+Vectors!F16)</f>
        <v>12625.749147060002</v>
      </c>
      <c r="L6" s="53">
        <f>K6*(1+Vectors!G16)</f>
        <v>13257.036604413002</v>
      </c>
      <c r="M6" s="53">
        <f>L6*(1+Vectors!H16)</f>
        <v>13919.888434633653</v>
      </c>
      <c r="N6" s="53">
        <f>M6*(1+Vectors!I16)</f>
        <v>14615.882856365335</v>
      </c>
      <c r="O6" s="53">
        <f>N6*(1+Vectors!J16)</f>
        <v>15346.676999183603</v>
      </c>
    </row>
    <row r="7" spans="1:15" x14ac:dyDescent="0.25">
      <c r="A7" s="46" t="s">
        <v>72</v>
      </c>
      <c r="B7" s="235">
        <v>25348</v>
      </c>
      <c r="C7" s="235">
        <v>22335</v>
      </c>
      <c r="D7" s="235">
        <v>15812</v>
      </c>
      <c r="E7" s="236">
        <v>12628</v>
      </c>
      <c r="F7" s="236">
        <v>14508</v>
      </c>
      <c r="G7" s="47">
        <f>F7*(1+Vectors!B17)</f>
        <v>15958.800000000001</v>
      </c>
      <c r="H7" s="47">
        <f>G7*(1+Vectors!C17)</f>
        <v>17554.680000000004</v>
      </c>
      <c r="I7" s="47">
        <f>H7*(1+Vectors!D17)</f>
        <v>19134.601200000005</v>
      </c>
      <c r="J7" s="47">
        <f>I7*(1+Vectors!E17)</f>
        <v>20665.369296000008</v>
      </c>
      <c r="K7" s="47">
        <f>J7*(1+Vectors!F17)</f>
        <v>22111.945146720009</v>
      </c>
      <c r="L7" s="47">
        <f>K7*(1+Vectors!G17)</f>
        <v>23438.661855523209</v>
      </c>
      <c r="M7" s="47">
        <f>L7*(1+Vectors!H17)</f>
        <v>24610.594948299371</v>
      </c>
      <c r="N7" s="47">
        <f>M7*(1+Vectors!I17)</f>
        <v>25595.018746231348</v>
      </c>
      <c r="O7" s="47">
        <f>N7*(1+Vectors!J17)</f>
        <v>26362.86930861829</v>
      </c>
    </row>
    <row r="8" spans="1:15" x14ac:dyDescent="0.25">
      <c r="A8" s="139" t="s">
        <v>73</v>
      </c>
      <c r="B8" s="140">
        <f>SUM(B6:B7)</f>
        <v>39059</v>
      </c>
      <c r="C8" s="140">
        <f t="shared" ref="C8:F8" si="0">SUM(C6:C7)</f>
        <v>37160</v>
      </c>
      <c r="D8" s="140">
        <f t="shared" si="0"/>
        <v>24053</v>
      </c>
      <c r="E8" s="140">
        <f t="shared" si="0"/>
        <v>20180</v>
      </c>
      <c r="F8" s="140">
        <f t="shared" si="0"/>
        <v>23857</v>
      </c>
      <c r="G8" s="141">
        <f t="shared" ref="G8" si="1">SUM(G6:G7)</f>
        <v>26055.72</v>
      </c>
      <c r="H8" s="141">
        <f t="shared" ref="H8" si="2">SUM(H6:H7)</f>
        <v>28358.384400000003</v>
      </c>
      <c r="I8" s="141">
        <f t="shared" ref="I8" si="3">SUM(I6:I7)</f>
        <v>30586.527864000003</v>
      </c>
      <c r="J8" s="141">
        <f t="shared" ref="J8" si="4">SUM(J6:J7)</f>
        <v>32689.89229320001</v>
      </c>
      <c r="K8" s="141">
        <f t="shared" ref="K8" si="5">SUM(K6:K7)</f>
        <v>34737.694293780012</v>
      </c>
      <c r="L8" s="141">
        <f t="shared" ref="L8" si="6">SUM(L6:L7)</f>
        <v>36695.698459936211</v>
      </c>
      <c r="M8" s="141">
        <f t="shared" ref="M8" si="7">SUM(M6:M7)</f>
        <v>38530.483382933024</v>
      </c>
      <c r="N8" s="141">
        <f t="shared" ref="N8" si="8">SUM(N6:N7)</f>
        <v>40210.901602596685</v>
      </c>
      <c r="O8" s="141">
        <f t="shared" ref="O8" si="9">SUM(O6:O7)</f>
        <v>41709.546307801895</v>
      </c>
    </row>
    <row r="9" spans="1:15" x14ac:dyDescent="0.25">
      <c r="B9" s="135"/>
      <c r="C9" s="135"/>
      <c r="D9" s="135"/>
      <c r="E9" s="135"/>
      <c r="F9" s="135"/>
      <c r="G9" s="47"/>
      <c r="H9" s="47"/>
      <c r="I9" s="47"/>
      <c r="J9" s="47"/>
      <c r="K9" s="47"/>
      <c r="L9" s="47"/>
      <c r="M9" s="47"/>
      <c r="N9" s="47"/>
      <c r="O9" s="47"/>
    </row>
    <row r="10" spans="1:15" ht="21" x14ac:dyDescent="0.35">
      <c r="A10" s="136" t="s">
        <v>69</v>
      </c>
      <c r="B10" s="107"/>
      <c r="C10" s="137"/>
      <c r="D10" s="137"/>
      <c r="E10" s="137"/>
      <c r="F10" s="137"/>
      <c r="G10" s="138"/>
      <c r="H10" s="138"/>
      <c r="I10" s="138"/>
      <c r="J10" s="138"/>
      <c r="K10" s="138"/>
      <c r="L10" s="138"/>
      <c r="M10" s="138"/>
      <c r="N10" s="138"/>
      <c r="O10" s="138"/>
    </row>
    <row r="11" spans="1:15" x14ac:dyDescent="0.25">
      <c r="A11" s="46" t="s">
        <v>71</v>
      </c>
      <c r="B11" s="234">
        <v>123802</v>
      </c>
      <c r="C11" s="234">
        <v>118770</v>
      </c>
      <c r="D11" s="234">
        <v>73063</v>
      </c>
      <c r="E11" s="234">
        <v>55984</v>
      </c>
      <c r="F11" s="234">
        <v>61695</v>
      </c>
      <c r="G11" s="47">
        <f>F11*(1+Vectors!B19)</f>
        <v>65396.700000000004</v>
      </c>
      <c r="H11" s="47">
        <f>G11*(1+Vectors!C19)</f>
        <v>69320.502000000008</v>
      </c>
      <c r="I11" s="47">
        <f>H11*(1+Vectors!D19)</f>
        <v>72786.527100000007</v>
      </c>
      <c r="J11" s="47">
        <f>I11*(1+Vectors!E19)</f>
        <v>75697.988184000016</v>
      </c>
      <c r="K11" s="47">
        <f>J11*(1+Vectors!F19)</f>
        <v>78725.907711360021</v>
      </c>
      <c r="L11" s="47">
        <f>K11*(1+Vectors!G19)</f>
        <v>81874.944019814429</v>
      </c>
      <c r="M11" s="47">
        <f>L11*(1+Vectors!H19)</f>
        <v>85149.941780607012</v>
      </c>
      <c r="N11" s="47">
        <f>M11*(1+Vectors!I19)</f>
        <v>88555.939451831291</v>
      </c>
      <c r="O11" s="47">
        <f>N11*(1+Vectors!J19)</f>
        <v>92098.177029904546</v>
      </c>
    </row>
    <row r="12" spans="1:15" x14ac:dyDescent="0.25">
      <c r="A12" s="46" t="s">
        <v>72</v>
      </c>
      <c r="B12" s="235">
        <v>218905</v>
      </c>
      <c r="C12" s="235">
        <v>199975</v>
      </c>
      <c r="D12" s="235">
        <v>134230</v>
      </c>
      <c r="E12" s="236">
        <v>116365</v>
      </c>
      <c r="F12" s="236">
        <v>122881</v>
      </c>
      <c r="G12" s="47">
        <f>F12*(1+Vectors!B20)</f>
        <v>131482.67000000001</v>
      </c>
      <c r="H12" s="47">
        <f>G12*(1+Vectors!C20)</f>
        <v>139371.63020000001</v>
      </c>
      <c r="I12" s="47">
        <f>H12*(1+Vectors!D20)</f>
        <v>146340.21171000003</v>
      </c>
      <c r="J12" s="47">
        <f>I12*(1+Vectors!E20)</f>
        <v>152193.82017840003</v>
      </c>
      <c r="K12" s="47">
        <f>J12*(1+Vectors!F20)</f>
        <v>156759.63478375203</v>
      </c>
      <c r="L12" s="47">
        <f>K12*(1+Vectors!G20)</f>
        <v>161462.4238272646</v>
      </c>
      <c r="M12" s="47">
        <f>L12*(1+Vectors!H20)</f>
        <v>166306.29654208253</v>
      </c>
      <c r="N12" s="47">
        <f>M12*(1+Vectors!I20)</f>
        <v>171295.48543834503</v>
      </c>
      <c r="O12" s="47">
        <f>N12*(1+Vectors!J20)</f>
        <v>176434.35000149539</v>
      </c>
    </row>
    <row r="13" spans="1:15" x14ac:dyDescent="0.25">
      <c r="A13" s="139" t="s">
        <v>73</v>
      </c>
      <c r="B13" s="140">
        <f>SUM(B11:B12)</f>
        <v>342707</v>
      </c>
      <c r="C13" s="140">
        <f t="shared" ref="C13:O13" si="10">SUM(C11:C12)</f>
        <v>318745</v>
      </c>
      <c r="D13" s="140">
        <f t="shared" si="10"/>
        <v>207293</v>
      </c>
      <c r="E13" s="140">
        <f t="shared" si="10"/>
        <v>172349</v>
      </c>
      <c r="F13" s="140">
        <f t="shared" si="10"/>
        <v>184576</v>
      </c>
      <c r="G13" s="141">
        <f t="shared" si="10"/>
        <v>196879.37000000002</v>
      </c>
      <c r="H13" s="141">
        <f t="shared" si="10"/>
        <v>208692.13220000002</v>
      </c>
      <c r="I13" s="141">
        <f t="shared" si="10"/>
        <v>219126.73881000004</v>
      </c>
      <c r="J13" s="141">
        <f t="shared" si="10"/>
        <v>227891.80836240004</v>
      </c>
      <c r="K13" s="141">
        <f t="shared" si="10"/>
        <v>235485.54249511205</v>
      </c>
      <c r="L13" s="141">
        <f t="shared" si="10"/>
        <v>243337.36784707903</v>
      </c>
      <c r="M13" s="141">
        <f t="shared" si="10"/>
        <v>251456.23832268955</v>
      </c>
      <c r="N13" s="141">
        <f t="shared" si="10"/>
        <v>259851.42489017633</v>
      </c>
      <c r="O13" s="141">
        <f t="shared" si="10"/>
        <v>268532.52703139995</v>
      </c>
    </row>
    <row r="14" spans="1:15" x14ac:dyDescent="0.25">
      <c r="B14" s="135"/>
      <c r="C14" s="135"/>
      <c r="D14" s="135"/>
      <c r="E14" s="135"/>
      <c r="F14" s="135"/>
      <c r="G14" s="47"/>
      <c r="H14" s="47"/>
      <c r="I14" s="47"/>
      <c r="J14" s="47"/>
      <c r="K14" s="47"/>
      <c r="L14" s="47"/>
      <c r="M14" s="47"/>
      <c r="N14" s="47"/>
      <c r="O14" s="47"/>
    </row>
    <row r="15" spans="1:15" ht="21" x14ac:dyDescent="0.35">
      <c r="A15" s="136" t="s">
        <v>70</v>
      </c>
      <c r="B15" s="107"/>
      <c r="C15" s="137"/>
      <c r="D15" s="137"/>
      <c r="E15" s="137"/>
      <c r="F15" s="137"/>
      <c r="G15" s="138"/>
      <c r="H15" s="138"/>
      <c r="I15" s="138"/>
      <c r="J15" s="138"/>
      <c r="K15" s="138"/>
      <c r="L15" s="138"/>
      <c r="M15" s="138"/>
      <c r="N15" s="138"/>
      <c r="O15" s="138"/>
    </row>
    <row r="16" spans="1:15" x14ac:dyDescent="0.25">
      <c r="A16" s="46" t="s">
        <v>71</v>
      </c>
      <c r="B16" s="234">
        <v>15296</v>
      </c>
      <c r="C16" s="234">
        <v>15116</v>
      </c>
      <c r="D16" s="234">
        <v>10880</v>
      </c>
      <c r="E16" s="234">
        <v>9945</v>
      </c>
      <c r="F16" s="234">
        <v>11035</v>
      </c>
      <c r="G16" s="47">
        <f>F16*(1+Vectors!B22)</f>
        <v>11697.1</v>
      </c>
      <c r="H16" s="47">
        <f>G16*(1+Vectors!C22)</f>
        <v>12398.926000000001</v>
      </c>
      <c r="I16" s="47">
        <f>H16*(1+Vectors!D22)</f>
        <v>13018.872300000003</v>
      </c>
      <c r="J16" s="47">
        <f>I16*(1+Vectors!E22)</f>
        <v>13669.815915000003</v>
      </c>
      <c r="K16" s="47">
        <f>J16*(1+Vectors!F22)</f>
        <v>14216.608551600004</v>
      </c>
      <c r="L16" s="47">
        <f>K16*(1+Vectors!G22)</f>
        <v>14785.272893664005</v>
      </c>
      <c r="M16" s="47">
        <f>L16*(1+Vectors!H22)</f>
        <v>15376.683809410566</v>
      </c>
      <c r="N16" s="47">
        <f>M16*(1+Vectors!I22)</f>
        <v>15991.75116178699</v>
      </c>
      <c r="O16" s="47">
        <f>N16*(1+Vectors!J22)</f>
        <v>16631.421208258471</v>
      </c>
    </row>
    <row r="17" spans="1:15" x14ac:dyDescent="0.25">
      <c r="A17" s="46" t="s">
        <v>72</v>
      </c>
      <c r="B17" s="235">
        <v>23754</v>
      </c>
      <c r="C17" s="235">
        <v>23064</v>
      </c>
      <c r="D17" s="235">
        <v>17254</v>
      </c>
      <c r="E17" s="236">
        <v>16113</v>
      </c>
      <c r="F17" s="236">
        <v>17659</v>
      </c>
      <c r="G17" s="47">
        <f>F17*(1+Vectors!B23)</f>
        <v>18895.13</v>
      </c>
      <c r="H17" s="47">
        <f>G17*(1+Vectors!C23)</f>
        <v>20217.789100000002</v>
      </c>
      <c r="I17" s="47">
        <f>H17*(1+Vectors!D23)</f>
        <v>21430.856446000002</v>
      </c>
      <c r="J17" s="47">
        <f>I17*(1+Vectors!E23)</f>
        <v>22716.707832760003</v>
      </c>
      <c r="K17" s="47">
        <f>J17*(1+Vectors!F23)</f>
        <v>23852.543224398003</v>
      </c>
      <c r="L17" s="47">
        <f>K17*(1+Vectors!G23)</f>
        <v>25045.170385617905</v>
      </c>
      <c r="M17" s="47">
        <f>L17*(1+Vectors!H23)</f>
        <v>26046.97720104262</v>
      </c>
      <c r="N17" s="47">
        <f>M17*(1+Vectors!I23)</f>
        <v>27088.856289084328</v>
      </c>
      <c r="O17" s="47">
        <f>N17*(1+Vectors!J23)</f>
        <v>28172.410540647703</v>
      </c>
    </row>
    <row r="18" spans="1:15" x14ac:dyDescent="0.25">
      <c r="A18" s="139" t="s">
        <v>73</v>
      </c>
      <c r="B18" s="140">
        <f>SUM(B16:B17)</f>
        <v>39050</v>
      </c>
      <c r="C18" s="140">
        <f t="shared" ref="C18:O18" si="11">SUM(C16:C17)</f>
        <v>38180</v>
      </c>
      <c r="D18" s="140">
        <f t="shared" si="11"/>
        <v>28134</v>
      </c>
      <c r="E18" s="140">
        <f t="shared" si="11"/>
        <v>26058</v>
      </c>
      <c r="F18" s="140">
        <f t="shared" si="11"/>
        <v>28694</v>
      </c>
      <c r="G18" s="141">
        <f t="shared" si="11"/>
        <v>30592.230000000003</v>
      </c>
      <c r="H18" s="141">
        <f t="shared" si="11"/>
        <v>32616.715100000001</v>
      </c>
      <c r="I18" s="141">
        <f t="shared" si="11"/>
        <v>34449.728746000008</v>
      </c>
      <c r="J18" s="141">
        <f t="shared" si="11"/>
        <v>36386.523747760002</v>
      </c>
      <c r="K18" s="141">
        <f t="shared" si="11"/>
        <v>38069.151775998005</v>
      </c>
      <c r="L18" s="141">
        <f t="shared" si="11"/>
        <v>39830.443279281913</v>
      </c>
      <c r="M18" s="141">
        <f t="shared" si="11"/>
        <v>41423.661010453186</v>
      </c>
      <c r="N18" s="141">
        <f t="shared" si="11"/>
        <v>43080.607450871321</v>
      </c>
      <c r="O18" s="141">
        <f t="shared" si="11"/>
        <v>44803.831748906174</v>
      </c>
    </row>
    <row r="19" spans="1:15" x14ac:dyDescent="0.25">
      <c r="B19" s="133"/>
      <c r="C19" s="133"/>
      <c r="D19" s="133"/>
      <c r="E19" s="133"/>
      <c r="F19" s="133"/>
      <c r="G19" s="47"/>
      <c r="H19" s="47"/>
      <c r="I19" s="47"/>
      <c r="J19" s="47"/>
      <c r="K19" s="47"/>
      <c r="L19" s="47"/>
      <c r="M19" s="47"/>
      <c r="N19" s="47"/>
      <c r="O19" s="47"/>
    </row>
    <row r="20" spans="1:15" x14ac:dyDescent="0.25">
      <c r="A20" t="s">
        <v>85</v>
      </c>
      <c r="B20" s="134">
        <v>21</v>
      </c>
      <c r="C20" s="134">
        <v>18</v>
      </c>
      <c r="D20" s="134">
        <v>8</v>
      </c>
      <c r="E20" s="134">
        <v>21</v>
      </c>
      <c r="F20" s="134">
        <v>35</v>
      </c>
      <c r="G20" s="47">
        <v>0</v>
      </c>
      <c r="H20" s="47">
        <v>0</v>
      </c>
      <c r="I20" s="47">
        <v>0</v>
      </c>
      <c r="J20" s="47">
        <v>0</v>
      </c>
      <c r="K20" s="47">
        <v>0</v>
      </c>
      <c r="L20" s="47">
        <v>0</v>
      </c>
      <c r="M20" s="47">
        <v>0</v>
      </c>
      <c r="N20" s="47">
        <v>0</v>
      </c>
      <c r="O20" s="47">
        <v>0</v>
      </c>
    </row>
    <row r="21" spans="1:15" x14ac:dyDescent="0.25">
      <c r="B21" s="133"/>
      <c r="C21" s="133"/>
      <c r="D21" s="133"/>
      <c r="E21" s="133"/>
      <c r="F21" s="133"/>
      <c r="G21" s="48"/>
      <c r="H21" s="48"/>
      <c r="I21" s="48"/>
      <c r="J21" s="48"/>
      <c r="K21" s="48"/>
      <c r="L21" s="48"/>
      <c r="M21" s="48"/>
      <c r="N21" s="48"/>
      <c r="O21" s="48"/>
    </row>
    <row r="22" spans="1:15" ht="24" thickBot="1" x14ac:dyDescent="0.4">
      <c r="A22" s="142" t="s">
        <v>86</v>
      </c>
      <c r="B22" s="143">
        <f t="shared" ref="B22:O22" si="12">SUM(B8,B13,B18,B20)</f>
        <v>420837</v>
      </c>
      <c r="C22" s="143">
        <f t="shared" si="12"/>
        <v>394103</v>
      </c>
      <c r="D22" s="143">
        <f t="shared" si="12"/>
        <v>259488</v>
      </c>
      <c r="E22" s="143">
        <f t="shared" si="12"/>
        <v>218608</v>
      </c>
      <c r="F22" s="143">
        <f t="shared" si="12"/>
        <v>237162</v>
      </c>
      <c r="G22" s="144">
        <f t="shared" si="12"/>
        <v>253527.32000000004</v>
      </c>
      <c r="H22" s="144">
        <f t="shared" si="12"/>
        <v>269667.2317</v>
      </c>
      <c r="I22" s="144">
        <f t="shared" si="12"/>
        <v>284162.99542000005</v>
      </c>
      <c r="J22" s="144">
        <f t="shared" si="12"/>
        <v>296968.22440336004</v>
      </c>
      <c r="K22" s="144">
        <f t="shared" si="12"/>
        <v>308292.38856489008</v>
      </c>
      <c r="L22" s="144">
        <f t="shared" si="12"/>
        <v>319863.50958629715</v>
      </c>
      <c r="M22" s="144">
        <f t="shared" si="12"/>
        <v>331410.38271607575</v>
      </c>
      <c r="N22" s="144">
        <f t="shared" si="12"/>
        <v>343142.93394364434</v>
      </c>
      <c r="O22" s="144">
        <f t="shared" si="12"/>
        <v>355045.90508810803</v>
      </c>
    </row>
  </sheetData>
  <mergeCells count="3">
    <mergeCell ref="B3:F3"/>
    <mergeCell ref="G3:O3"/>
    <mergeCell ref="J1:O1"/>
  </mergeCells>
  <hyperlinks>
    <hyperlink ref="A2" location="'Home Page'!A1" display="Home Page" xr:uid="{1446CF0F-D554-413B-B079-A50DAC3C01D7}"/>
    <hyperlink ref="D2" location="'Exxon Income Statement'!A1" display="Exxon Income Statement" xr:uid="{5EE003D2-82EE-4418-812A-B072465C047F}"/>
    <hyperlink ref="B2" location="Summary!A1" display="Summary" xr:uid="{4541AE21-79F0-4A8B-A9C8-222B5FCD9CB9}"/>
    <hyperlink ref="E2" location="'Exxon Cash Flow'!A1" display="Exxon Cash Flow" xr:uid="{1FBB25C1-038A-4942-9601-6ACF0C427C9F}"/>
    <hyperlink ref="C2" location="'Critical Inputs'!A1" display="Critical Inputs" xr:uid="{3C5F8341-59E4-46F7-9B4E-04C09AC6DEEC}"/>
    <hyperlink ref="F2" location="'Segment Projections'!A1" display="Segment Projections" xr:uid="{69BF89BB-4781-475D-BCB8-0F66E3B4960E}"/>
    <hyperlink ref="G2" location="'Net Working Capital'!A1" display="Net Working Capital" xr:uid="{673972CE-CD36-4E8A-A20B-58B7161F4902}"/>
    <hyperlink ref="H2" location="'PP&amp;E'!A1" display="PP&amp;E" xr:uid="{CA1B6A48-0AFF-44EB-8029-03623ACF5B89}"/>
    <hyperlink ref="I2" location="'Long Term Debt'!A1" display="Long Term Debt" xr:uid="{BF501808-E80C-4FED-9354-5BB11FC6D864}"/>
    <hyperlink ref="J2" location="Vectors!A1" display="Vectors" xr:uid="{316381D8-FDB4-4D21-837C-DD37A73E8811}"/>
  </hyperlinks>
  <pageMargins left="0.7" right="0.7" top="0.75" bottom="0.75" header="0.3" footer="0.3"/>
  <pageSetup orientation="portrait" horizontalDpi="300" verticalDpi="300" r:id="rId1"/>
  <drawing r:id="rId2"/>
  <legacyDrawing r:id="rId3"/>
  <mc:AlternateContent xmlns:mc="http://schemas.openxmlformats.org/markup-compatibility/2006">
    <mc:Choice Requires="x14">
      <controls>
        <mc:AlternateContent xmlns:mc="http://schemas.openxmlformats.org/markup-compatibility/2006">
          <mc:Choice Requires="x14">
            <control shapeId="39938" r:id="rId4" name="Button 2">
              <controlPr defaultSize="0" print="0" autoFill="0" autoPict="0" macro="[0]!Plug">
                <anchor moveWithCells="1" sizeWithCells="1">
                  <from>
                    <xdr:col>10</xdr:col>
                    <xdr:colOff>257175</xdr:colOff>
                    <xdr:row>1</xdr:row>
                    <xdr:rowOff>28575</xdr:rowOff>
                  </from>
                  <to>
                    <xdr:col>14</xdr:col>
                    <xdr:colOff>209550</xdr:colOff>
                    <xdr:row>2</xdr:row>
                    <xdr:rowOff>0</xdr:rowOff>
                  </to>
                </anchor>
              </controlPr>
            </control>
          </mc:Choice>
        </mc:AlternateContent>
      </controls>
    </mc:Choice>
  </mc:AlternateConten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5" tint="0.59999389629810485"/>
  </sheetPr>
  <dimension ref="A1:M13"/>
  <sheetViews>
    <sheetView zoomScale="120" zoomScaleNormal="120" workbookViewId="0">
      <selection activeCell="H22" sqref="H22"/>
    </sheetView>
  </sheetViews>
  <sheetFormatPr defaultRowHeight="15" x14ac:dyDescent="0.25"/>
  <cols>
    <col min="1" max="1" width="67" bestFit="1" customWidth="1"/>
    <col min="2" max="10" width="12.140625" customWidth="1"/>
  </cols>
  <sheetData>
    <row r="1" spans="1:13" ht="28.5" x14ac:dyDescent="0.45">
      <c r="A1" s="220" t="s">
        <v>267</v>
      </c>
      <c r="B1" s="243"/>
      <c r="C1" s="243"/>
      <c r="D1" s="243"/>
      <c r="E1" s="243"/>
      <c r="F1" s="279" t="str">
        <f>Rebalance_check</f>
        <v>Balance Sheet is Balanced</v>
      </c>
      <c r="G1" s="279"/>
      <c r="H1" s="279"/>
      <c r="I1" s="279"/>
      <c r="J1" s="279"/>
    </row>
    <row r="2" spans="1:13" ht="30" x14ac:dyDescent="0.25">
      <c r="A2" s="227" t="s">
        <v>271</v>
      </c>
      <c r="B2" s="227" t="s">
        <v>272</v>
      </c>
      <c r="C2" s="228" t="s">
        <v>273</v>
      </c>
      <c r="D2" s="228" t="s">
        <v>320</v>
      </c>
      <c r="E2" s="228" t="s">
        <v>321</v>
      </c>
      <c r="F2" s="228" t="s">
        <v>278</v>
      </c>
      <c r="G2" s="228" t="s">
        <v>282</v>
      </c>
      <c r="J2" s="228"/>
      <c r="K2" s="228"/>
      <c r="M2" s="217"/>
    </row>
    <row r="3" spans="1:13" ht="15" customHeight="1" x14ac:dyDescent="0.25"/>
    <row r="4" spans="1:13" x14ac:dyDescent="0.25">
      <c r="A4" s="168" t="s">
        <v>22</v>
      </c>
      <c r="B4" s="164">
        <v>2018</v>
      </c>
      <c r="C4" s="164">
        <v>2019</v>
      </c>
      <c r="D4" s="164">
        <v>2020</v>
      </c>
      <c r="E4" s="164">
        <v>2021</v>
      </c>
      <c r="F4" s="164">
        <v>2022</v>
      </c>
      <c r="G4" s="164">
        <v>2023</v>
      </c>
      <c r="H4" s="164">
        <v>2024</v>
      </c>
      <c r="I4" s="164">
        <v>2025</v>
      </c>
      <c r="J4" s="164">
        <v>2026</v>
      </c>
    </row>
    <row r="5" spans="1:13" x14ac:dyDescent="0.25">
      <c r="A5" t="s">
        <v>210</v>
      </c>
      <c r="B5" s="84">
        <f>-('Exxon Balance Sheet'!G10-'Exxon Balance Sheet'!F10)</f>
        <v>-2742.4922082191806</v>
      </c>
      <c r="C5" s="84">
        <f>-('Exxon Balance Sheet'!H10-'Exxon Balance Sheet'!G10)</f>
        <v>-1804.1325955068423</v>
      </c>
      <c r="D5" s="84">
        <f>-('Exxon Balance Sheet'!I10-'Exxon Balance Sheet'!H10)</f>
        <v>-1620.3483829479555</v>
      </c>
      <c r="E5" s="84">
        <f>-('Exxon Balance Sheet'!J10-'Exxon Balance Sheet'!I10)</f>
        <v>-1431.3790206057201</v>
      </c>
      <c r="F5" s="84">
        <f>-('Exxon Balance Sheet'!K10-'Exxon Balance Sheet'!J10)</f>
        <v>-1265.8243775080118</v>
      </c>
      <c r="G5" s="84">
        <f>-('Exxon Balance Sheet'!L10-'Exxon Balance Sheet'!K10)</f>
        <v>-1293.429418283311</v>
      </c>
      <c r="H5" s="84">
        <f>-('Exxon Balance Sheet'!M10-'Exxon Balance Sheet'!L10)</f>
        <v>-1290.718969027308</v>
      </c>
      <c r="I5" s="84">
        <f>-('Exxon Balance Sheet'!N10-'Exxon Balance Sheet'!M10)</f>
        <v>-1311.4742194104037</v>
      </c>
      <c r="J5" s="84">
        <f>-('Exxon Balance Sheet'!O10-'Exxon Balance Sheet'!N10)</f>
        <v>-1330.5238977921108</v>
      </c>
    </row>
    <row r="6" spans="1:13" x14ac:dyDescent="0.25">
      <c r="A6" t="s">
        <v>213</v>
      </c>
      <c r="B6" s="84">
        <f>-('Exxon Balance Sheet'!G12-'Exxon Balance Sheet'!F12)</f>
        <v>-881.9888657534284</v>
      </c>
      <c r="C6" s="84">
        <f>-('Exxon Balance Sheet'!H12-'Exxon Balance Sheet'!G12)</f>
        <v>-875.53493605479161</v>
      </c>
      <c r="D6" s="84">
        <f>-('Exxon Balance Sheet'!I12-'Exxon Balance Sheet'!H12)</f>
        <v>-786.34553878356564</v>
      </c>
      <c r="E6" s="84">
        <f>-('Exxon Balance Sheet'!J12-'Exxon Balance Sheet'!I12)</f>
        <v>-694.63981882336338</v>
      </c>
      <c r="F6" s="84">
        <f>-('Exxon Balance Sheet'!K12-'Exxon Balance Sheet'!J12)</f>
        <v>-614.29712437888884</v>
      </c>
      <c r="G6" s="84">
        <f>-('Exxon Balance Sheet'!L12-'Exxon Balance Sheet'!K12)</f>
        <v>-627.69368828454753</v>
      </c>
      <c r="H6" s="84">
        <f>-('Exxon Balance Sheet'!M12-'Exxon Balance Sheet'!L12)</f>
        <v>-626.37832320442976</v>
      </c>
      <c r="I6" s="84">
        <f>-('Exxon Balance Sheet'!N12-'Exxon Balance Sheet'!M12)</f>
        <v>-636.45072412563968</v>
      </c>
      <c r="J6" s="84">
        <f>-('Exxon Balance Sheet'!O12-'Exxon Balance Sheet'!N12)</f>
        <v>-645.69542098734382</v>
      </c>
    </row>
    <row r="7" spans="1:13" x14ac:dyDescent="0.25">
      <c r="A7" t="s">
        <v>214</v>
      </c>
      <c r="B7" s="84">
        <f>-('Exxon Balance Sheet'!G13-'Exxon Balance Sheet'!F13)</f>
        <v>870.2935408219173</v>
      </c>
      <c r="C7" s="84">
        <f>-('Exxon Balance Sheet'!H13-'Exxon Balance Sheet'!G13)</f>
        <v>-206.94462124931488</v>
      </c>
      <c r="D7" s="84">
        <f>-('Exxon Balance Sheet'!I13-'Exxon Balance Sheet'!H13)</f>
        <v>-185.86349098520577</v>
      </c>
      <c r="E7" s="84">
        <f>-('Exxon Balance Sheet'!J13-'Exxon Balance Sheet'!I13)</f>
        <v>-164.18759354006761</v>
      </c>
      <c r="F7" s="84">
        <f>-('Exxon Balance Sheet'!K13-'Exxon Balance Sheet'!J13)</f>
        <v>-145.19750212591998</v>
      </c>
      <c r="G7" s="84">
        <f>-('Exxon Balance Sheet'!L13-'Exxon Balance Sheet'!K13)</f>
        <v>-148.36396268543831</v>
      </c>
      <c r="H7" s="84">
        <f>-('Exxon Balance Sheet'!M13-'Exxon Balance Sheet'!L13)</f>
        <v>-148.05305821195543</v>
      </c>
      <c r="I7" s="84">
        <f>-('Exxon Balance Sheet'!N13-'Exxon Balance Sheet'!M13)</f>
        <v>-150.43380752060602</v>
      </c>
      <c r="J7" s="84">
        <f>-('Exxon Balance Sheet'!O13-'Exxon Balance Sheet'!N13)</f>
        <v>-152.61891768791793</v>
      </c>
    </row>
    <row r="8" spans="1:13" x14ac:dyDescent="0.25">
      <c r="A8" t="s">
        <v>211</v>
      </c>
      <c r="B8" s="84">
        <f>-('Exxon Balance Sheet'!G14-'Exxon Balance Sheet'!F14)</f>
        <v>367.78262794520526</v>
      </c>
      <c r="C8" s="84">
        <f>-('Exxon Balance Sheet'!H14-'Exxon Balance Sheet'!G14)</f>
        <v>-63.675268076712086</v>
      </c>
      <c r="D8" s="84">
        <f>-('Exxon Balance Sheet'!I14-'Exxon Balance Sheet'!H14)</f>
        <v>-57.188766456986514</v>
      </c>
      <c r="E8" s="84">
        <f>-('Exxon Balance Sheet'!J14-'Exxon Balance Sheet'!I14)</f>
        <v>-50.519259550790139</v>
      </c>
      <c r="F8" s="84">
        <f>-('Exxon Balance Sheet'!K14-'Exxon Balance Sheet'!J14)</f>
        <v>-44.676154500282792</v>
      </c>
      <c r="G8" s="84">
        <f>-('Exxon Balance Sheet'!L14-'Exxon Balance Sheet'!K14)</f>
        <v>-45.650450057057924</v>
      </c>
      <c r="H8" s="84">
        <f>-('Exxon Balance Sheet'!M14-'Exxon Balance Sheet'!L14)</f>
        <v>-45.554787142140412</v>
      </c>
      <c r="I8" s="84">
        <f>-('Exxon Balance Sheet'!N14-'Exxon Balance Sheet'!M14)</f>
        <v>-46.28732539095563</v>
      </c>
      <c r="J8" s="84">
        <f>-('Exxon Balance Sheet'!O14-'Exxon Balance Sheet'!N14)</f>
        <v>-46.959666980897737</v>
      </c>
    </row>
    <row r="9" spans="1:13" x14ac:dyDescent="0.25">
      <c r="A9" t="s">
        <v>231</v>
      </c>
      <c r="B9" s="52">
        <f>'Exxon Balance Sheet'!G24-'Exxon Balance Sheet'!F24</f>
        <v>171.85064800000328</v>
      </c>
      <c r="C9" s="52">
        <f>'Exxon Balance Sheet'!H24-'Exxon Balance Sheet'!G24</f>
        <v>1152.3896953799958</v>
      </c>
      <c r="D9" s="52">
        <f>'Exxon Balance Sheet'!I24-'Exxon Balance Sheet'!H24</f>
        <v>1034.9975296080083</v>
      </c>
      <c r="E9" s="52">
        <f>'Exxon Balance Sheet'!J24-'Exxon Balance Sheet'!I24</f>
        <v>914.29334941190245</v>
      </c>
      <c r="F9" s="52">
        <f>'Exxon Balance Sheet'!K24-'Exxon Balance Sheet'!J24</f>
        <v>808.5453211332424</v>
      </c>
      <c r="G9" s="52">
        <f>'Exxon Balance Sheet'!L24-'Exxon Balance Sheet'!K24</f>
        <v>826.17804092846563</v>
      </c>
      <c r="H9" s="52">
        <f>'Exxon Balance Sheet'!M24-'Exxon Balance Sheet'!L24</f>
        <v>824.44674146619218</v>
      </c>
      <c r="I9" s="52">
        <f>'Exxon Balance Sheet'!N24-'Exxon Balance Sheet'!M24</f>
        <v>837.70415764839709</v>
      </c>
      <c r="J9" s="52">
        <f>'Exxon Balance Sheet'!O24-'Exxon Balance Sheet'!N24</f>
        <v>849.87213971470919</v>
      </c>
    </row>
    <row r="10" spans="1:13" x14ac:dyDescent="0.25">
      <c r="A10" s="81" t="s">
        <v>229</v>
      </c>
      <c r="B10" s="52">
        <f>'Exxon Balance Sheet'!G25-'Exxon Balance Sheet'!F25</f>
        <v>5713.23831232878</v>
      </c>
      <c r="C10" s="52">
        <f>'Exxon Balance Sheet'!H25-'Exxon Balance Sheet'!G25</f>
        <v>2706.1988932602617</v>
      </c>
      <c r="D10" s="52">
        <f>'Exxon Balance Sheet'!I25-'Exxon Balance Sheet'!H25</f>
        <v>2430.5225744219279</v>
      </c>
      <c r="E10" s="52">
        <f>'Exxon Balance Sheet'!J25-'Exxon Balance Sheet'!I25</f>
        <v>2147.068530908582</v>
      </c>
      <c r="F10" s="52">
        <f>'Exxon Balance Sheet'!K25-'Exxon Balance Sheet'!J25</f>
        <v>1898.7365662620141</v>
      </c>
      <c r="G10" s="52">
        <f>'Exxon Balance Sheet'!L25-'Exxon Balance Sheet'!K25</f>
        <v>1940.1441274249664</v>
      </c>
      <c r="H10" s="52">
        <f>'Exxon Balance Sheet'!M25-'Exxon Balance Sheet'!L25</f>
        <v>1936.0784535409548</v>
      </c>
      <c r="I10" s="52">
        <f>'Exxon Balance Sheet'!N25-'Exxon Balance Sheet'!M25</f>
        <v>1967.2113291156202</v>
      </c>
      <c r="J10" s="52">
        <f>'Exxon Balance Sheet'!O25-'Exxon Balance Sheet'!N25</f>
        <v>1995.7858466881589</v>
      </c>
    </row>
    <row r="12" spans="1:13" ht="15.75" thickBot="1" x14ac:dyDescent="0.3">
      <c r="A12" s="166" t="s">
        <v>212</v>
      </c>
      <c r="B12" s="167">
        <f t="shared" ref="B12:J12" si="0">SUM(B5:B11)</f>
        <v>3498.6840551232967</v>
      </c>
      <c r="C12" s="167">
        <f t="shared" si="0"/>
        <v>908.30116775259648</v>
      </c>
      <c r="D12" s="167">
        <f t="shared" si="0"/>
        <v>815.77392485622295</v>
      </c>
      <c r="E12" s="167">
        <f t="shared" si="0"/>
        <v>720.63618780054321</v>
      </c>
      <c r="F12" s="167">
        <f t="shared" si="0"/>
        <v>637.28672888215306</v>
      </c>
      <c r="G12" s="167">
        <f t="shared" si="0"/>
        <v>651.18464904307712</v>
      </c>
      <c r="H12" s="167">
        <f t="shared" si="0"/>
        <v>649.82005742131332</v>
      </c>
      <c r="I12" s="167">
        <f t="shared" si="0"/>
        <v>660.26941031641218</v>
      </c>
      <c r="J12" s="167">
        <f t="shared" si="0"/>
        <v>669.8600829545976</v>
      </c>
    </row>
    <row r="13" spans="1:13" ht="15.75" thickTop="1" x14ac:dyDescent="0.25"/>
  </sheetData>
  <mergeCells count="1">
    <mergeCell ref="F1:J1"/>
  </mergeCells>
  <hyperlinks>
    <hyperlink ref="A2" location="'Home Page'!A1" display="Home Page" xr:uid="{8A7678EC-5795-4145-AA4A-3D9AA8DE46E4}"/>
    <hyperlink ref="B2" location="Summary!A1" display="Summary" xr:uid="{C5DBAE88-9786-4AFE-AC36-5A9393F44D2C}"/>
    <hyperlink ref="D2" location="'Exxon Balance Sheet'!A1" display="Exxon Balance Sheet" xr:uid="{B7785CF1-9E0C-4081-A654-6BB7BD082C27}"/>
    <hyperlink ref="E2" location="'Exxon Cash Flow'!A1" display="Exxon Cash Flow" xr:uid="{232310A5-7ABE-4087-8CE1-23931E1F6480}"/>
    <hyperlink ref="C2" location="'Critical Inputs'!A1" display="Critical Inputs" xr:uid="{2C235D22-A890-4957-9246-DB855CFCD4EB}"/>
    <hyperlink ref="F2" location="'Segment Projections'!A1" display="Segment Projections" xr:uid="{EE17EF6A-E0EA-4C21-8ED5-0556D991DF16}"/>
    <hyperlink ref="G2" location="Vectors!A1" display="Vectors" xr:uid="{3DB9A374-D6FE-4F9B-8916-386CB0A6A1D2}"/>
  </hyperlink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40962" r:id="rId3" name="Button 2">
              <controlPr defaultSize="0" print="0" autoFill="0" autoPict="0" macro="[0]!Plug">
                <anchor moveWithCells="1" sizeWithCells="1">
                  <from>
                    <xdr:col>7</xdr:col>
                    <xdr:colOff>247650</xdr:colOff>
                    <xdr:row>1</xdr:row>
                    <xdr:rowOff>47625</xdr:rowOff>
                  </from>
                  <to>
                    <xdr:col>9</xdr:col>
                    <xdr:colOff>457200</xdr:colOff>
                    <xdr:row>1</xdr:row>
                    <xdr:rowOff>371475</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0">
    <tabColor theme="5" tint="0.59999389629810485"/>
  </sheetPr>
  <dimension ref="A1:O26"/>
  <sheetViews>
    <sheetView workbookViewId="0">
      <selection activeCell="A2" sqref="A2"/>
    </sheetView>
  </sheetViews>
  <sheetFormatPr defaultRowHeight="15" x14ac:dyDescent="0.25"/>
  <cols>
    <col min="1" max="1" width="47.5703125" bestFit="1" customWidth="1"/>
    <col min="2" max="2" width="9.140625" hidden="1" customWidth="1"/>
    <col min="3" max="15" width="11" customWidth="1"/>
  </cols>
  <sheetData>
    <row r="1" spans="1:15" s="244" customFormat="1" ht="28.5" x14ac:dyDescent="0.45">
      <c r="A1" s="220" t="s">
        <v>268</v>
      </c>
      <c r="B1" s="243"/>
      <c r="C1" s="243"/>
      <c r="D1" s="243"/>
      <c r="E1" s="243"/>
      <c r="F1" s="243"/>
      <c r="G1" s="243"/>
      <c r="H1" s="243"/>
      <c r="I1" s="243"/>
      <c r="J1" s="279" t="str">
        <f>Rebalance_check</f>
        <v>Balance Sheet is Balanced</v>
      </c>
      <c r="K1" s="279"/>
      <c r="L1" s="279"/>
      <c r="M1" s="279"/>
      <c r="N1" s="279"/>
      <c r="O1" s="279"/>
    </row>
    <row r="2" spans="1:15" ht="45" x14ac:dyDescent="0.25">
      <c r="A2" s="227" t="s">
        <v>271</v>
      </c>
      <c r="C2" s="227" t="s">
        <v>272</v>
      </c>
      <c r="D2" s="228" t="s">
        <v>273</v>
      </c>
      <c r="E2" s="228" t="s">
        <v>274</v>
      </c>
      <c r="F2" s="228" t="s">
        <v>319</v>
      </c>
      <c r="G2" s="228" t="s">
        <v>320</v>
      </c>
      <c r="H2" s="228" t="s">
        <v>321</v>
      </c>
      <c r="I2" s="228" t="s">
        <v>281</v>
      </c>
      <c r="J2" s="228" t="s">
        <v>282</v>
      </c>
      <c r="K2" s="228"/>
    </row>
    <row r="3" spans="1:15" x14ac:dyDescent="0.25">
      <c r="A3" s="83"/>
    </row>
    <row r="4" spans="1:15" ht="18.75" x14ac:dyDescent="0.25">
      <c r="A4" s="29" t="s">
        <v>22</v>
      </c>
    </row>
    <row r="5" spans="1:15" x14ac:dyDescent="0.25">
      <c r="A5" s="165" t="s">
        <v>114</v>
      </c>
      <c r="B5" s="168">
        <v>2013</v>
      </c>
      <c r="C5" s="168">
        <v>2014</v>
      </c>
      <c r="D5" s="164">
        <v>2015</v>
      </c>
      <c r="E5" s="164">
        <v>2016</v>
      </c>
      <c r="F5" s="164">
        <v>2017</v>
      </c>
      <c r="G5" s="164">
        <v>2018</v>
      </c>
      <c r="H5" s="164">
        <v>2019</v>
      </c>
      <c r="I5" s="164">
        <v>2020</v>
      </c>
      <c r="J5" s="164">
        <v>2021</v>
      </c>
      <c r="K5" s="164">
        <v>2022</v>
      </c>
      <c r="L5" s="164">
        <v>2023</v>
      </c>
      <c r="M5" s="164">
        <v>2024</v>
      </c>
      <c r="N5" s="164">
        <v>2025</v>
      </c>
      <c r="O5" s="164">
        <v>2026</v>
      </c>
    </row>
    <row r="6" spans="1:15" x14ac:dyDescent="0.25">
      <c r="A6" t="s">
        <v>115</v>
      </c>
      <c r="C6" s="169">
        <f>B9</f>
        <v>434517</v>
      </c>
      <c r="D6" s="169">
        <f>C9</f>
        <v>446789</v>
      </c>
      <c r="E6" s="169">
        <f t="shared" ref="E6:F6" si="0">D9</f>
        <v>447337</v>
      </c>
      <c r="F6" s="169">
        <f t="shared" si="0"/>
        <v>453915</v>
      </c>
      <c r="G6" s="169">
        <f>F9</f>
        <v>477185</v>
      </c>
      <c r="H6" s="169">
        <f t="shared" ref="H6:O6" si="1">G9</f>
        <v>481956.85000000003</v>
      </c>
      <c r="I6" s="169">
        <f t="shared" si="1"/>
        <v>486776.41850000003</v>
      </c>
      <c r="J6" s="169">
        <f t="shared" si="1"/>
        <v>491644.18268500007</v>
      </c>
      <c r="K6" s="169">
        <f t="shared" si="1"/>
        <v>496560.62451185007</v>
      </c>
      <c r="L6" s="169">
        <f t="shared" si="1"/>
        <v>501526.23075696855</v>
      </c>
      <c r="M6" s="169">
        <f t="shared" si="1"/>
        <v>506541.49306453823</v>
      </c>
      <c r="N6" s="169">
        <f t="shared" si="1"/>
        <v>511606.9079951836</v>
      </c>
      <c r="O6" s="169">
        <f t="shared" si="1"/>
        <v>516722.97707513551</v>
      </c>
    </row>
    <row r="7" spans="1:15" x14ac:dyDescent="0.25">
      <c r="A7" s="82" t="s">
        <v>118</v>
      </c>
      <c r="C7" s="85">
        <v>32952</v>
      </c>
      <c r="D7" s="85">
        <v>26490</v>
      </c>
      <c r="E7" s="85">
        <v>16163</v>
      </c>
      <c r="F7" s="85">
        <v>15402</v>
      </c>
      <c r="G7" s="84">
        <f>G6*Vectors!B40</f>
        <v>19087.400000000001</v>
      </c>
      <c r="H7" s="84">
        <f>H6*Vectors!C40</f>
        <v>19278.274000000001</v>
      </c>
      <c r="I7" s="84">
        <f>I6*Vectors!D40</f>
        <v>19471.05674</v>
      </c>
      <c r="J7" s="84">
        <f>J6*Vectors!E40</f>
        <v>19665.767307400001</v>
      </c>
      <c r="K7" s="84">
        <f>K6*Vectors!F40</f>
        <v>19862.424980474003</v>
      </c>
      <c r="L7" s="84">
        <f>L6*Vectors!G40</f>
        <v>20061.049230278742</v>
      </c>
      <c r="M7" s="84">
        <f>M6*Vectors!H40</f>
        <v>20261.659722581531</v>
      </c>
      <c r="N7" s="84">
        <f>N6*Vectors!I40</f>
        <v>20464.276319807344</v>
      </c>
      <c r="O7" s="84">
        <f>O6*Vectors!J40</f>
        <v>20668.919083005421</v>
      </c>
    </row>
    <row r="8" spans="1:15" x14ac:dyDescent="0.25">
      <c r="A8" s="82" t="s">
        <v>117</v>
      </c>
      <c r="C8">
        <f>-(C6+C7-C9)</f>
        <v>-20680</v>
      </c>
      <c r="D8">
        <f t="shared" ref="D8:F8" si="2">-(D6+D7-D9)</f>
        <v>-25942</v>
      </c>
      <c r="E8">
        <f t="shared" si="2"/>
        <v>-9585</v>
      </c>
      <c r="F8">
        <f t="shared" si="2"/>
        <v>7868</v>
      </c>
      <c r="G8" s="84">
        <f>-(G6*Vectors!B43)</f>
        <v>-14315.55</v>
      </c>
      <c r="H8" s="84">
        <f>-(H6*Vectors!C43)</f>
        <v>-14458.7055</v>
      </c>
      <c r="I8" s="84">
        <f>-(I6*Vectors!D43)</f>
        <v>-14603.292555</v>
      </c>
      <c r="J8" s="84">
        <f>-(J6*Vectors!E43)</f>
        <v>-14749.325480550002</v>
      </c>
      <c r="K8" s="84">
        <f>-(K6*Vectors!F43)</f>
        <v>-14896.818735355502</v>
      </c>
      <c r="L8" s="84">
        <f>-(L6*Vectors!G43)</f>
        <v>-15045.786922709056</v>
      </c>
      <c r="M8" s="84">
        <f>-(M6*Vectors!H43)</f>
        <v>-15196.244791936146</v>
      </c>
      <c r="N8" s="84">
        <f>-(N6*Vectors!I43)</f>
        <v>-15348.207239855508</v>
      </c>
      <c r="O8" s="84">
        <f>-(O6*Vectors!J43)</f>
        <v>-15501.689312254064</v>
      </c>
    </row>
    <row r="9" spans="1:15" ht="15.75" thickBot="1" x14ac:dyDescent="0.3">
      <c r="A9" s="170" t="s">
        <v>116</v>
      </c>
      <c r="B9" s="171">
        <v>434517</v>
      </c>
      <c r="C9" s="238">
        <v>446789</v>
      </c>
      <c r="D9" s="238">
        <v>447337</v>
      </c>
      <c r="E9" s="238">
        <v>453915</v>
      </c>
      <c r="F9" s="238">
        <v>477185</v>
      </c>
      <c r="G9" s="237">
        <f>G6+G7+G8</f>
        <v>481956.85000000003</v>
      </c>
      <c r="H9" s="237">
        <f t="shared" ref="H9:O9" si="3">H6+H7+H8</f>
        <v>486776.41850000003</v>
      </c>
      <c r="I9" s="237">
        <f t="shared" si="3"/>
        <v>491644.18268500007</v>
      </c>
      <c r="J9" s="237">
        <f t="shared" si="3"/>
        <v>496560.62451185007</v>
      </c>
      <c r="K9" s="237">
        <f t="shared" si="3"/>
        <v>501526.23075696855</v>
      </c>
      <c r="L9" s="237">
        <f t="shared" si="3"/>
        <v>506541.49306453823</v>
      </c>
      <c r="M9" s="237">
        <f t="shared" si="3"/>
        <v>511606.9079951836</v>
      </c>
      <c r="N9" s="237">
        <f t="shared" si="3"/>
        <v>516722.97707513551</v>
      </c>
      <c r="O9" s="237">
        <f t="shared" si="3"/>
        <v>521890.20684588689</v>
      </c>
    </row>
    <row r="10" spans="1:15" ht="15.75" thickTop="1" x14ac:dyDescent="0.25">
      <c r="A10" s="82"/>
    </row>
    <row r="11" spans="1:15" x14ac:dyDescent="0.25">
      <c r="A11" s="82"/>
    </row>
    <row r="13" spans="1:15" x14ac:dyDescent="0.25">
      <c r="A13" s="165" t="s">
        <v>178</v>
      </c>
      <c r="B13" s="165"/>
      <c r="C13" s="226"/>
      <c r="D13" s="165"/>
      <c r="E13" s="165"/>
      <c r="F13" s="165"/>
      <c r="G13" s="165"/>
      <c r="H13" s="165"/>
      <c r="I13" s="165"/>
      <c r="J13" s="165"/>
      <c r="K13" s="165"/>
      <c r="L13" s="165"/>
      <c r="M13" s="165"/>
      <c r="N13" s="165"/>
      <c r="O13" s="165"/>
    </row>
    <row r="14" spans="1:15" x14ac:dyDescent="0.25">
      <c r="A14" t="s">
        <v>119</v>
      </c>
      <c r="C14" s="239">
        <f t="shared" ref="C14:F14" si="4">(C6-B20)</f>
        <v>190867</v>
      </c>
      <c r="D14" s="239">
        <f t="shared" si="4"/>
        <v>194121</v>
      </c>
      <c r="E14" s="239">
        <f t="shared" si="4"/>
        <v>195732</v>
      </c>
      <c r="F14" s="239">
        <f t="shared" si="4"/>
        <v>209691</v>
      </c>
      <c r="G14" s="239">
        <f>(G6-F20)</f>
        <v>224555</v>
      </c>
      <c r="H14" s="169">
        <f>G17</f>
        <v>243737.837</v>
      </c>
      <c r="I14" s="169">
        <f t="shared" ref="I14:O14" si="5">H17</f>
        <v>263112.50237</v>
      </c>
      <c r="J14" s="169">
        <f t="shared" si="5"/>
        <v>282680.91439370002</v>
      </c>
      <c r="K14" s="169">
        <f t="shared" si="5"/>
        <v>302445.01053763705</v>
      </c>
      <c r="L14" s="169">
        <f t="shared" si="5"/>
        <v>322406.74764301343</v>
      </c>
      <c r="M14" s="169">
        <f t="shared" si="5"/>
        <v>342568.10211944359</v>
      </c>
      <c r="N14" s="169">
        <f t="shared" si="5"/>
        <v>362931.07014063804</v>
      </c>
      <c r="O14" s="169">
        <f t="shared" si="5"/>
        <v>383497.66784204444</v>
      </c>
    </row>
    <row r="15" spans="1:15" x14ac:dyDescent="0.25">
      <c r="A15" s="82" t="s">
        <v>118</v>
      </c>
      <c r="G15" s="86">
        <f>AVERAGE(G6,G9)/Vectors!B41</f>
        <v>19182.837000000003</v>
      </c>
      <c r="H15" s="86">
        <f>AVERAGE(H6,H9)/Vectors!C41</f>
        <v>19374.665369999999</v>
      </c>
      <c r="I15" s="86">
        <f>AVERAGE(I6,I9)/Vectors!D41</f>
        <v>19568.412023700002</v>
      </c>
      <c r="J15" s="86">
        <f>AVERAGE(J6,J9)/Vectors!E41</f>
        <v>19764.096143937004</v>
      </c>
      <c r="K15" s="86">
        <f>AVERAGE(K6,K9)/Vectors!F41</f>
        <v>19961.737105376371</v>
      </c>
      <c r="L15" s="86">
        <f>AVERAGE(L6,L9)/Vectors!G41</f>
        <v>20161.354476430137</v>
      </c>
      <c r="M15" s="86">
        <f>AVERAGE(M6,M9)/Vectors!H41</f>
        <v>20362.968021194436</v>
      </c>
      <c r="N15" s="86">
        <f>AVERAGE(N6,N9)/Vectors!I41</f>
        <v>20566.597701406383</v>
      </c>
      <c r="O15" s="86">
        <f>AVERAGE(O6,O9)/Vectors!J41</f>
        <v>20772.263678420448</v>
      </c>
    </row>
    <row r="16" spans="1:15" x14ac:dyDescent="0.25">
      <c r="A16" s="82" t="s">
        <v>123</v>
      </c>
    </row>
    <row r="17" spans="1:15" x14ac:dyDescent="0.25">
      <c r="A17" s="165" t="s">
        <v>177</v>
      </c>
      <c r="B17" s="165"/>
      <c r="C17" s="165"/>
      <c r="D17" s="165"/>
      <c r="E17" s="165"/>
      <c r="F17" s="165"/>
      <c r="G17" s="172">
        <f>G14+G15</f>
        <v>243737.837</v>
      </c>
      <c r="H17" s="172">
        <f t="shared" ref="H17:O17" si="6">H14+H15</f>
        <v>263112.50237</v>
      </c>
      <c r="I17" s="172">
        <f t="shared" si="6"/>
        <v>282680.91439370002</v>
      </c>
      <c r="J17" s="172">
        <f t="shared" si="6"/>
        <v>302445.01053763705</v>
      </c>
      <c r="K17" s="172">
        <f t="shared" si="6"/>
        <v>322406.74764301343</v>
      </c>
      <c r="L17" s="172">
        <f t="shared" si="6"/>
        <v>342568.10211944359</v>
      </c>
      <c r="M17" s="172">
        <f t="shared" si="6"/>
        <v>362931.07014063804</v>
      </c>
      <c r="N17" s="172">
        <f t="shared" si="6"/>
        <v>383497.66784204444</v>
      </c>
      <c r="O17" s="172">
        <f t="shared" si="6"/>
        <v>404269.93152046489</v>
      </c>
    </row>
    <row r="20" spans="1:15" ht="30.75" customHeight="1" thickBot="1" x14ac:dyDescent="0.3">
      <c r="A20" s="173" t="s">
        <v>31</v>
      </c>
      <c r="B20" s="166">
        <v>243650</v>
      </c>
      <c r="C20" s="237">
        <v>252668</v>
      </c>
      <c r="D20" s="237">
        <v>251605</v>
      </c>
      <c r="E20" s="237">
        <v>244224</v>
      </c>
      <c r="F20" s="237">
        <v>252630</v>
      </c>
      <c r="G20" s="237">
        <f>G9-G17</f>
        <v>238219.01300000004</v>
      </c>
      <c r="H20" s="237">
        <f t="shared" ref="H20:N20" si="7">H9-H17</f>
        <v>223663.91613000003</v>
      </c>
      <c r="I20" s="237">
        <f t="shared" si="7"/>
        <v>208963.26829130005</v>
      </c>
      <c r="J20" s="237">
        <f t="shared" si="7"/>
        <v>194115.61397421302</v>
      </c>
      <c r="K20" s="237">
        <f t="shared" si="7"/>
        <v>179119.48311395512</v>
      </c>
      <c r="L20" s="237">
        <f t="shared" si="7"/>
        <v>163973.39094509464</v>
      </c>
      <c r="M20" s="237">
        <f t="shared" si="7"/>
        <v>148675.83785454556</v>
      </c>
      <c r="N20" s="237">
        <f t="shared" si="7"/>
        <v>133225.30923309107</v>
      </c>
      <c r="O20" s="237">
        <f>O9-O17</f>
        <v>117620.275325422</v>
      </c>
    </row>
    <row r="21" spans="1:15" ht="30.75" customHeight="1" thickTop="1" x14ac:dyDescent="0.25">
      <c r="A21" s="10"/>
    </row>
    <row r="26" spans="1:15" x14ac:dyDescent="0.25">
      <c r="B26" s="84"/>
      <c r="C26" s="84"/>
      <c r="D26" s="84"/>
      <c r="E26" s="84"/>
      <c r="F26" s="84"/>
    </row>
  </sheetData>
  <mergeCells count="1">
    <mergeCell ref="J1:O1"/>
  </mergeCells>
  <hyperlinks>
    <hyperlink ref="A2" location="'Home Page'!A1" display="Home Page" xr:uid="{3571DD1C-B31C-4051-8B0D-B85FE332D1CC}"/>
    <hyperlink ref="F2" location="'Exxon Income Statement'!A1" display="Exxon Income Statement" xr:uid="{1D1F0905-AAB2-4431-A99E-588B0346AF88}"/>
    <hyperlink ref="C2" location="Summary!A1" display="Summary" xr:uid="{AE7E5E1B-8CAB-4898-8AA6-55236C51455F}"/>
    <hyperlink ref="G2" location="'Exxon Balance Sheet'!A1" display="Exxon Balance Sheet" xr:uid="{B30D4C9D-9E13-43C1-8056-A65D00EDAB5D}"/>
    <hyperlink ref="H2" location="'Exxon Cash Flow'!A1" display="Exxon Cash Flow" xr:uid="{61A16B79-B9C3-4067-B9AD-5806E028C750}"/>
    <hyperlink ref="E2" location="'DCF Valuation'!A1" display="DCF Valuation" xr:uid="{4A0495BB-EBA5-48A7-93F5-8FECBA1BE0D5}"/>
    <hyperlink ref="D2" location="'Critical Inputs'!A1" display="Critical Inputs" xr:uid="{857A5B15-8246-4438-9EF0-0A8E6558D67D}"/>
    <hyperlink ref="I2" location="'Long Term Debt'!A1" display="Long Term Debt" xr:uid="{9985467F-5A03-4E5E-B3EE-E914D15B6651}"/>
    <hyperlink ref="J2" location="Vectors!A1" display="Vectors" xr:uid="{427C8E74-2363-4E66-9B03-AC1988B36BDB}"/>
  </hyperlink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41985" r:id="rId3" name="Button 1">
              <controlPr defaultSize="0" print="0" autoFill="0" autoPict="0" macro="[0]!Plug">
                <anchor moveWithCells="1" sizeWithCells="1">
                  <from>
                    <xdr:col>10</xdr:col>
                    <xdr:colOff>200025</xdr:colOff>
                    <xdr:row>1</xdr:row>
                    <xdr:rowOff>95250</xdr:rowOff>
                  </from>
                  <to>
                    <xdr:col>14</xdr:col>
                    <xdr:colOff>457200</xdr:colOff>
                    <xdr:row>1</xdr:row>
                    <xdr:rowOff>523875</xdr:rowOff>
                  </to>
                </anchor>
              </controlPr>
            </control>
          </mc:Choice>
        </mc:AlternateContent>
      </controls>
    </mc:Choice>
  </mc:AlternateConten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1">
    <tabColor theme="7" tint="-0.499984740745262"/>
  </sheetPr>
  <dimension ref="A1:M135"/>
  <sheetViews>
    <sheetView workbookViewId="0">
      <pane ySplit="2" topLeftCell="A3" activePane="bottomLeft" state="frozen"/>
      <selection pane="bottomLeft" activeCell="G7" sqref="G7"/>
    </sheetView>
  </sheetViews>
  <sheetFormatPr defaultRowHeight="15" x14ac:dyDescent="0.25"/>
  <cols>
    <col min="1" max="1" width="41.5703125" bestFit="1" customWidth="1"/>
    <col min="2" max="2" width="16.85546875" bestFit="1" customWidth="1"/>
    <col min="3" max="3" width="14.85546875" bestFit="1" customWidth="1"/>
    <col min="4" max="4" width="16.5703125" customWidth="1"/>
    <col min="5" max="5" width="14.42578125" bestFit="1" customWidth="1"/>
    <col min="6" max="8" width="14.85546875" bestFit="1" customWidth="1"/>
    <col min="9" max="10" width="14.42578125" bestFit="1" customWidth="1"/>
    <col min="11" max="11" width="17.85546875" bestFit="1" customWidth="1"/>
  </cols>
  <sheetData>
    <row r="1" spans="1:13" ht="31.5" customHeight="1" x14ac:dyDescent="0.45">
      <c r="A1" s="245" t="s">
        <v>291</v>
      </c>
      <c r="B1" s="246"/>
      <c r="C1" s="246"/>
      <c r="D1" s="246"/>
      <c r="E1" s="280" t="str">
        <f>Rebalance_check</f>
        <v>Balance Sheet is Balanced</v>
      </c>
      <c r="F1" s="280"/>
      <c r="G1" s="280"/>
      <c r="H1" s="280"/>
      <c r="I1" s="280"/>
      <c r="J1" s="280"/>
    </row>
    <row r="2" spans="1:13" ht="30" x14ac:dyDescent="0.25">
      <c r="A2" s="227" t="s">
        <v>271</v>
      </c>
      <c r="B2" s="227" t="s">
        <v>272</v>
      </c>
      <c r="C2" s="228" t="s">
        <v>273</v>
      </c>
      <c r="D2" s="228" t="s">
        <v>319</v>
      </c>
      <c r="E2" s="228" t="s">
        <v>320</v>
      </c>
      <c r="F2" s="228" t="s">
        <v>321</v>
      </c>
      <c r="G2" s="228" t="s">
        <v>280</v>
      </c>
      <c r="H2" s="228" t="s">
        <v>282</v>
      </c>
      <c r="K2" s="228"/>
      <c r="M2" s="217"/>
    </row>
    <row r="4" spans="1:13" ht="21" x14ac:dyDescent="0.35">
      <c r="A4" s="136" t="s">
        <v>174</v>
      </c>
      <c r="B4" s="177"/>
      <c r="C4" s="177"/>
      <c r="D4" s="177"/>
      <c r="E4" s="177"/>
      <c r="F4" s="177"/>
    </row>
    <row r="5" spans="1:13" ht="30" x14ac:dyDescent="0.25">
      <c r="A5" s="10" t="s">
        <v>142</v>
      </c>
      <c r="B5" s="10" t="s">
        <v>143</v>
      </c>
      <c r="C5" s="10" t="s">
        <v>148</v>
      </c>
      <c r="D5" s="10" t="s">
        <v>144</v>
      </c>
      <c r="E5" s="10" t="s">
        <v>145</v>
      </c>
      <c r="F5" s="10" t="s">
        <v>146</v>
      </c>
    </row>
    <row r="6" spans="1:13" x14ac:dyDescent="0.25">
      <c r="A6" t="s">
        <v>128</v>
      </c>
      <c r="B6" s="178">
        <v>43525</v>
      </c>
      <c r="C6" s="95">
        <v>1.9529999999999999E-2</v>
      </c>
      <c r="D6" s="96">
        <v>250</v>
      </c>
      <c r="E6" s="96">
        <v>250</v>
      </c>
      <c r="F6" s="178">
        <v>42432</v>
      </c>
    </row>
    <row r="7" spans="1:13" x14ac:dyDescent="0.25">
      <c r="A7" t="s">
        <v>129</v>
      </c>
      <c r="B7" s="178">
        <v>43525</v>
      </c>
      <c r="C7" s="95">
        <v>1.7080000000000001E-2</v>
      </c>
      <c r="D7" s="96">
        <v>1250</v>
      </c>
      <c r="E7" s="96">
        <v>1250</v>
      </c>
      <c r="F7" s="178">
        <v>42432</v>
      </c>
      <c r="H7" s="89"/>
    </row>
    <row r="8" spans="1:13" x14ac:dyDescent="0.25">
      <c r="A8" t="s">
        <v>130</v>
      </c>
      <c r="B8" s="178">
        <v>43539</v>
      </c>
      <c r="C8" s="95">
        <v>1.8190000000000001E-2</v>
      </c>
      <c r="D8" s="96">
        <v>1750</v>
      </c>
      <c r="E8" s="96">
        <v>1750</v>
      </c>
      <c r="F8" s="178">
        <v>41718</v>
      </c>
      <c r="H8" s="89"/>
    </row>
    <row r="9" spans="1:13" x14ac:dyDescent="0.25">
      <c r="A9" t="s">
        <v>131</v>
      </c>
      <c r="B9" s="178">
        <v>43539</v>
      </c>
      <c r="C9" s="95">
        <v>1.345E-2</v>
      </c>
      <c r="D9" s="96">
        <v>500</v>
      </c>
      <c r="E9" s="96">
        <v>500</v>
      </c>
      <c r="F9" s="178">
        <v>41718</v>
      </c>
      <c r="H9" s="89"/>
    </row>
    <row r="10" spans="1:13" x14ac:dyDescent="0.25">
      <c r="A10" t="s">
        <v>132</v>
      </c>
      <c r="B10" s="178">
        <v>43896</v>
      </c>
      <c r="C10" s="95">
        <v>1.9120000000000002E-2</v>
      </c>
      <c r="D10" s="96">
        <v>1500</v>
      </c>
      <c r="E10" s="96">
        <v>1500</v>
      </c>
      <c r="F10" s="178">
        <v>42069</v>
      </c>
      <c r="H10" s="89"/>
    </row>
    <row r="11" spans="1:13" x14ac:dyDescent="0.25">
      <c r="A11" t="s">
        <v>183</v>
      </c>
      <c r="B11" s="178">
        <v>44197</v>
      </c>
      <c r="C11" s="95">
        <v>8.6249999999999993E-2</v>
      </c>
      <c r="D11" s="96">
        <v>250</v>
      </c>
      <c r="E11" s="96">
        <v>250</v>
      </c>
      <c r="F11" s="178"/>
      <c r="H11" s="89"/>
    </row>
    <row r="12" spans="1:13" x14ac:dyDescent="0.25">
      <c r="A12" t="s">
        <v>133</v>
      </c>
      <c r="B12" s="178">
        <v>44256</v>
      </c>
      <c r="C12" s="95">
        <v>2.222E-2</v>
      </c>
      <c r="D12" s="96">
        <v>2500</v>
      </c>
      <c r="E12" s="96">
        <v>2500</v>
      </c>
      <c r="F12" s="178">
        <v>42432</v>
      </c>
      <c r="H12" s="89"/>
    </row>
    <row r="13" spans="1:13" x14ac:dyDescent="0.25">
      <c r="A13" t="s">
        <v>134</v>
      </c>
      <c r="B13" s="178">
        <v>44626</v>
      </c>
      <c r="C13" s="95">
        <v>2.3970000000000002E-2</v>
      </c>
      <c r="D13" s="96">
        <v>1150</v>
      </c>
      <c r="E13" s="96">
        <v>1150</v>
      </c>
      <c r="F13" s="178">
        <v>42069</v>
      </c>
      <c r="H13" s="89"/>
    </row>
    <row r="14" spans="1:13" x14ac:dyDescent="0.25">
      <c r="A14" t="s">
        <v>135</v>
      </c>
      <c r="B14" s="178">
        <v>44626</v>
      </c>
      <c r="C14" s="95">
        <v>1.5570000000000001E-2</v>
      </c>
      <c r="D14" s="96">
        <v>500</v>
      </c>
      <c r="E14" s="96">
        <v>500</v>
      </c>
      <c r="F14" s="178">
        <v>42069</v>
      </c>
      <c r="H14" s="89"/>
    </row>
    <row r="15" spans="1:13" x14ac:dyDescent="0.25">
      <c r="A15" t="s">
        <v>136</v>
      </c>
      <c r="B15" s="178">
        <v>44986</v>
      </c>
      <c r="C15" s="95">
        <v>2.726E-2</v>
      </c>
      <c r="D15" s="96">
        <v>1250</v>
      </c>
      <c r="E15" s="96">
        <v>1250</v>
      </c>
      <c r="F15" s="178">
        <v>42432</v>
      </c>
      <c r="H15" s="89"/>
    </row>
    <row r="16" spans="1:13" x14ac:dyDescent="0.25">
      <c r="A16" t="s">
        <v>137</v>
      </c>
      <c r="B16" s="178">
        <v>45366</v>
      </c>
      <c r="C16" s="95">
        <v>3.1759999999999997E-2</v>
      </c>
      <c r="D16" s="96">
        <v>1000</v>
      </c>
      <c r="E16" s="96">
        <v>1000</v>
      </c>
      <c r="F16" s="178">
        <v>41718</v>
      </c>
      <c r="H16" s="89"/>
    </row>
    <row r="17" spans="1:10" x14ac:dyDescent="0.25">
      <c r="A17" t="s">
        <v>138</v>
      </c>
      <c r="B17" s="178">
        <v>45722</v>
      </c>
      <c r="C17" s="95">
        <v>2.7089999999999999E-2</v>
      </c>
      <c r="D17" s="96">
        <v>1750</v>
      </c>
      <c r="E17" s="96">
        <v>1750</v>
      </c>
      <c r="F17" s="178">
        <v>42069</v>
      </c>
    </row>
    <row r="18" spans="1:10" x14ac:dyDescent="0.25">
      <c r="A18" s="165" t="s">
        <v>139</v>
      </c>
      <c r="B18" s="179">
        <v>46082</v>
      </c>
      <c r="C18" s="180">
        <v>3.0429999999999999E-2</v>
      </c>
      <c r="D18" s="181">
        <v>2500</v>
      </c>
      <c r="E18" s="181">
        <v>2500</v>
      </c>
      <c r="F18" s="179">
        <v>42432</v>
      </c>
    </row>
    <row r="20" spans="1:10" ht="21" x14ac:dyDescent="0.35">
      <c r="A20" s="136" t="s">
        <v>147</v>
      </c>
      <c r="B20" s="165"/>
      <c r="C20" s="165"/>
      <c r="D20" s="165"/>
      <c r="E20" s="165"/>
      <c r="F20" s="165"/>
    </row>
    <row r="21" spans="1:10" x14ac:dyDescent="0.25">
      <c r="A21" t="s">
        <v>140</v>
      </c>
      <c r="B21" s="178">
        <v>53027</v>
      </c>
      <c r="C21" s="95">
        <v>3.567E-2</v>
      </c>
      <c r="D21" s="96">
        <v>1000</v>
      </c>
      <c r="E21" s="96">
        <v>1000</v>
      </c>
      <c r="F21" s="178">
        <v>42069</v>
      </c>
    </row>
    <row r="22" spans="1:10" x14ac:dyDescent="0.25">
      <c r="A22" t="s">
        <v>141</v>
      </c>
      <c r="B22" s="178">
        <v>53387</v>
      </c>
      <c r="C22" s="95">
        <v>4.1140000000000003E-2</v>
      </c>
      <c r="D22" s="96">
        <v>2500</v>
      </c>
      <c r="E22" s="96">
        <v>2500</v>
      </c>
      <c r="F22" s="178">
        <v>42432</v>
      </c>
    </row>
    <row r="23" spans="1:10" x14ac:dyDescent="0.25">
      <c r="A23" t="s">
        <v>179</v>
      </c>
      <c r="B23" s="178">
        <v>49675</v>
      </c>
      <c r="C23" s="95">
        <v>6.0999999999999999E-2</v>
      </c>
      <c r="D23" s="96">
        <v>195</v>
      </c>
      <c r="E23" s="96">
        <v>195</v>
      </c>
    </row>
    <row r="24" spans="1:10" x14ac:dyDescent="0.25">
      <c r="A24" t="s">
        <v>181</v>
      </c>
      <c r="B24" s="178">
        <v>50041</v>
      </c>
      <c r="C24" s="95">
        <v>6.7500000000000004E-2</v>
      </c>
      <c r="D24" s="96">
        <v>302</v>
      </c>
      <c r="E24" s="96">
        <v>302</v>
      </c>
    </row>
    <row r="25" spans="1:10" x14ac:dyDescent="0.25">
      <c r="A25" t="s">
        <v>182</v>
      </c>
      <c r="B25" s="178">
        <v>50406</v>
      </c>
      <c r="C25" s="95">
        <v>6.3750000000000001E-2</v>
      </c>
      <c r="D25" s="96">
        <v>232</v>
      </c>
      <c r="E25" s="96">
        <v>232</v>
      </c>
    </row>
    <row r="26" spans="1:10" x14ac:dyDescent="0.25">
      <c r="A26" t="s">
        <v>193</v>
      </c>
      <c r="B26" s="178" t="s">
        <v>62</v>
      </c>
      <c r="C26" s="95">
        <v>8.5040000000000004E-2</v>
      </c>
      <c r="D26" s="96">
        <v>1327</v>
      </c>
      <c r="E26" s="96">
        <v>1327</v>
      </c>
    </row>
    <row r="27" spans="1:10" x14ac:dyDescent="0.25">
      <c r="A27" s="165" t="s">
        <v>184</v>
      </c>
      <c r="B27" s="179">
        <v>55154</v>
      </c>
      <c r="C27" s="180">
        <v>7.6400000000000001E-3</v>
      </c>
      <c r="D27" s="181">
        <v>2559</v>
      </c>
      <c r="E27" s="181">
        <v>2559</v>
      </c>
      <c r="F27" s="165"/>
    </row>
    <row r="29" spans="1:10" x14ac:dyDescent="0.25">
      <c r="B29" s="174" t="s">
        <v>149</v>
      </c>
      <c r="C29" s="175">
        <f t="array" ref="C29">SUM((D21:D25/E29)*C21:C25)</f>
        <v>4.3885079214944431E-2</v>
      </c>
      <c r="D29" s="14" t="s">
        <v>73</v>
      </c>
      <c r="E29" s="176">
        <f>SUM(E21:E25)</f>
        <v>4229</v>
      </c>
    </row>
    <row r="31" spans="1:10" ht="21" x14ac:dyDescent="0.35">
      <c r="A31" s="136" t="s">
        <v>150</v>
      </c>
      <c r="B31" s="90">
        <v>2018</v>
      </c>
      <c r="C31" s="90">
        <v>2019</v>
      </c>
      <c r="D31" s="90">
        <v>2020</v>
      </c>
      <c r="E31" s="90">
        <v>2021</v>
      </c>
      <c r="F31" s="90">
        <v>2022</v>
      </c>
      <c r="G31" s="90">
        <v>2023</v>
      </c>
      <c r="H31" s="90">
        <v>2024</v>
      </c>
      <c r="I31" s="90">
        <v>2025</v>
      </c>
      <c r="J31" s="90">
        <v>2026</v>
      </c>
    </row>
    <row r="32" spans="1:10" x14ac:dyDescent="0.25">
      <c r="A32" t="s">
        <v>151</v>
      </c>
    </row>
    <row r="33" spans="1:10" x14ac:dyDescent="0.25">
      <c r="A33" t="s">
        <v>152</v>
      </c>
      <c r="B33" s="88">
        <f>D6</f>
        <v>250</v>
      </c>
      <c r="C33" s="88">
        <f t="shared" ref="C33:J33" si="0">C51-C68+C69</f>
        <v>250</v>
      </c>
      <c r="D33" s="88">
        <f t="shared" si="0"/>
        <v>250</v>
      </c>
      <c r="E33" s="88">
        <f t="shared" si="0"/>
        <v>250</v>
      </c>
      <c r="F33" s="88">
        <f t="shared" si="0"/>
        <v>250</v>
      </c>
      <c r="G33" s="88">
        <f t="shared" si="0"/>
        <v>250</v>
      </c>
      <c r="H33" s="88">
        <f t="shared" si="0"/>
        <v>250</v>
      </c>
      <c r="I33" s="88">
        <f t="shared" si="0"/>
        <v>250</v>
      </c>
      <c r="J33" s="88">
        <f t="shared" si="0"/>
        <v>250</v>
      </c>
    </row>
    <row r="34" spans="1:10" x14ac:dyDescent="0.25">
      <c r="A34" t="s">
        <v>153</v>
      </c>
      <c r="B34" s="88">
        <f>D7</f>
        <v>1250</v>
      </c>
      <c r="C34" s="88">
        <f t="shared" ref="C34:J34" si="1">C52-C74+C75</f>
        <v>1250</v>
      </c>
      <c r="D34" s="88">
        <f t="shared" si="1"/>
        <v>1250</v>
      </c>
      <c r="E34" s="88">
        <f t="shared" si="1"/>
        <v>1250</v>
      </c>
      <c r="F34" s="88">
        <f t="shared" si="1"/>
        <v>1250</v>
      </c>
      <c r="G34" s="88">
        <f t="shared" si="1"/>
        <v>1250</v>
      </c>
      <c r="H34" s="88">
        <f t="shared" si="1"/>
        <v>1250</v>
      </c>
      <c r="I34" s="88">
        <f t="shared" si="1"/>
        <v>1250</v>
      </c>
      <c r="J34" s="88">
        <f t="shared" si="1"/>
        <v>1250</v>
      </c>
    </row>
    <row r="35" spans="1:10" x14ac:dyDescent="0.25">
      <c r="A35" t="s">
        <v>154</v>
      </c>
      <c r="B35" s="88">
        <f>D8</f>
        <v>1750</v>
      </c>
      <c r="C35" s="88">
        <f t="shared" ref="C35:J35" si="2">C53-C80+C81</f>
        <v>1750</v>
      </c>
      <c r="D35" s="88">
        <f t="shared" si="2"/>
        <v>1750</v>
      </c>
      <c r="E35" s="88">
        <f t="shared" si="2"/>
        <v>1750</v>
      </c>
      <c r="F35" s="88">
        <f t="shared" si="2"/>
        <v>1750</v>
      </c>
      <c r="G35" s="88">
        <f t="shared" si="2"/>
        <v>1750</v>
      </c>
      <c r="H35" s="88">
        <f t="shared" si="2"/>
        <v>1750</v>
      </c>
      <c r="I35" s="88">
        <f t="shared" si="2"/>
        <v>1750</v>
      </c>
      <c r="J35" s="88">
        <f t="shared" si="2"/>
        <v>1750</v>
      </c>
    </row>
    <row r="36" spans="1:10" x14ac:dyDescent="0.25">
      <c r="A36" t="s">
        <v>155</v>
      </c>
      <c r="B36" s="88">
        <f>D9</f>
        <v>500</v>
      </c>
      <c r="C36" s="88">
        <f t="shared" ref="C36:J36" si="3">C54-C85+C86</f>
        <v>500</v>
      </c>
      <c r="D36" s="88">
        <f t="shared" si="3"/>
        <v>500</v>
      </c>
      <c r="E36" s="88">
        <f t="shared" si="3"/>
        <v>500</v>
      </c>
      <c r="F36" s="88">
        <f t="shared" si="3"/>
        <v>500</v>
      </c>
      <c r="G36" s="88">
        <f t="shared" si="3"/>
        <v>500</v>
      </c>
      <c r="H36" s="88">
        <f t="shared" si="3"/>
        <v>500</v>
      </c>
      <c r="I36" s="88">
        <f t="shared" si="3"/>
        <v>500</v>
      </c>
      <c r="J36" s="88">
        <f t="shared" si="3"/>
        <v>500</v>
      </c>
    </row>
    <row r="37" spans="1:10" x14ac:dyDescent="0.25">
      <c r="A37" t="s">
        <v>156</v>
      </c>
      <c r="B37" s="88">
        <f>D10</f>
        <v>1500</v>
      </c>
      <c r="C37" s="88">
        <f t="shared" ref="C37:J37" si="4">C55-C90+C91</f>
        <v>1500</v>
      </c>
      <c r="D37" s="88">
        <f t="shared" si="4"/>
        <v>1500</v>
      </c>
      <c r="E37" s="88">
        <f t="shared" si="4"/>
        <v>1500</v>
      </c>
      <c r="F37" s="88">
        <f t="shared" si="4"/>
        <v>1500</v>
      </c>
      <c r="G37" s="88">
        <f t="shared" si="4"/>
        <v>1500</v>
      </c>
      <c r="H37" s="88">
        <f t="shared" si="4"/>
        <v>1500</v>
      </c>
      <c r="I37" s="88">
        <f t="shared" si="4"/>
        <v>1500</v>
      </c>
      <c r="J37" s="88">
        <f t="shared" si="4"/>
        <v>1500</v>
      </c>
    </row>
    <row r="38" spans="1:10" x14ac:dyDescent="0.25">
      <c r="A38" t="s">
        <v>157</v>
      </c>
      <c r="B38" s="88">
        <f t="shared" ref="B38:B44" si="5">D12</f>
        <v>2500</v>
      </c>
      <c r="C38" s="88">
        <f t="shared" ref="C38:J38" si="6">C56-C95+C96</f>
        <v>2500</v>
      </c>
      <c r="D38" s="88">
        <f t="shared" si="6"/>
        <v>2500</v>
      </c>
      <c r="E38" s="88">
        <f t="shared" si="6"/>
        <v>2500</v>
      </c>
      <c r="F38" s="88">
        <f t="shared" si="6"/>
        <v>2500</v>
      </c>
      <c r="G38" s="88">
        <f t="shared" si="6"/>
        <v>2500</v>
      </c>
      <c r="H38" s="88">
        <f t="shared" si="6"/>
        <v>2500</v>
      </c>
      <c r="I38" s="88">
        <f t="shared" si="6"/>
        <v>2500</v>
      </c>
      <c r="J38" s="88">
        <f t="shared" si="6"/>
        <v>2500</v>
      </c>
    </row>
    <row r="39" spans="1:10" x14ac:dyDescent="0.25">
      <c r="A39" t="s">
        <v>158</v>
      </c>
      <c r="B39" s="88">
        <f t="shared" si="5"/>
        <v>1150</v>
      </c>
      <c r="C39" s="88">
        <f t="shared" ref="C39:J39" si="7">C57-C100+C101</f>
        <v>1150</v>
      </c>
      <c r="D39" s="88">
        <f t="shared" si="7"/>
        <v>1150</v>
      </c>
      <c r="E39" s="88">
        <f t="shared" si="7"/>
        <v>1150</v>
      </c>
      <c r="F39" s="88">
        <f t="shared" si="7"/>
        <v>1150</v>
      </c>
      <c r="G39" s="88">
        <f t="shared" si="7"/>
        <v>1150</v>
      </c>
      <c r="H39" s="88">
        <f t="shared" si="7"/>
        <v>1150</v>
      </c>
      <c r="I39" s="88">
        <f t="shared" si="7"/>
        <v>1150</v>
      </c>
      <c r="J39" s="88">
        <f t="shared" si="7"/>
        <v>1150</v>
      </c>
    </row>
    <row r="40" spans="1:10" x14ac:dyDescent="0.25">
      <c r="A40" t="s">
        <v>159</v>
      </c>
      <c r="B40" s="88">
        <f t="shared" si="5"/>
        <v>500</v>
      </c>
      <c r="C40" s="88">
        <f t="shared" ref="C40:J40" si="8">C58-C105+C106</f>
        <v>500</v>
      </c>
      <c r="D40" s="88">
        <f t="shared" si="8"/>
        <v>500</v>
      </c>
      <c r="E40" s="88">
        <f t="shared" si="8"/>
        <v>500</v>
      </c>
      <c r="F40" s="88">
        <f t="shared" si="8"/>
        <v>500</v>
      </c>
      <c r="G40" s="88">
        <f t="shared" si="8"/>
        <v>500</v>
      </c>
      <c r="H40" s="88">
        <f t="shared" si="8"/>
        <v>500</v>
      </c>
      <c r="I40" s="88">
        <f t="shared" si="8"/>
        <v>500</v>
      </c>
      <c r="J40" s="88">
        <f t="shared" si="8"/>
        <v>500</v>
      </c>
    </row>
    <row r="41" spans="1:10" x14ac:dyDescent="0.25">
      <c r="A41" t="s">
        <v>161</v>
      </c>
      <c r="B41" s="88">
        <f t="shared" si="5"/>
        <v>1250</v>
      </c>
      <c r="C41" s="88">
        <f t="shared" ref="C41:J41" si="9">C59-C110+C111</f>
        <v>1250</v>
      </c>
      <c r="D41" s="88">
        <f t="shared" si="9"/>
        <v>1250</v>
      </c>
      <c r="E41" s="88">
        <f t="shared" si="9"/>
        <v>1250</v>
      </c>
      <c r="F41" s="88">
        <f t="shared" si="9"/>
        <v>1250</v>
      </c>
      <c r="G41" s="88">
        <f t="shared" si="9"/>
        <v>1250</v>
      </c>
      <c r="H41" s="88">
        <f t="shared" si="9"/>
        <v>1250</v>
      </c>
      <c r="I41" s="88">
        <f t="shared" si="9"/>
        <v>1250</v>
      </c>
      <c r="J41" s="88">
        <f t="shared" si="9"/>
        <v>1250</v>
      </c>
    </row>
    <row r="42" spans="1:10" x14ac:dyDescent="0.25">
      <c r="A42" t="s">
        <v>160</v>
      </c>
      <c r="B42" s="88">
        <f t="shared" si="5"/>
        <v>1000</v>
      </c>
      <c r="C42" s="88">
        <f t="shared" ref="C42:J42" si="10">C60-C115+C116</f>
        <v>1000</v>
      </c>
      <c r="D42" s="88">
        <f t="shared" si="10"/>
        <v>1000</v>
      </c>
      <c r="E42" s="88">
        <f t="shared" si="10"/>
        <v>1000</v>
      </c>
      <c r="F42" s="88">
        <f t="shared" si="10"/>
        <v>1000</v>
      </c>
      <c r="G42" s="88">
        <f t="shared" si="10"/>
        <v>1000</v>
      </c>
      <c r="H42" s="88">
        <f t="shared" si="10"/>
        <v>1000</v>
      </c>
      <c r="I42" s="88">
        <f t="shared" si="10"/>
        <v>1000</v>
      </c>
      <c r="J42" s="88">
        <f t="shared" si="10"/>
        <v>1000</v>
      </c>
    </row>
    <row r="43" spans="1:10" x14ac:dyDescent="0.25">
      <c r="A43" t="s">
        <v>162</v>
      </c>
      <c r="B43" s="88">
        <f t="shared" si="5"/>
        <v>1750</v>
      </c>
      <c r="C43" s="88">
        <f t="shared" ref="C43:J43" si="11">C61-C120+C121</f>
        <v>1750</v>
      </c>
      <c r="D43" s="88">
        <f t="shared" si="11"/>
        <v>1750</v>
      </c>
      <c r="E43" s="88">
        <f t="shared" si="11"/>
        <v>1750</v>
      </c>
      <c r="F43" s="88">
        <f t="shared" si="11"/>
        <v>1750</v>
      </c>
      <c r="G43" s="88">
        <f t="shared" si="11"/>
        <v>1750</v>
      </c>
      <c r="H43" s="88">
        <f t="shared" si="11"/>
        <v>1750</v>
      </c>
      <c r="I43" s="88">
        <f t="shared" si="11"/>
        <v>1750</v>
      </c>
      <c r="J43" s="88">
        <f t="shared" si="11"/>
        <v>1750</v>
      </c>
    </row>
    <row r="44" spans="1:10" x14ac:dyDescent="0.25">
      <c r="A44" t="s">
        <v>163</v>
      </c>
      <c r="B44" s="88">
        <f t="shared" si="5"/>
        <v>2500</v>
      </c>
      <c r="C44" s="88">
        <f t="shared" ref="C44:J44" si="12">C62-C125+C126</f>
        <v>2500</v>
      </c>
      <c r="D44" s="88">
        <f t="shared" si="12"/>
        <v>2500</v>
      </c>
      <c r="E44" s="88">
        <f t="shared" si="12"/>
        <v>2500</v>
      </c>
      <c r="F44" s="88">
        <f t="shared" si="12"/>
        <v>2500</v>
      </c>
      <c r="G44" s="88">
        <f t="shared" si="12"/>
        <v>2500</v>
      </c>
      <c r="H44" s="88">
        <f t="shared" si="12"/>
        <v>2500</v>
      </c>
      <c r="I44" s="88">
        <f t="shared" si="12"/>
        <v>2500</v>
      </c>
      <c r="J44" s="88">
        <f t="shared" si="12"/>
        <v>2500</v>
      </c>
    </row>
    <row r="45" spans="1:10" x14ac:dyDescent="0.25">
      <c r="A45" t="s">
        <v>191</v>
      </c>
      <c r="B45" s="88">
        <f>E29</f>
        <v>4229</v>
      </c>
      <c r="C45" s="88">
        <f t="shared" ref="C45:J45" si="13">C63-C130+C131</f>
        <v>4229</v>
      </c>
      <c r="D45" s="88">
        <f t="shared" si="13"/>
        <v>4229</v>
      </c>
      <c r="E45" s="88">
        <f t="shared" si="13"/>
        <v>4229</v>
      </c>
      <c r="F45" s="88">
        <f t="shared" si="13"/>
        <v>4229</v>
      </c>
      <c r="G45" s="88">
        <f t="shared" si="13"/>
        <v>4229</v>
      </c>
      <c r="H45" s="88">
        <f t="shared" si="13"/>
        <v>4229</v>
      </c>
      <c r="I45" s="88">
        <f t="shared" si="13"/>
        <v>4229</v>
      </c>
      <c r="J45" s="88">
        <f t="shared" si="13"/>
        <v>4229</v>
      </c>
    </row>
    <row r="46" spans="1:10" x14ac:dyDescent="0.25">
      <c r="A46" t="s">
        <v>192</v>
      </c>
      <c r="B46" s="88">
        <f>$D$26+$D$27</f>
        <v>3886</v>
      </c>
      <c r="C46" s="88">
        <f t="shared" ref="C46:J46" si="14">$D$26+$D$27</f>
        <v>3886</v>
      </c>
      <c r="D46" s="88">
        <f t="shared" si="14"/>
        <v>3886</v>
      </c>
      <c r="E46" s="88">
        <f t="shared" si="14"/>
        <v>3886</v>
      </c>
      <c r="F46" s="88">
        <f t="shared" si="14"/>
        <v>3886</v>
      </c>
      <c r="G46" s="88">
        <f t="shared" si="14"/>
        <v>3886</v>
      </c>
      <c r="H46" s="88">
        <f t="shared" si="14"/>
        <v>3886</v>
      </c>
      <c r="I46" s="88">
        <f t="shared" si="14"/>
        <v>3886</v>
      </c>
      <c r="J46" s="88">
        <f t="shared" si="14"/>
        <v>3886</v>
      </c>
    </row>
    <row r="47" spans="1:10" ht="21.75" thickBot="1" x14ac:dyDescent="0.4">
      <c r="A47" s="182" t="s">
        <v>73</v>
      </c>
      <c r="B47" s="183">
        <f>SUM(B33:B46)</f>
        <v>24015</v>
      </c>
      <c r="C47" s="183">
        <f t="shared" ref="C47:J47" si="15">SUM(C33:C46)</f>
        <v>24015</v>
      </c>
      <c r="D47" s="183">
        <f t="shared" si="15"/>
        <v>24015</v>
      </c>
      <c r="E47" s="183">
        <f t="shared" si="15"/>
        <v>24015</v>
      </c>
      <c r="F47" s="183">
        <f t="shared" si="15"/>
        <v>24015</v>
      </c>
      <c r="G47" s="183">
        <f t="shared" si="15"/>
        <v>24015</v>
      </c>
      <c r="H47" s="183">
        <f t="shared" si="15"/>
        <v>24015</v>
      </c>
      <c r="I47" s="183">
        <f t="shared" si="15"/>
        <v>24015</v>
      </c>
      <c r="J47" s="183">
        <f t="shared" si="15"/>
        <v>24015</v>
      </c>
    </row>
    <row r="48" spans="1:10" ht="15.75" thickTop="1" x14ac:dyDescent="0.25"/>
    <row r="49" spans="1:10" ht="21" x14ac:dyDescent="0.35">
      <c r="A49" s="136" t="s">
        <v>164</v>
      </c>
      <c r="B49" s="90">
        <v>2018</v>
      </c>
      <c r="C49" s="90">
        <v>2019</v>
      </c>
      <c r="D49" s="90">
        <v>2020</v>
      </c>
      <c r="E49" s="90">
        <v>2021</v>
      </c>
      <c r="F49" s="90">
        <v>2022</v>
      </c>
      <c r="G49" s="90">
        <v>2023</v>
      </c>
      <c r="H49" s="90">
        <v>2024</v>
      </c>
      <c r="I49" s="90">
        <v>2025</v>
      </c>
      <c r="J49" s="90">
        <v>2026</v>
      </c>
    </row>
    <row r="50" spans="1:10" x14ac:dyDescent="0.25">
      <c r="A50" t="s">
        <v>151</v>
      </c>
    </row>
    <row r="51" spans="1:10" x14ac:dyDescent="0.25">
      <c r="A51" t="s">
        <v>152</v>
      </c>
      <c r="C51" s="88">
        <f t="shared" ref="C51:J63" si="16">B33</f>
        <v>250</v>
      </c>
      <c r="D51" s="88">
        <f t="shared" si="16"/>
        <v>250</v>
      </c>
      <c r="E51" s="88">
        <f t="shared" si="16"/>
        <v>250</v>
      </c>
      <c r="F51" s="88">
        <f t="shared" si="16"/>
        <v>250</v>
      </c>
      <c r="G51" s="88">
        <f t="shared" si="16"/>
        <v>250</v>
      </c>
      <c r="H51" s="88">
        <f t="shared" si="16"/>
        <v>250</v>
      </c>
      <c r="I51" s="88">
        <f t="shared" si="16"/>
        <v>250</v>
      </c>
      <c r="J51" s="88">
        <f t="shared" si="16"/>
        <v>250</v>
      </c>
    </row>
    <row r="52" spans="1:10" x14ac:dyDescent="0.25">
      <c r="A52" t="s">
        <v>153</v>
      </c>
      <c r="C52" s="88">
        <f t="shared" si="16"/>
        <v>1250</v>
      </c>
      <c r="D52" s="88">
        <f t="shared" si="16"/>
        <v>1250</v>
      </c>
      <c r="E52" s="88">
        <f t="shared" si="16"/>
        <v>1250</v>
      </c>
      <c r="F52" s="88">
        <f t="shared" si="16"/>
        <v>1250</v>
      </c>
      <c r="G52" s="88">
        <f t="shared" si="16"/>
        <v>1250</v>
      </c>
      <c r="H52" s="88">
        <f t="shared" si="16"/>
        <v>1250</v>
      </c>
      <c r="I52" s="88">
        <f t="shared" si="16"/>
        <v>1250</v>
      </c>
      <c r="J52" s="88">
        <f t="shared" si="16"/>
        <v>1250</v>
      </c>
    </row>
    <row r="53" spans="1:10" x14ac:dyDescent="0.25">
      <c r="A53" t="s">
        <v>154</v>
      </c>
      <c r="C53" s="88">
        <f t="shared" si="16"/>
        <v>1750</v>
      </c>
      <c r="D53" s="88">
        <f t="shared" si="16"/>
        <v>1750</v>
      </c>
      <c r="E53" s="88">
        <f t="shared" si="16"/>
        <v>1750</v>
      </c>
      <c r="F53" s="88">
        <f t="shared" si="16"/>
        <v>1750</v>
      </c>
      <c r="G53" s="88">
        <f t="shared" si="16"/>
        <v>1750</v>
      </c>
      <c r="H53" s="88">
        <f t="shared" si="16"/>
        <v>1750</v>
      </c>
      <c r="I53" s="88">
        <f t="shared" si="16"/>
        <v>1750</v>
      </c>
      <c r="J53" s="88">
        <f t="shared" si="16"/>
        <v>1750</v>
      </c>
    </row>
    <row r="54" spans="1:10" x14ac:dyDescent="0.25">
      <c r="A54" t="s">
        <v>155</v>
      </c>
      <c r="C54" s="88">
        <f t="shared" si="16"/>
        <v>500</v>
      </c>
      <c r="D54" s="88">
        <f t="shared" si="16"/>
        <v>500</v>
      </c>
      <c r="E54" s="88">
        <f t="shared" si="16"/>
        <v>500</v>
      </c>
      <c r="F54" s="88">
        <f t="shared" si="16"/>
        <v>500</v>
      </c>
      <c r="G54" s="88">
        <f t="shared" si="16"/>
        <v>500</v>
      </c>
      <c r="H54" s="88">
        <f t="shared" si="16"/>
        <v>500</v>
      </c>
      <c r="I54" s="88">
        <f t="shared" si="16"/>
        <v>500</v>
      </c>
      <c r="J54" s="88">
        <f t="shared" si="16"/>
        <v>500</v>
      </c>
    </row>
    <row r="55" spans="1:10" x14ac:dyDescent="0.25">
      <c r="A55" t="s">
        <v>156</v>
      </c>
      <c r="C55" s="88">
        <f t="shared" si="16"/>
        <v>1500</v>
      </c>
      <c r="D55" s="88">
        <f t="shared" si="16"/>
        <v>1500</v>
      </c>
      <c r="E55" s="88">
        <f t="shared" si="16"/>
        <v>1500</v>
      </c>
      <c r="F55" s="88">
        <f t="shared" si="16"/>
        <v>1500</v>
      </c>
      <c r="G55" s="88">
        <f t="shared" si="16"/>
        <v>1500</v>
      </c>
      <c r="H55" s="88">
        <f t="shared" si="16"/>
        <v>1500</v>
      </c>
      <c r="I55" s="88">
        <f t="shared" si="16"/>
        <v>1500</v>
      </c>
      <c r="J55" s="88">
        <f t="shared" si="16"/>
        <v>1500</v>
      </c>
    </row>
    <row r="56" spans="1:10" x14ac:dyDescent="0.25">
      <c r="A56" t="s">
        <v>157</v>
      </c>
      <c r="C56" s="88">
        <f t="shared" si="16"/>
        <v>2500</v>
      </c>
      <c r="D56" s="88">
        <f t="shared" si="16"/>
        <v>2500</v>
      </c>
      <c r="E56" s="88">
        <f t="shared" si="16"/>
        <v>2500</v>
      </c>
      <c r="F56" s="88">
        <f t="shared" si="16"/>
        <v>2500</v>
      </c>
      <c r="G56" s="88">
        <f t="shared" si="16"/>
        <v>2500</v>
      </c>
      <c r="H56" s="88">
        <f t="shared" si="16"/>
        <v>2500</v>
      </c>
      <c r="I56" s="88">
        <f t="shared" si="16"/>
        <v>2500</v>
      </c>
      <c r="J56" s="88">
        <f t="shared" si="16"/>
        <v>2500</v>
      </c>
    </row>
    <row r="57" spans="1:10" x14ac:dyDescent="0.25">
      <c r="A57" t="s">
        <v>158</v>
      </c>
      <c r="C57" s="88">
        <f t="shared" si="16"/>
        <v>1150</v>
      </c>
      <c r="D57" s="88">
        <f t="shared" si="16"/>
        <v>1150</v>
      </c>
      <c r="E57" s="88">
        <f t="shared" si="16"/>
        <v>1150</v>
      </c>
      <c r="F57" s="88">
        <f t="shared" si="16"/>
        <v>1150</v>
      </c>
      <c r="G57" s="88">
        <f t="shared" si="16"/>
        <v>1150</v>
      </c>
      <c r="H57" s="88">
        <f t="shared" si="16"/>
        <v>1150</v>
      </c>
      <c r="I57" s="88">
        <f t="shared" si="16"/>
        <v>1150</v>
      </c>
      <c r="J57" s="88">
        <f t="shared" si="16"/>
        <v>1150</v>
      </c>
    </row>
    <row r="58" spans="1:10" x14ac:dyDescent="0.25">
      <c r="A58" t="s">
        <v>159</v>
      </c>
      <c r="C58" s="88">
        <f t="shared" si="16"/>
        <v>500</v>
      </c>
      <c r="D58" s="88">
        <f t="shared" si="16"/>
        <v>500</v>
      </c>
      <c r="E58" s="88">
        <f t="shared" si="16"/>
        <v>500</v>
      </c>
      <c r="F58" s="88">
        <f t="shared" si="16"/>
        <v>500</v>
      </c>
      <c r="G58" s="88">
        <f t="shared" si="16"/>
        <v>500</v>
      </c>
      <c r="H58" s="88">
        <f t="shared" si="16"/>
        <v>500</v>
      </c>
      <c r="I58" s="88">
        <f t="shared" si="16"/>
        <v>500</v>
      </c>
      <c r="J58" s="88">
        <f t="shared" si="16"/>
        <v>500</v>
      </c>
    </row>
    <row r="59" spans="1:10" x14ac:dyDescent="0.25">
      <c r="A59" t="s">
        <v>161</v>
      </c>
      <c r="C59" s="88">
        <f t="shared" si="16"/>
        <v>1250</v>
      </c>
      <c r="D59" s="88">
        <f t="shared" si="16"/>
        <v>1250</v>
      </c>
      <c r="E59" s="88">
        <f t="shared" si="16"/>
        <v>1250</v>
      </c>
      <c r="F59" s="88">
        <f t="shared" si="16"/>
        <v>1250</v>
      </c>
      <c r="G59" s="88">
        <f t="shared" si="16"/>
        <v>1250</v>
      </c>
      <c r="H59" s="88">
        <f t="shared" si="16"/>
        <v>1250</v>
      </c>
      <c r="I59" s="88">
        <f t="shared" si="16"/>
        <v>1250</v>
      </c>
      <c r="J59" s="88">
        <f t="shared" si="16"/>
        <v>1250</v>
      </c>
    </row>
    <row r="60" spans="1:10" x14ac:dyDescent="0.25">
      <c r="A60" t="s">
        <v>160</v>
      </c>
      <c r="C60" s="88">
        <f t="shared" si="16"/>
        <v>1000</v>
      </c>
      <c r="D60" s="88">
        <f t="shared" si="16"/>
        <v>1000</v>
      </c>
      <c r="E60" s="88">
        <f t="shared" si="16"/>
        <v>1000</v>
      </c>
      <c r="F60" s="88">
        <f t="shared" si="16"/>
        <v>1000</v>
      </c>
      <c r="G60" s="88">
        <f t="shared" si="16"/>
        <v>1000</v>
      </c>
      <c r="H60" s="88">
        <f t="shared" si="16"/>
        <v>1000</v>
      </c>
      <c r="I60" s="88">
        <f t="shared" si="16"/>
        <v>1000</v>
      </c>
      <c r="J60" s="88">
        <f t="shared" si="16"/>
        <v>1000</v>
      </c>
    </row>
    <row r="61" spans="1:10" x14ac:dyDescent="0.25">
      <c r="A61" t="s">
        <v>162</v>
      </c>
      <c r="C61" s="88">
        <f t="shared" si="16"/>
        <v>1750</v>
      </c>
      <c r="D61" s="88">
        <f t="shared" si="16"/>
        <v>1750</v>
      </c>
      <c r="E61" s="88">
        <f t="shared" si="16"/>
        <v>1750</v>
      </c>
      <c r="F61" s="88">
        <f t="shared" si="16"/>
        <v>1750</v>
      </c>
      <c r="G61" s="88">
        <f t="shared" si="16"/>
        <v>1750</v>
      </c>
      <c r="H61" s="88">
        <f t="shared" si="16"/>
        <v>1750</v>
      </c>
      <c r="I61" s="88">
        <f t="shared" si="16"/>
        <v>1750</v>
      </c>
      <c r="J61" s="88">
        <f t="shared" si="16"/>
        <v>1750</v>
      </c>
    </row>
    <row r="62" spans="1:10" x14ac:dyDescent="0.25">
      <c r="A62" t="s">
        <v>163</v>
      </c>
      <c r="C62" s="88">
        <f t="shared" si="16"/>
        <v>2500</v>
      </c>
      <c r="D62" s="88">
        <f t="shared" si="16"/>
        <v>2500</v>
      </c>
      <c r="E62" s="88">
        <f t="shared" si="16"/>
        <v>2500</v>
      </c>
      <c r="F62" s="88">
        <f t="shared" si="16"/>
        <v>2500</v>
      </c>
      <c r="G62" s="88">
        <f t="shared" si="16"/>
        <v>2500</v>
      </c>
      <c r="H62" s="88">
        <f t="shared" si="16"/>
        <v>2500</v>
      </c>
      <c r="I62" s="88">
        <f t="shared" si="16"/>
        <v>2500</v>
      </c>
      <c r="J62" s="88">
        <f t="shared" si="16"/>
        <v>2500</v>
      </c>
    </row>
    <row r="63" spans="1:10" x14ac:dyDescent="0.25">
      <c r="A63" s="165" t="s">
        <v>191</v>
      </c>
      <c r="B63" s="165"/>
      <c r="C63" s="184">
        <f t="shared" si="16"/>
        <v>4229</v>
      </c>
      <c r="D63" s="184">
        <f t="shared" si="16"/>
        <v>4229</v>
      </c>
      <c r="E63" s="184">
        <f t="shared" si="16"/>
        <v>4229</v>
      </c>
      <c r="F63" s="184">
        <f t="shared" si="16"/>
        <v>4229</v>
      </c>
      <c r="G63" s="184">
        <f t="shared" si="16"/>
        <v>4229</v>
      </c>
      <c r="H63" s="184">
        <f t="shared" si="16"/>
        <v>4229</v>
      </c>
      <c r="I63" s="184">
        <f t="shared" si="16"/>
        <v>4229</v>
      </c>
      <c r="J63" s="184">
        <f t="shared" si="16"/>
        <v>4229</v>
      </c>
    </row>
    <row r="66" spans="1:10" ht="21" x14ac:dyDescent="0.35">
      <c r="A66" s="136" t="s">
        <v>152</v>
      </c>
      <c r="B66" s="90">
        <v>2018</v>
      </c>
      <c r="C66" s="90">
        <v>2019</v>
      </c>
      <c r="D66" s="90">
        <v>2020</v>
      </c>
      <c r="E66" s="90">
        <v>2021</v>
      </c>
      <c r="F66" s="90">
        <v>2022</v>
      </c>
      <c r="G66" s="90">
        <v>2023</v>
      </c>
      <c r="H66" s="90">
        <v>2024</v>
      </c>
      <c r="I66" s="90">
        <v>2025</v>
      </c>
      <c r="J66" s="90">
        <v>2026</v>
      </c>
    </row>
    <row r="67" spans="1:10" x14ac:dyDescent="0.25">
      <c r="A67" t="s">
        <v>169</v>
      </c>
      <c r="C67" s="92">
        <f>C51*$C$6</f>
        <v>4.8824999999999994</v>
      </c>
      <c r="D67" s="92">
        <f t="shared" ref="D67:J67" si="17">D51*$C$6</f>
        <v>4.8824999999999994</v>
      </c>
      <c r="E67" s="92">
        <f t="shared" si="17"/>
        <v>4.8824999999999994</v>
      </c>
      <c r="F67" s="92">
        <f t="shared" si="17"/>
        <v>4.8824999999999994</v>
      </c>
      <c r="G67" s="92">
        <f t="shared" si="17"/>
        <v>4.8824999999999994</v>
      </c>
      <c r="H67" s="92">
        <f t="shared" si="17"/>
        <v>4.8824999999999994</v>
      </c>
      <c r="I67" s="92">
        <f t="shared" si="17"/>
        <v>4.8824999999999994</v>
      </c>
      <c r="J67" s="92">
        <f t="shared" si="17"/>
        <v>4.8824999999999994</v>
      </c>
    </row>
    <row r="68" spans="1:10" x14ac:dyDescent="0.25">
      <c r="A68" t="s">
        <v>170</v>
      </c>
      <c r="C68" s="92">
        <f>E6</f>
        <v>250</v>
      </c>
      <c r="D68" s="92"/>
      <c r="E68" s="92"/>
      <c r="F68" s="92"/>
      <c r="G68" s="92"/>
      <c r="H68" s="92"/>
      <c r="I68" s="92"/>
      <c r="J68" s="92"/>
    </row>
    <row r="69" spans="1:10" x14ac:dyDescent="0.25">
      <c r="A69" t="s">
        <v>171</v>
      </c>
      <c r="C69" s="92">
        <f>IF(Choose_Rollover=1,C68,0)</f>
        <v>250</v>
      </c>
      <c r="D69" s="92"/>
      <c r="E69" s="92"/>
      <c r="F69" s="92"/>
      <c r="G69" s="92"/>
      <c r="H69" s="92"/>
      <c r="I69" s="92"/>
      <c r="J69" s="92"/>
    </row>
    <row r="70" spans="1:10" x14ac:dyDescent="0.25">
      <c r="C70" s="92"/>
      <c r="D70" s="92"/>
      <c r="E70" s="92"/>
      <c r="F70" s="92"/>
      <c r="G70" s="92"/>
      <c r="H70" s="92"/>
      <c r="I70" s="92"/>
      <c r="J70" s="92"/>
    </row>
    <row r="71" spans="1:10" x14ac:dyDescent="0.25">
      <c r="C71" s="92"/>
      <c r="D71" s="92"/>
      <c r="E71" s="92"/>
      <c r="F71" s="92"/>
      <c r="G71" s="92"/>
      <c r="H71" s="92"/>
      <c r="I71" s="92"/>
      <c r="J71" s="92"/>
    </row>
    <row r="72" spans="1:10" ht="21" x14ac:dyDescent="0.35">
      <c r="A72" s="136" t="s">
        <v>153</v>
      </c>
      <c r="B72" s="90">
        <v>2018</v>
      </c>
      <c r="C72" s="90">
        <v>2019</v>
      </c>
      <c r="D72" s="90">
        <v>2020</v>
      </c>
      <c r="E72" s="90">
        <v>2021</v>
      </c>
      <c r="F72" s="90">
        <v>2022</v>
      </c>
      <c r="G72" s="90">
        <v>2023</v>
      </c>
      <c r="H72" s="90">
        <v>2024</v>
      </c>
      <c r="I72" s="90">
        <v>2025</v>
      </c>
      <c r="J72" s="90">
        <v>2026</v>
      </c>
    </row>
    <row r="73" spans="1:10" x14ac:dyDescent="0.25">
      <c r="A73" t="s">
        <v>169</v>
      </c>
      <c r="C73" s="92">
        <f>C52*$C$7</f>
        <v>21.35</v>
      </c>
      <c r="D73" s="92">
        <f t="shared" ref="D73:J73" si="18">D52*$C$7</f>
        <v>21.35</v>
      </c>
      <c r="E73" s="92">
        <f t="shared" si="18"/>
        <v>21.35</v>
      </c>
      <c r="F73" s="92">
        <f t="shared" si="18"/>
        <v>21.35</v>
      </c>
      <c r="G73" s="92">
        <f t="shared" si="18"/>
        <v>21.35</v>
      </c>
      <c r="H73" s="92">
        <f t="shared" si="18"/>
        <v>21.35</v>
      </c>
      <c r="I73" s="92">
        <f t="shared" si="18"/>
        <v>21.35</v>
      </c>
      <c r="J73" s="92">
        <f t="shared" si="18"/>
        <v>21.35</v>
      </c>
    </row>
    <row r="74" spans="1:10" x14ac:dyDescent="0.25">
      <c r="A74" t="s">
        <v>170</v>
      </c>
      <c r="C74" s="92">
        <f>E7</f>
        <v>1250</v>
      </c>
      <c r="D74" s="92"/>
      <c r="E74" s="92"/>
      <c r="F74" s="92"/>
      <c r="G74" s="92"/>
      <c r="H74" s="92"/>
      <c r="I74" s="92"/>
      <c r="J74" s="92"/>
    </row>
    <row r="75" spans="1:10" x14ac:dyDescent="0.25">
      <c r="A75" t="s">
        <v>171</v>
      </c>
      <c r="C75" s="92">
        <f>IF(Choose_Rollover=1,C74,0)</f>
        <v>1250</v>
      </c>
      <c r="D75" s="92"/>
      <c r="E75" s="92"/>
      <c r="F75" s="92"/>
      <c r="G75" s="92"/>
      <c r="H75" s="92"/>
      <c r="I75" s="92"/>
      <c r="J75" s="92"/>
    </row>
    <row r="76" spans="1:10" x14ac:dyDescent="0.25">
      <c r="C76" s="92"/>
      <c r="D76" s="92"/>
      <c r="E76" s="92"/>
      <c r="F76" s="92"/>
      <c r="G76" s="92"/>
      <c r="H76" s="92"/>
      <c r="I76" s="92"/>
      <c r="J76" s="92"/>
    </row>
    <row r="77" spans="1:10" x14ac:dyDescent="0.25">
      <c r="C77" s="92"/>
      <c r="D77" s="92"/>
      <c r="E77" s="92"/>
      <c r="F77" s="92"/>
      <c r="G77" s="92"/>
      <c r="H77" s="92"/>
      <c r="I77" s="92"/>
      <c r="J77" s="92"/>
    </row>
    <row r="78" spans="1:10" ht="21" x14ac:dyDescent="0.35">
      <c r="A78" s="136" t="s">
        <v>154</v>
      </c>
      <c r="B78" s="90">
        <v>2018</v>
      </c>
      <c r="C78" s="90">
        <v>2019</v>
      </c>
      <c r="D78" s="90">
        <v>2020</v>
      </c>
      <c r="E78" s="90">
        <v>2021</v>
      </c>
      <c r="F78" s="90">
        <v>2022</v>
      </c>
      <c r="G78" s="90">
        <v>2023</v>
      </c>
      <c r="H78" s="90">
        <v>2024</v>
      </c>
      <c r="I78" s="90">
        <v>2025</v>
      </c>
      <c r="J78" s="90">
        <v>2026</v>
      </c>
    </row>
    <row r="79" spans="1:10" x14ac:dyDescent="0.25">
      <c r="A79" t="s">
        <v>169</v>
      </c>
      <c r="C79" s="92">
        <f>C53*$C$8</f>
        <v>31.832500000000003</v>
      </c>
      <c r="D79" s="92">
        <f t="shared" ref="D79:J79" si="19">D53*$C$8</f>
        <v>31.832500000000003</v>
      </c>
      <c r="E79" s="92">
        <f t="shared" si="19"/>
        <v>31.832500000000003</v>
      </c>
      <c r="F79" s="92">
        <f t="shared" si="19"/>
        <v>31.832500000000003</v>
      </c>
      <c r="G79" s="92">
        <f t="shared" si="19"/>
        <v>31.832500000000003</v>
      </c>
      <c r="H79" s="92">
        <f t="shared" si="19"/>
        <v>31.832500000000003</v>
      </c>
      <c r="I79" s="92">
        <f t="shared" si="19"/>
        <v>31.832500000000003</v>
      </c>
      <c r="J79" s="92">
        <f t="shared" si="19"/>
        <v>31.832500000000003</v>
      </c>
    </row>
    <row r="80" spans="1:10" x14ac:dyDescent="0.25">
      <c r="A80" t="s">
        <v>170</v>
      </c>
      <c r="C80" s="92">
        <f>E8</f>
        <v>1750</v>
      </c>
      <c r="D80" s="92"/>
      <c r="E80" s="92"/>
      <c r="F80" s="92"/>
      <c r="G80" s="92"/>
      <c r="H80" s="92"/>
      <c r="I80" s="92"/>
      <c r="J80" s="92"/>
    </row>
    <row r="81" spans="1:10" x14ac:dyDescent="0.25">
      <c r="A81" t="s">
        <v>171</v>
      </c>
      <c r="C81" s="92">
        <f>IF(Choose_Rollover=1,C80,0)</f>
        <v>1750</v>
      </c>
      <c r="D81" s="92"/>
      <c r="E81" s="92"/>
      <c r="F81" s="92"/>
      <c r="G81" s="92"/>
      <c r="H81" s="92"/>
      <c r="I81" s="92"/>
      <c r="J81" s="92"/>
    </row>
    <row r="82" spans="1:10" x14ac:dyDescent="0.25">
      <c r="C82" s="92"/>
      <c r="D82" s="92"/>
      <c r="E82" s="92"/>
      <c r="F82" s="92"/>
      <c r="G82" s="92"/>
      <c r="H82" s="92"/>
      <c r="I82" s="92"/>
      <c r="J82" s="92"/>
    </row>
    <row r="83" spans="1:10" ht="21" x14ac:dyDescent="0.35">
      <c r="A83" s="136" t="s">
        <v>155</v>
      </c>
      <c r="B83" s="90">
        <v>2018</v>
      </c>
      <c r="C83" s="90">
        <v>2019</v>
      </c>
      <c r="D83" s="90">
        <v>2020</v>
      </c>
      <c r="E83" s="90">
        <v>2021</v>
      </c>
      <c r="F83" s="90">
        <v>2022</v>
      </c>
      <c r="G83" s="90">
        <v>2023</v>
      </c>
      <c r="H83" s="90">
        <v>2024</v>
      </c>
      <c r="I83" s="90">
        <v>2025</v>
      </c>
      <c r="J83" s="90">
        <v>2026</v>
      </c>
    </row>
    <row r="84" spans="1:10" x14ac:dyDescent="0.25">
      <c r="A84" t="s">
        <v>169</v>
      </c>
      <c r="C84" s="92">
        <f>C54*$C$9</f>
        <v>6.7249999999999996</v>
      </c>
      <c r="D84" s="92">
        <f t="shared" ref="D84:J84" si="20">D54*$C$9</f>
        <v>6.7249999999999996</v>
      </c>
      <c r="E84" s="92">
        <f t="shared" si="20"/>
        <v>6.7249999999999996</v>
      </c>
      <c r="F84" s="92">
        <f t="shared" si="20"/>
        <v>6.7249999999999996</v>
      </c>
      <c r="G84" s="92">
        <f t="shared" si="20"/>
        <v>6.7249999999999996</v>
      </c>
      <c r="H84" s="92">
        <f t="shared" si="20"/>
        <v>6.7249999999999996</v>
      </c>
      <c r="I84" s="92">
        <f t="shared" si="20"/>
        <v>6.7249999999999996</v>
      </c>
      <c r="J84" s="92">
        <f t="shared" si="20"/>
        <v>6.7249999999999996</v>
      </c>
    </row>
    <row r="85" spans="1:10" x14ac:dyDescent="0.25">
      <c r="A85" t="s">
        <v>170</v>
      </c>
      <c r="C85" s="92">
        <f>E9</f>
        <v>500</v>
      </c>
      <c r="D85" s="92"/>
      <c r="E85" s="92"/>
      <c r="F85" s="92"/>
      <c r="G85" s="92"/>
      <c r="H85" s="92"/>
      <c r="I85" s="92"/>
      <c r="J85" s="92"/>
    </row>
    <row r="86" spans="1:10" x14ac:dyDescent="0.25">
      <c r="A86" t="s">
        <v>171</v>
      </c>
      <c r="C86" s="92">
        <f>IF(Choose_Rollover=1,C85,0)</f>
        <v>500</v>
      </c>
      <c r="D86" s="92"/>
      <c r="E86" s="92"/>
      <c r="F86" s="92"/>
      <c r="G86" s="92"/>
      <c r="H86" s="92"/>
      <c r="I86" s="92"/>
      <c r="J86" s="92"/>
    </row>
    <row r="87" spans="1:10" x14ac:dyDescent="0.25">
      <c r="C87" s="92"/>
      <c r="D87" s="92"/>
      <c r="E87" s="92"/>
      <c r="F87" s="92"/>
      <c r="G87" s="92"/>
      <c r="H87" s="92"/>
      <c r="I87" s="92"/>
      <c r="J87" s="92"/>
    </row>
    <row r="88" spans="1:10" ht="21" x14ac:dyDescent="0.35">
      <c r="A88" s="136" t="s">
        <v>156</v>
      </c>
      <c r="B88" s="90">
        <v>2018</v>
      </c>
      <c r="C88" s="90">
        <v>2019</v>
      </c>
      <c r="D88" s="90">
        <v>2020</v>
      </c>
      <c r="E88" s="90">
        <v>2021</v>
      </c>
      <c r="F88" s="90">
        <v>2022</v>
      </c>
      <c r="G88" s="90">
        <v>2023</v>
      </c>
      <c r="H88" s="90">
        <v>2024</v>
      </c>
      <c r="I88" s="90">
        <v>2025</v>
      </c>
      <c r="J88" s="90">
        <v>2026</v>
      </c>
    </row>
    <row r="89" spans="1:10" x14ac:dyDescent="0.25">
      <c r="A89" t="s">
        <v>169</v>
      </c>
      <c r="C89" s="92">
        <f>C55*$C$10</f>
        <v>28.680000000000003</v>
      </c>
      <c r="D89" s="92">
        <f t="shared" ref="D89:J89" si="21">D55*$C$10</f>
        <v>28.680000000000003</v>
      </c>
      <c r="E89" s="92">
        <f t="shared" si="21"/>
        <v>28.680000000000003</v>
      </c>
      <c r="F89" s="92">
        <f t="shared" si="21"/>
        <v>28.680000000000003</v>
      </c>
      <c r="G89" s="92">
        <f t="shared" si="21"/>
        <v>28.680000000000003</v>
      </c>
      <c r="H89" s="92">
        <f t="shared" si="21"/>
        <v>28.680000000000003</v>
      </c>
      <c r="I89" s="92">
        <f t="shared" si="21"/>
        <v>28.680000000000003</v>
      </c>
      <c r="J89" s="92">
        <f t="shared" si="21"/>
        <v>28.680000000000003</v>
      </c>
    </row>
    <row r="90" spans="1:10" x14ac:dyDescent="0.25">
      <c r="A90" t="s">
        <v>170</v>
      </c>
      <c r="C90" s="92"/>
      <c r="D90" s="92">
        <f>E10</f>
        <v>1500</v>
      </c>
      <c r="E90" s="92"/>
      <c r="F90" s="92"/>
      <c r="G90" s="92"/>
      <c r="H90" s="92"/>
      <c r="I90" s="92"/>
      <c r="J90" s="92"/>
    </row>
    <row r="91" spans="1:10" x14ac:dyDescent="0.25">
      <c r="A91" t="s">
        <v>171</v>
      </c>
      <c r="C91" s="92"/>
      <c r="D91" s="92">
        <f>IF(Choose_Rollover=1,D90,0)</f>
        <v>1500</v>
      </c>
      <c r="E91" s="92"/>
      <c r="F91" s="92"/>
      <c r="G91" s="92"/>
      <c r="H91" s="92"/>
      <c r="I91" s="92"/>
      <c r="J91" s="92"/>
    </row>
    <row r="92" spans="1:10" x14ac:dyDescent="0.25">
      <c r="C92" s="92"/>
      <c r="D92" s="92"/>
      <c r="E92" s="92"/>
      <c r="F92" s="92"/>
      <c r="G92" s="92"/>
      <c r="H92" s="92"/>
      <c r="I92" s="92"/>
      <c r="J92" s="92"/>
    </row>
    <row r="93" spans="1:10" ht="21" x14ac:dyDescent="0.35">
      <c r="A93" s="136" t="s">
        <v>157</v>
      </c>
      <c r="B93" s="90">
        <v>2018</v>
      </c>
      <c r="C93" s="90">
        <v>2019</v>
      </c>
      <c r="D93" s="90">
        <v>2020</v>
      </c>
      <c r="E93" s="90">
        <v>2021</v>
      </c>
      <c r="F93" s="90">
        <v>2022</v>
      </c>
      <c r="G93" s="90">
        <v>2023</v>
      </c>
      <c r="H93" s="90">
        <v>2024</v>
      </c>
      <c r="I93" s="90">
        <v>2025</v>
      </c>
      <c r="J93" s="90">
        <v>2026</v>
      </c>
    </row>
    <row r="94" spans="1:10" x14ac:dyDescent="0.25">
      <c r="A94" t="s">
        <v>169</v>
      </c>
      <c r="C94" s="92">
        <f>C56*$C$12</f>
        <v>55.55</v>
      </c>
      <c r="D94" s="92">
        <f t="shared" ref="D94:J94" si="22">D56*$C$12</f>
        <v>55.55</v>
      </c>
      <c r="E94" s="92">
        <f t="shared" si="22"/>
        <v>55.55</v>
      </c>
      <c r="F94" s="92">
        <f t="shared" si="22"/>
        <v>55.55</v>
      </c>
      <c r="G94" s="92">
        <f t="shared" si="22"/>
        <v>55.55</v>
      </c>
      <c r="H94" s="92">
        <f t="shared" si="22"/>
        <v>55.55</v>
      </c>
      <c r="I94" s="92">
        <f t="shared" si="22"/>
        <v>55.55</v>
      </c>
      <c r="J94" s="92">
        <f t="shared" si="22"/>
        <v>55.55</v>
      </c>
    </row>
    <row r="95" spans="1:10" x14ac:dyDescent="0.25">
      <c r="A95" t="s">
        <v>170</v>
      </c>
      <c r="C95" s="92"/>
      <c r="D95" s="92"/>
      <c r="E95" s="92">
        <f>E12</f>
        <v>2500</v>
      </c>
      <c r="F95" s="92"/>
      <c r="G95" s="92"/>
      <c r="H95" s="92"/>
      <c r="I95" s="92"/>
      <c r="J95" s="92"/>
    </row>
    <row r="96" spans="1:10" ht="21" x14ac:dyDescent="0.35">
      <c r="A96" t="s">
        <v>171</v>
      </c>
      <c r="C96" s="93"/>
      <c r="D96" s="92"/>
      <c r="E96" s="92">
        <f>IF(Choose_Rollover=1,E95,0)</f>
        <v>2500</v>
      </c>
      <c r="F96" s="92"/>
      <c r="G96" s="92"/>
      <c r="H96" s="92"/>
      <c r="I96" s="92"/>
      <c r="J96" s="92"/>
    </row>
    <row r="97" spans="1:10" x14ac:dyDescent="0.25">
      <c r="C97" s="92"/>
      <c r="D97" s="92"/>
      <c r="E97" s="92"/>
      <c r="F97" s="92"/>
      <c r="G97" s="92"/>
      <c r="H97" s="92"/>
      <c r="I97" s="92"/>
      <c r="J97" s="92"/>
    </row>
    <row r="98" spans="1:10" ht="21" x14ac:dyDescent="0.35">
      <c r="A98" s="136" t="s">
        <v>158</v>
      </c>
      <c r="B98" s="90">
        <v>2018</v>
      </c>
      <c r="C98" s="90">
        <v>2019</v>
      </c>
      <c r="D98" s="90">
        <v>2020</v>
      </c>
      <c r="E98" s="90">
        <v>2021</v>
      </c>
      <c r="F98" s="90">
        <v>2022</v>
      </c>
      <c r="G98" s="90">
        <v>2023</v>
      </c>
      <c r="H98" s="90">
        <v>2024</v>
      </c>
      <c r="I98" s="90">
        <v>2025</v>
      </c>
      <c r="J98" s="90">
        <v>2026</v>
      </c>
    </row>
    <row r="99" spans="1:10" x14ac:dyDescent="0.25">
      <c r="A99" t="s">
        <v>169</v>
      </c>
      <c r="C99" s="92">
        <f>C57*$C$13</f>
        <v>27.565500000000004</v>
      </c>
      <c r="D99" s="92">
        <f t="shared" ref="D99:J99" si="23">D57*$C$13</f>
        <v>27.565500000000004</v>
      </c>
      <c r="E99" s="92">
        <f t="shared" si="23"/>
        <v>27.565500000000004</v>
      </c>
      <c r="F99" s="92">
        <f t="shared" si="23"/>
        <v>27.565500000000004</v>
      </c>
      <c r="G99" s="92">
        <f t="shared" si="23"/>
        <v>27.565500000000004</v>
      </c>
      <c r="H99" s="92">
        <f t="shared" si="23"/>
        <v>27.565500000000004</v>
      </c>
      <c r="I99" s="92">
        <f t="shared" si="23"/>
        <v>27.565500000000004</v>
      </c>
      <c r="J99" s="92">
        <f t="shared" si="23"/>
        <v>27.565500000000004</v>
      </c>
    </row>
    <row r="100" spans="1:10" x14ac:dyDescent="0.25">
      <c r="A100" t="s">
        <v>170</v>
      </c>
      <c r="C100" s="92"/>
      <c r="D100" s="92"/>
      <c r="E100" s="92"/>
      <c r="F100" s="92">
        <f>E13</f>
        <v>1150</v>
      </c>
      <c r="G100" s="92"/>
      <c r="H100" s="92"/>
      <c r="I100" s="92"/>
      <c r="J100" s="92"/>
    </row>
    <row r="101" spans="1:10" x14ac:dyDescent="0.25">
      <c r="A101" t="s">
        <v>171</v>
      </c>
      <c r="C101" s="92"/>
      <c r="D101" s="92"/>
      <c r="E101" s="92"/>
      <c r="F101" s="92">
        <f>IF(Choose_Rollover=1,F100,0)</f>
        <v>1150</v>
      </c>
      <c r="G101" s="92"/>
      <c r="H101" s="92"/>
      <c r="I101" s="92"/>
      <c r="J101" s="92"/>
    </row>
    <row r="102" spans="1:10" x14ac:dyDescent="0.25">
      <c r="C102" s="92"/>
      <c r="D102" s="92"/>
      <c r="E102" s="92"/>
      <c r="F102" s="92"/>
      <c r="G102" s="92"/>
      <c r="H102" s="92"/>
      <c r="I102" s="92"/>
      <c r="J102" s="92"/>
    </row>
    <row r="103" spans="1:10" ht="21" x14ac:dyDescent="0.35">
      <c r="A103" s="136" t="s">
        <v>159</v>
      </c>
      <c r="B103" s="90">
        <v>2018</v>
      </c>
      <c r="C103" s="90">
        <v>2019</v>
      </c>
      <c r="D103" s="90">
        <v>2020</v>
      </c>
      <c r="E103" s="90">
        <v>2021</v>
      </c>
      <c r="F103" s="90">
        <v>2022</v>
      </c>
      <c r="G103" s="90">
        <v>2023</v>
      </c>
      <c r="H103" s="90">
        <v>2024</v>
      </c>
      <c r="I103" s="90">
        <v>2025</v>
      </c>
      <c r="J103" s="90">
        <v>2026</v>
      </c>
    </row>
    <row r="104" spans="1:10" x14ac:dyDescent="0.25">
      <c r="A104" t="s">
        <v>169</v>
      </c>
      <c r="C104" s="92">
        <f>C58*$C$14</f>
        <v>7.7850000000000001</v>
      </c>
      <c r="D104" s="92">
        <f t="shared" ref="D104:J104" si="24">D58*$C$14</f>
        <v>7.7850000000000001</v>
      </c>
      <c r="E104" s="92">
        <f t="shared" si="24"/>
        <v>7.7850000000000001</v>
      </c>
      <c r="F104" s="92">
        <f t="shared" si="24"/>
        <v>7.7850000000000001</v>
      </c>
      <c r="G104" s="92">
        <f t="shared" si="24"/>
        <v>7.7850000000000001</v>
      </c>
      <c r="H104" s="92">
        <f t="shared" si="24"/>
        <v>7.7850000000000001</v>
      </c>
      <c r="I104" s="92">
        <f t="shared" si="24"/>
        <v>7.7850000000000001</v>
      </c>
      <c r="J104" s="92">
        <f t="shared" si="24"/>
        <v>7.7850000000000001</v>
      </c>
    </row>
    <row r="105" spans="1:10" x14ac:dyDescent="0.25">
      <c r="A105" t="s">
        <v>170</v>
      </c>
      <c r="C105" s="92"/>
      <c r="D105" s="92"/>
      <c r="E105" s="92"/>
      <c r="F105" s="92">
        <f>E14</f>
        <v>500</v>
      </c>
      <c r="G105" s="92"/>
      <c r="H105" s="92"/>
      <c r="I105" s="92"/>
      <c r="J105" s="92"/>
    </row>
    <row r="106" spans="1:10" x14ac:dyDescent="0.25">
      <c r="A106" t="s">
        <v>171</v>
      </c>
      <c r="C106" s="92"/>
      <c r="D106" s="92"/>
      <c r="E106" s="92"/>
      <c r="F106" s="92">
        <f>IF(Choose_Rollover=1,F105,0)</f>
        <v>500</v>
      </c>
      <c r="G106" s="92"/>
      <c r="H106" s="92"/>
      <c r="I106" s="92"/>
      <c r="J106" s="92"/>
    </row>
    <row r="107" spans="1:10" x14ac:dyDescent="0.25">
      <c r="C107" s="92"/>
      <c r="D107" s="92"/>
      <c r="E107" s="92"/>
      <c r="F107" s="92"/>
      <c r="G107" s="92"/>
      <c r="H107" s="92"/>
      <c r="I107" s="92"/>
      <c r="J107" s="92"/>
    </row>
    <row r="108" spans="1:10" ht="21" x14ac:dyDescent="0.35">
      <c r="A108" s="136" t="s">
        <v>161</v>
      </c>
      <c r="B108" s="90">
        <v>2018</v>
      </c>
      <c r="C108" s="90">
        <v>2019</v>
      </c>
      <c r="D108" s="90">
        <v>2020</v>
      </c>
      <c r="E108" s="90">
        <v>2021</v>
      </c>
      <c r="F108" s="90">
        <v>2022</v>
      </c>
      <c r="G108" s="90">
        <v>2023</v>
      </c>
      <c r="H108" s="90">
        <v>2024</v>
      </c>
      <c r="I108" s="90">
        <v>2025</v>
      </c>
      <c r="J108" s="90">
        <v>2026</v>
      </c>
    </row>
    <row r="109" spans="1:10" x14ac:dyDescent="0.25">
      <c r="A109" t="s">
        <v>169</v>
      </c>
      <c r="C109" s="92">
        <f>C59*$C$15</f>
        <v>34.075000000000003</v>
      </c>
      <c r="D109" s="92">
        <f t="shared" ref="D109:J109" si="25">D59*$C$15</f>
        <v>34.075000000000003</v>
      </c>
      <c r="E109" s="92">
        <f t="shared" si="25"/>
        <v>34.075000000000003</v>
      </c>
      <c r="F109" s="92">
        <f t="shared" si="25"/>
        <v>34.075000000000003</v>
      </c>
      <c r="G109" s="92">
        <f t="shared" si="25"/>
        <v>34.075000000000003</v>
      </c>
      <c r="H109" s="92">
        <f t="shared" si="25"/>
        <v>34.075000000000003</v>
      </c>
      <c r="I109" s="92">
        <f t="shared" si="25"/>
        <v>34.075000000000003</v>
      </c>
      <c r="J109" s="92">
        <f t="shared" si="25"/>
        <v>34.075000000000003</v>
      </c>
    </row>
    <row r="110" spans="1:10" x14ac:dyDescent="0.25">
      <c r="A110" t="s">
        <v>170</v>
      </c>
      <c r="C110" s="92"/>
      <c r="D110" s="92"/>
      <c r="E110" s="92"/>
      <c r="F110" s="92"/>
      <c r="G110" s="92">
        <f>E15</f>
        <v>1250</v>
      </c>
      <c r="H110" s="92"/>
      <c r="I110" s="92"/>
      <c r="J110" s="92"/>
    </row>
    <row r="111" spans="1:10" x14ac:dyDescent="0.25">
      <c r="A111" t="s">
        <v>171</v>
      </c>
      <c r="C111" s="92"/>
      <c r="D111" s="92"/>
      <c r="E111" s="92"/>
      <c r="F111" s="92"/>
      <c r="G111" s="92">
        <f>IF(Choose_Rollover=1,G110,0)</f>
        <v>1250</v>
      </c>
      <c r="H111" s="92"/>
      <c r="I111" s="92"/>
      <c r="J111" s="92"/>
    </row>
    <row r="112" spans="1:10" x14ac:dyDescent="0.25">
      <c r="C112" s="92"/>
      <c r="D112" s="92"/>
      <c r="E112" s="92"/>
      <c r="F112" s="92"/>
      <c r="G112" s="92"/>
      <c r="H112" s="92"/>
      <c r="I112" s="92"/>
      <c r="J112" s="92"/>
    </row>
    <row r="113" spans="1:10" ht="21" x14ac:dyDescent="0.35">
      <c r="A113" s="136" t="s">
        <v>160</v>
      </c>
      <c r="B113" s="90">
        <v>2018</v>
      </c>
      <c r="C113" s="90">
        <v>2019</v>
      </c>
      <c r="D113" s="90">
        <v>2020</v>
      </c>
      <c r="E113" s="90">
        <v>2021</v>
      </c>
      <c r="F113" s="90">
        <v>2022</v>
      </c>
      <c r="G113" s="90">
        <v>2023</v>
      </c>
      <c r="H113" s="90">
        <v>2024</v>
      </c>
      <c r="I113" s="90">
        <v>2025</v>
      </c>
      <c r="J113" s="90">
        <v>2026</v>
      </c>
    </row>
    <row r="114" spans="1:10" x14ac:dyDescent="0.25">
      <c r="A114" t="s">
        <v>169</v>
      </c>
      <c r="C114" s="92">
        <f>C60*$C$16</f>
        <v>31.759999999999998</v>
      </c>
      <c r="D114" s="92">
        <f t="shared" ref="D114:J114" si="26">D60*$C$16</f>
        <v>31.759999999999998</v>
      </c>
      <c r="E114" s="92">
        <f t="shared" si="26"/>
        <v>31.759999999999998</v>
      </c>
      <c r="F114" s="92">
        <f t="shared" si="26"/>
        <v>31.759999999999998</v>
      </c>
      <c r="G114" s="92">
        <f t="shared" si="26"/>
        <v>31.759999999999998</v>
      </c>
      <c r="H114" s="92">
        <f t="shared" si="26"/>
        <v>31.759999999999998</v>
      </c>
      <c r="I114" s="92">
        <f t="shared" si="26"/>
        <v>31.759999999999998</v>
      </c>
      <c r="J114" s="92">
        <f t="shared" si="26"/>
        <v>31.759999999999998</v>
      </c>
    </row>
    <row r="115" spans="1:10" x14ac:dyDescent="0.25">
      <c r="A115" t="s">
        <v>170</v>
      </c>
      <c r="C115" s="92"/>
      <c r="D115" s="92"/>
      <c r="E115" s="92"/>
      <c r="F115" s="92"/>
      <c r="G115" s="92"/>
      <c r="H115" s="92">
        <f>E16</f>
        <v>1000</v>
      </c>
      <c r="I115" s="92"/>
      <c r="J115" s="92"/>
    </row>
    <row r="116" spans="1:10" x14ac:dyDescent="0.25">
      <c r="A116" t="s">
        <v>171</v>
      </c>
      <c r="C116" s="92"/>
      <c r="D116" s="92"/>
      <c r="E116" s="92"/>
      <c r="F116" s="92"/>
      <c r="G116" s="92"/>
      <c r="H116" s="92">
        <f>IF(Choose_Rollover=1,H115,0)</f>
        <v>1000</v>
      </c>
      <c r="I116" s="92"/>
      <c r="J116" s="92"/>
    </row>
    <row r="117" spans="1:10" x14ac:dyDescent="0.25">
      <c r="C117" s="92"/>
      <c r="D117" s="92"/>
      <c r="E117" s="92"/>
      <c r="F117" s="92"/>
      <c r="G117" s="92"/>
      <c r="H117" s="92"/>
      <c r="I117" s="92"/>
      <c r="J117" s="92"/>
    </row>
    <row r="118" spans="1:10" ht="21" x14ac:dyDescent="0.35">
      <c r="A118" s="136" t="s">
        <v>162</v>
      </c>
      <c r="B118" s="90">
        <v>2018</v>
      </c>
      <c r="C118" s="90">
        <v>2019</v>
      </c>
      <c r="D118" s="90">
        <v>2020</v>
      </c>
      <c r="E118" s="90">
        <v>2021</v>
      </c>
      <c r="F118" s="90">
        <v>2022</v>
      </c>
      <c r="G118" s="90">
        <v>2023</v>
      </c>
      <c r="H118" s="90">
        <v>2024</v>
      </c>
      <c r="I118" s="90">
        <v>2025</v>
      </c>
      <c r="J118" s="90">
        <v>2026</v>
      </c>
    </row>
    <row r="119" spans="1:10" x14ac:dyDescent="0.25">
      <c r="A119" t="s">
        <v>169</v>
      </c>
      <c r="C119" s="92">
        <f>C61*$C$17</f>
        <v>47.407499999999999</v>
      </c>
      <c r="D119" s="92">
        <f t="shared" ref="D119:J119" si="27">D61*$C$17</f>
        <v>47.407499999999999</v>
      </c>
      <c r="E119" s="92">
        <f t="shared" si="27"/>
        <v>47.407499999999999</v>
      </c>
      <c r="F119" s="92">
        <f t="shared" si="27"/>
        <v>47.407499999999999</v>
      </c>
      <c r="G119" s="92">
        <f t="shared" si="27"/>
        <v>47.407499999999999</v>
      </c>
      <c r="H119" s="92">
        <f t="shared" si="27"/>
        <v>47.407499999999999</v>
      </c>
      <c r="I119" s="92">
        <f t="shared" si="27"/>
        <v>47.407499999999999</v>
      </c>
      <c r="J119" s="92">
        <f t="shared" si="27"/>
        <v>47.407499999999999</v>
      </c>
    </row>
    <row r="120" spans="1:10" x14ac:dyDescent="0.25">
      <c r="A120" t="s">
        <v>170</v>
      </c>
      <c r="C120" s="92"/>
      <c r="D120" s="92"/>
      <c r="E120" s="92"/>
      <c r="F120" s="92"/>
      <c r="G120" s="92"/>
      <c r="H120" s="92"/>
      <c r="I120" s="92">
        <f>E17</f>
        <v>1750</v>
      </c>
      <c r="J120" s="92"/>
    </row>
    <row r="121" spans="1:10" x14ac:dyDescent="0.25">
      <c r="A121" t="s">
        <v>171</v>
      </c>
      <c r="C121" s="92"/>
      <c r="D121" s="92"/>
      <c r="E121" s="92"/>
      <c r="F121" s="92"/>
      <c r="G121" s="92"/>
      <c r="H121" s="92"/>
      <c r="I121" s="92">
        <f>IF(Choose_Rollover=1,I120,0)</f>
        <v>1750</v>
      </c>
      <c r="J121" s="92"/>
    </row>
    <row r="122" spans="1:10" x14ac:dyDescent="0.25">
      <c r="C122" s="92"/>
      <c r="D122" s="92"/>
      <c r="E122" s="92"/>
      <c r="F122" s="92"/>
      <c r="G122" s="92"/>
      <c r="H122" s="92"/>
      <c r="I122" s="92"/>
      <c r="J122" s="92"/>
    </row>
    <row r="123" spans="1:10" ht="21" x14ac:dyDescent="0.35">
      <c r="A123" s="136" t="s">
        <v>163</v>
      </c>
      <c r="B123" s="90">
        <v>2018</v>
      </c>
      <c r="C123" s="90">
        <v>2019</v>
      </c>
      <c r="D123" s="90">
        <v>2020</v>
      </c>
      <c r="E123" s="90">
        <v>2021</v>
      </c>
      <c r="F123" s="90">
        <v>2022</v>
      </c>
      <c r="G123" s="90">
        <v>2023</v>
      </c>
      <c r="H123" s="90">
        <v>2024</v>
      </c>
      <c r="I123" s="90">
        <v>2025</v>
      </c>
      <c r="J123" s="90">
        <v>2026</v>
      </c>
    </row>
    <row r="124" spans="1:10" x14ac:dyDescent="0.25">
      <c r="A124" t="s">
        <v>169</v>
      </c>
      <c r="C124" s="92">
        <f>C62*$C$18</f>
        <v>76.075000000000003</v>
      </c>
      <c r="D124" s="92">
        <f t="shared" ref="D124:J124" si="28">D62*$C$18</f>
        <v>76.075000000000003</v>
      </c>
      <c r="E124" s="92">
        <f t="shared" si="28"/>
        <v>76.075000000000003</v>
      </c>
      <c r="F124" s="92">
        <f t="shared" si="28"/>
        <v>76.075000000000003</v>
      </c>
      <c r="G124" s="92">
        <f t="shared" si="28"/>
        <v>76.075000000000003</v>
      </c>
      <c r="H124" s="92">
        <f t="shared" si="28"/>
        <v>76.075000000000003</v>
      </c>
      <c r="I124" s="92">
        <f t="shared" si="28"/>
        <v>76.075000000000003</v>
      </c>
      <c r="J124" s="92">
        <f t="shared" si="28"/>
        <v>76.075000000000003</v>
      </c>
    </row>
    <row r="125" spans="1:10" x14ac:dyDescent="0.25">
      <c r="A125" t="s">
        <v>170</v>
      </c>
      <c r="C125" s="92"/>
      <c r="D125" s="92"/>
      <c r="E125" s="92"/>
      <c r="F125" s="92"/>
      <c r="G125" s="92"/>
      <c r="H125" s="92"/>
      <c r="I125" s="92"/>
      <c r="J125" s="92">
        <f>E18</f>
        <v>2500</v>
      </c>
    </row>
    <row r="126" spans="1:10" x14ac:dyDescent="0.25">
      <c r="A126" t="s">
        <v>171</v>
      </c>
      <c r="C126" s="92"/>
      <c r="D126" s="92"/>
      <c r="E126" s="92"/>
      <c r="F126" s="92"/>
      <c r="G126" s="92"/>
      <c r="H126" s="92"/>
      <c r="I126" s="92"/>
      <c r="J126" s="92">
        <f>IF(Choose_Rollover=1,J125,0)</f>
        <v>2500</v>
      </c>
    </row>
    <row r="127" spans="1:10" x14ac:dyDescent="0.25">
      <c r="C127" s="92"/>
      <c r="D127" s="92"/>
      <c r="E127" s="92"/>
      <c r="F127" s="92"/>
      <c r="G127" s="92"/>
      <c r="H127" s="92"/>
      <c r="I127" s="92"/>
      <c r="J127" s="92"/>
    </row>
    <row r="128" spans="1:10" ht="21" x14ac:dyDescent="0.35">
      <c r="A128" s="136" t="s">
        <v>173</v>
      </c>
      <c r="B128" s="90">
        <v>2018</v>
      </c>
      <c r="C128" s="90">
        <v>2019</v>
      </c>
      <c r="D128" s="90">
        <v>2020</v>
      </c>
      <c r="E128" s="90">
        <v>2021</v>
      </c>
      <c r="F128" s="90">
        <v>2022</v>
      </c>
      <c r="G128" s="90">
        <v>2023</v>
      </c>
      <c r="H128" s="90">
        <v>2024</v>
      </c>
      <c r="I128" s="90">
        <v>2025</v>
      </c>
      <c r="J128" s="90">
        <v>2026</v>
      </c>
    </row>
    <row r="129" spans="1:10" x14ac:dyDescent="0.25">
      <c r="A129" t="s">
        <v>169</v>
      </c>
      <c r="C129" s="92">
        <f t="shared" ref="C129:J129" si="29">C63*$C$29+$D$26*$C$26+$D$27*$C$27</f>
        <v>317.98884000000004</v>
      </c>
      <c r="D129" s="92">
        <f t="shared" si="29"/>
        <v>317.98884000000004</v>
      </c>
      <c r="E129" s="92">
        <f t="shared" si="29"/>
        <v>317.98884000000004</v>
      </c>
      <c r="F129" s="92">
        <f t="shared" si="29"/>
        <v>317.98884000000004</v>
      </c>
      <c r="G129" s="92">
        <f t="shared" si="29"/>
        <v>317.98884000000004</v>
      </c>
      <c r="H129" s="92">
        <f t="shared" si="29"/>
        <v>317.98884000000004</v>
      </c>
      <c r="I129" s="92">
        <f t="shared" si="29"/>
        <v>317.98884000000004</v>
      </c>
      <c r="J129" s="92">
        <f t="shared" si="29"/>
        <v>317.98884000000004</v>
      </c>
    </row>
    <row r="130" spans="1:10" x14ac:dyDescent="0.25">
      <c r="C130" s="88"/>
      <c r="D130" s="88"/>
      <c r="E130" s="88"/>
      <c r="F130" s="88"/>
      <c r="G130" s="88"/>
      <c r="H130" s="88"/>
      <c r="I130" s="88"/>
      <c r="J130" s="88"/>
    </row>
    <row r="131" spans="1:10" x14ac:dyDescent="0.25">
      <c r="C131" s="88"/>
      <c r="D131" s="88"/>
      <c r="E131" s="88"/>
      <c r="F131" s="88"/>
      <c r="G131" s="88"/>
      <c r="H131" s="88"/>
      <c r="I131" s="88"/>
      <c r="J131" s="88"/>
    </row>
    <row r="132" spans="1:10" ht="18.75" x14ac:dyDescent="0.3">
      <c r="A132" s="186" t="s">
        <v>175</v>
      </c>
      <c r="C132" s="92">
        <f>SUM(C129,C67,C73,C79,C84,C89,C94,C99,C104,C109,C114,C119,C124)</f>
        <v>691.6768400000002</v>
      </c>
      <c r="D132" s="92">
        <f t="shared" ref="D132:J132" si="30">SUM(D129,D67,D73,D79,D84,D89,D94,D99,D104,D109,D114,D119,D124)</f>
        <v>691.6768400000002</v>
      </c>
      <c r="E132" s="92">
        <f t="shared" si="30"/>
        <v>691.6768400000002</v>
      </c>
      <c r="F132" s="92">
        <f t="shared" si="30"/>
        <v>691.6768400000002</v>
      </c>
      <c r="G132" s="92">
        <f t="shared" si="30"/>
        <v>691.6768400000002</v>
      </c>
      <c r="H132" s="92">
        <f t="shared" si="30"/>
        <v>691.6768400000002</v>
      </c>
      <c r="I132" s="92">
        <f t="shared" si="30"/>
        <v>691.6768400000002</v>
      </c>
      <c r="J132" s="92">
        <f t="shared" si="30"/>
        <v>691.6768400000002</v>
      </c>
    </row>
    <row r="133" spans="1:10" ht="19.5" thickBot="1" x14ac:dyDescent="0.35">
      <c r="A133" s="187" t="s">
        <v>176</v>
      </c>
      <c r="B133" s="166"/>
      <c r="C133" s="185">
        <f>SUM(C130,C68,C74,C80,C85,C90,C95,C100,C105,C110,C115,C120,C125)</f>
        <v>3750</v>
      </c>
      <c r="D133" s="185">
        <f t="shared" ref="D133:J133" si="31">SUM(D130,D68,D74,D80,D85,D90,D95,D100,D105,D110,D115,D120,D125)</f>
        <v>1500</v>
      </c>
      <c r="E133" s="185">
        <f t="shared" si="31"/>
        <v>2500</v>
      </c>
      <c r="F133" s="185">
        <f t="shared" si="31"/>
        <v>1650</v>
      </c>
      <c r="G133" s="185">
        <f t="shared" si="31"/>
        <v>1250</v>
      </c>
      <c r="H133" s="185">
        <f t="shared" si="31"/>
        <v>1000</v>
      </c>
      <c r="I133" s="185">
        <f t="shared" si="31"/>
        <v>1750</v>
      </c>
      <c r="J133" s="185">
        <f t="shared" si="31"/>
        <v>2500</v>
      </c>
    </row>
    <row r="134" spans="1:10" ht="15.75" thickTop="1" x14ac:dyDescent="0.25">
      <c r="C134" s="88"/>
      <c r="D134" s="88"/>
      <c r="E134" s="88"/>
      <c r="F134" s="88"/>
      <c r="G134" s="88"/>
      <c r="H134" s="88"/>
      <c r="I134" s="88"/>
      <c r="J134" s="88"/>
    </row>
    <row r="135" spans="1:10" x14ac:dyDescent="0.25">
      <c r="C135" s="88"/>
      <c r="D135" s="88"/>
      <c r="E135" s="88"/>
      <c r="F135" s="88"/>
      <c r="G135" s="88"/>
      <c r="H135" s="88"/>
      <c r="I135" s="88"/>
      <c r="J135" s="88"/>
    </row>
  </sheetData>
  <mergeCells count="1">
    <mergeCell ref="E1:J1"/>
  </mergeCells>
  <hyperlinks>
    <hyperlink ref="A2" location="'Home Page'!A1" display="Home Page" xr:uid="{F1BECAAC-AF6F-441C-AC7C-2710F1A8D78C}"/>
    <hyperlink ref="D2" location="'Exxon Income Statement'!A1" display="Exxon Income Statement" xr:uid="{8693EBE7-A379-4B90-8ABD-12E28D3F6D9F}"/>
    <hyperlink ref="B2" location="Summary!A1" display="Summary" xr:uid="{D0C78CDE-FD7A-4C3B-AEF2-498F40868ACD}"/>
    <hyperlink ref="E2" location="'Exxon Balance Sheet'!A1" display="Exxon Balance Sheet" xr:uid="{1C93EFD7-A9CA-4D39-8CD5-E01807775ACD}"/>
    <hyperlink ref="C2" location="'Critical Inputs'!A1" display="Critical Inputs" xr:uid="{1D67E1F8-AB97-4999-B5DE-D108668CEFBC}"/>
    <hyperlink ref="G2" location="'PP&amp;E'!A1" display="PP&amp;E" xr:uid="{608F13B3-C535-4D41-9D81-E08211056B33}"/>
    <hyperlink ref="H2" location="Vectors!A1" display="Vectors" xr:uid="{4C7E45F1-B7DD-4DB7-B493-37E842E1DF0D}"/>
    <hyperlink ref="F2" location="'Exxon Cash Flow'!A1" display="Exxon Cash Flow" xr:uid="{1E9739A0-9293-40BF-BB07-205EC1AB8416}"/>
  </hyperlinks>
  <pageMargins left="0.7" right="0.7" top="0.75" bottom="0.75" header="0.3" footer="0.3"/>
  <pageSetup orientation="portrait" horizontalDpi="300" verticalDpi="300" r:id="rId1"/>
  <drawing r:id="rId2"/>
  <legacyDrawing r:id="rId3"/>
  <mc:AlternateContent xmlns:mc="http://schemas.openxmlformats.org/markup-compatibility/2006">
    <mc:Choice Requires="x14">
      <controls>
        <mc:AlternateContent xmlns:mc="http://schemas.openxmlformats.org/markup-compatibility/2006">
          <mc:Choice Requires="x14">
            <control shapeId="19484" r:id="rId4" name="Button 28">
              <controlPr defaultSize="0" print="0" autoFill="0" autoPict="0" macro="[0]!Plug">
                <anchor moveWithCells="1" sizeWithCells="1">
                  <from>
                    <xdr:col>8</xdr:col>
                    <xdr:colOff>0</xdr:colOff>
                    <xdr:row>1</xdr:row>
                    <xdr:rowOff>9525</xdr:rowOff>
                  </from>
                  <to>
                    <xdr:col>9</xdr:col>
                    <xdr:colOff>942975</xdr:colOff>
                    <xdr:row>2</xdr:row>
                    <xdr:rowOff>0</xdr:rowOff>
                  </to>
                </anchor>
              </controlPr>
            </control>
          </mc:Choice>
        </mc:AlternateContent>
      </controls>
    </mc:Choice>
  </mc:AlternateConten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6">
    <tabColor rgb="FF7030A0"/>
  </sheetPr>
  <dimension ref="A1:L215"/>
  <sheetViews>
    <sheetView workbookViewId="0">
      <pane ySplit="3" topLeftCell="A4" activePane="bottomLeft" state="frozen"/>
      <selection pane="bottomLeft" activeCell="A2" sqref="A2"/>
    </sheetView>
  </sheetViews>
  <sheetFormatPr defaultRowHeight="15" x14ac:dyDescent="0.25"/>
  <cols>
    <col min="1" max="1" width="55.140625" bestFit="1" customWidth="1"/>
    <col min="2" max="10" width="11.28515625" customWidth="1"/>
  </cols>
  <sheetData>
    <row r="1" spans="1:12" ht="30.75" customHeight="1" x14ac:dyDescent="0.45">
      <c r="A1" s="230" t="s">
        <v>322</v>
      </c>
      <c r="B1" s="242"/>
      <c r="C1" s="242"/>
      <c r="D1" s="242"/>
      <c r="E1" s="282" t="str">
        <f>Rebalance_check</f>
        <v>Balance Sheet is Balanced</v>
      </c>
      <c r="F1" s="282"/>
      <c r="G1" s="282"/>
      <c r="H1" s="282"/>
      <c r="I1" s="282"/>
      <c r="J1" s="282"/>
    </row>
    <row r="2" spans="1:12" ht="45" x14ac:dyDescent="0.25">
      <c r="A2" s="227" t="s">
        <v>271</v>
      </c>
      <c r="B2" s="227" t="s">
        <v>272</v>
      </c>
      <c r="C2" s="228" t="s">
        <v>273</v>
      </c>
      <c r="D2" s="228" t="s">
        <v>274</v>
      </c>
      <c r="E2" s="228" t="s">
        <v>319</v>
      </c>
      <c r="F2" s="228" t="s">
        <v>320</v>
      </c>
      <c r="G2" s="228" t="s">
        <v>321</v>
      </c>
      <c r="H2" s="228" t="s">
        <v>278</v>
      </c>
      <c r="I2" s="228" t="s">
        <v>279</v>
      </c>
      <c r="J2" s="228" t="s">
        <v>280</v>
      </c>
      <c r="K2" s="228"/>
      <c r="L2" s="228"/>
    </row>
    <row r="3" spans="1:12" ht="28.5" customHeight="1" x14ac:dyDescent="0.25">
      <c r="A3" s="83"/>
    </row>
    <row r="4" spans="1:12" x14ac:dyDescent="0.25">
      <c r="A4" t="s">
        <v>323</v>
      </c>
    </row>
    <row r="5" spans="1:12" x14ac:dyDescent="0.25">
      <c r="A5" t="s">
        <v>297</v>
      </c>
    </row>
    <row r="6" spans="1:12" x14ac:dyDescent="0.25">
      <c r="A6" t="s">
        <v>298</v>
      </c>
    </row>
    <row r="7" spans="1:12" x14ac:dyDescent="0.25">
      <c r="A7" t="s">
        <v>300</v>
      </c>
    </row>
    <row r="8" spans="1:12" x14ac:dyDescent="0.25">
      <c r="A8" t="s">
        <v>301</v>
      </c>
    </row>
    <row r="11" spans="1:12" ht="21" x14ac:dyDescent="0.35">
      <c r="A11" s="41" t="s">
        <v>66</v>
      </c>
    </row>
    <row r="12" spans="1:12" ht="18.75" x14ac:dyDescent="0.3">
      <c r="A12" s="196" t="s">
        <v>299</v>
      </c>
    </row>
    <row r="13" spans="1:12" x14ac:dyDescent="0.25">
      <c r="A13" s="8" t="s">
        <v>2</v>
      </c>
      <c r="B13" s="165">
        <v>2018</v>
      </c>
      <c r="C13" s="165">
        <v>2019</v>
      </c>
      <c r="D13" s="165">
        <v>2020</v>
      </c>
      <c r="E13" s="165">
        <v>2021</v>
      </c>
      <c r="F13" s="165">
        <v>2022</v>
      </c>
      <c r="G13" s="165">
        <v>2023</v>
      </c>
      <c r="H13" s="165">
        <v>2024</v>
      </c>
      <c r="I13" s="165">
        <v>2025</v>
      </c>
      <c r="J13" s="165">
        <v>2026</v>
      </c>
    </row>
    <row r="14" spans="1:12" x14ac:dyDescent="0.25">
      <c r="A14" s="44" t="s">
        <v>83</v>
      </c>
    </row>
    <row r="15" spans="1:12" x14ac:dyDescent="0.25">
      <c r="A15" s="13" t="s">
        <v>84</v>
      </c>
    </row>
    <row r="16" spans="1:12" x14ac:dyDescent="0.25">
      <c r="A16" s="50" t="s">
        <v>87</v>
      </c>
      <c r="B16" s="54">
        <f t="shared" ref="B16:J16" si="0">CHOOSE(Scenario_Value,B61,B102,B143,B184)</f>
        <v>0.08</v>
      </c>
      <c r="C16" s="54">
        <f t="shared" si="0"/>
        <v>7.0000000000000007E-2</v>
      </c>
      <c r="D16" s="54">
        <f t="shared" si="0"/>
        <v>0.06</v>
      </c>
      <c r="E16" s="54">
        <f t="shared" si="0"/>
        <v>0.05</v>
      </c>
      <c r="F16" s="54">
        <f t="shared" si="0"/>
        <v>0.05</v>
      </c>
      <c r="G16" s="54">
        <f t="shared" si="0"/>
        <v>0.05</v>
      </c>
      <c r="H16" s="54">
        <f t="shared" si="0"/>
        <v>0.05</v>
      </c>
      <c r="I16" s="54">
        <f t="shared" si="0"/>
        <v>0.05</v>
      </c>
      <c r="J16" s="54">
        <f t="shared" si="0"/>
        <v>0.05</v>
      </c>
    </row>
    <row r="17" spans="1:10" x14ac:dyDescent="0.25">
      <c r="A17" s="49" t="s">
        <v>88</v>
      </c>
      <c r="B17" s="54">
        <f t="shared" ref="B17:J17" si="1">CHOOSE(Scenario_Value,B62,B103,B144,B185)</f>
        <v>0.1</v>
      </c>
      <c r="C17" s="54">
        <f t="shared" si="1"/>
        <v>0.1</v>
      </c>
      <c r="D17" s="54">
        <f t="shared" si="1"/>
        <v>0.09</v>
      </c>
      <c r="E17" s="54">
        <f t="shared" si="1"/>
        <v>0.08</v>
      </c>
      <c r="F17" s="54">
        <f t="shared" si="1"/>
        <v>7.0000000000000007E-2</v>
      </c>
      <c r="G17" s="54">
        <f t="shared" si="1"/>
        <v>0.06</v>
      </c>
      <c r="H17" s="54">
        <f t="shared" si="1"/>
        <v>0.05</v>
      </c>
      <c r="I17" s="54">
        <f t="shared" si="1"/>
        <v>0.04</v>
      </c>
      <c r="J17" s="54">
        <f t="shared" si="1"/>
        <v>0.03</v>
      </c>
    </row>
    <row r="18" spans="1:10" x14ac:dyDescent="0.25">
      <c r="A18" s="13" t="s">
        <v>69</v>
      </c>
    </row>
    <row r="19" spans="1:10" x14ac:dyDescent="0.25">
      <c r="A19" s="50" t="s">
        <v>89</v>
      </c>
      <c r="B19" s="54">
        <f t="shared" ref="B19:J19" si="2">CHOOSE(Scenario_Value,B64,B105,B146,B187)</f>
        <v>0.06</v>
      </c>
      <c r="C19" s="54">
        <f t="shared" si="2"/>
        <v>0.06</v>
      </c>
      <c r="D19" s="54">
        <f t="shared" si="2"/>
        <v>0.05</v>
      </c>
      <c r="E19" s="54">
        <f t="shared" si="2"/>
        <v>0.04</v>
      </c>
      <c r="F19" s="54">
        <f t="shared" si="2"/>
        <v>0.04</v>
      </c>
      <c r="G19" s="54">
        <f t="shared" si="2"/>
        <v>0.04</v>
      </c>
      <c r="H19" s="54">
        <f t="shared" si="2"/>
        <v>0.04</v>
      </c>
      <c r="I19" s="54">
        <f t="shared" si="2"/>
        <v>0.04</v>
      </c>
      <c r="J19" s="54">
        <f t="shared" si="2"/>
        <v>0.04</v>
      </c>
    </row>
    <row r="20" spans="1:10" x14ac:dyDescent="0.25">
      <c r="A20" s="50" t="s">
        <v>90</v>
      </c>
      <c r="B20" s="54">
        <f t="shared" ref="B20:J20" si="3">CHOOSE(Scenario_Value,B65,B106,B147,B188)</f>
        <v>7.0000000000000007E-2</v>
      </c>
      <c r="C20" s="54">
        <f t="shared" si="3"/>
        <v>0.06</v>
      </c>
      <c r="D20" s="54">
        <f t="shared" si="3"/>
        <v>0.05</v>
      </c>
      <c r="E20" s="54">
        <f t="shared" si="3"/>
        <v>0.04</v>
      </c>
      <c r="F20" s="54">
        <f t="shared" si="3"/>
        <v>0.03</v>
      </c>
      <c r="G20" s="54">
        <f t="shared" si="3"/>
        <v>0.03</v>
      </c>
      <c r="H20" s="54">
        <f t="shared" si="3"/>
        <v>0.03</v>
      </c>
      <c r="I20" s="54">
        <f t="shared" si="3"/>
        <v>0.03</v>
      </c>
      <c r="J20" s="54">
        <f t="shared" si="3"/>
        <v>0.03</v>
      </c>
    </row>
    <row r="21" spans="1:10" x14ac:dyDescent="0.25">
      <c r="A21" s="13" t="s">
        <v>70</v>
      </c>
    </row>
    <row r="22" spans="1:10" x14ac:dyDescent="0.25">
      <c r="A22" s="50" t="s">
        <v>91</v>
      </c>
      <c r="B22" s="54">
        <f t="shared" ref="B22:J22" si="4">CHOOSE(Scenario_Value,B67,B108,B149,B190)</f>
        <v>0.06</v>
      </c>
      <c r="C22" s="54">
        <f t="shared" si="4"/>
        <v>0.06</v>
      </c>
      <c r="D22" s="54">
        <f t="shared" si="4"/>
        <v>0.05</v>
      </c>
      <c r="E22" s="54">
        <f t="shared" si="4"/>
        <v>0.05</v>
      </c>
      <c r="F22" s="54">
        <f t="shared" si="4"/>
        <v>0.04</v>
      </c>
      <c r="G22" s="54">
        <f t="shared" si="4"/>
        <v>0.04</v>
      </c>
      <c r="H22" s="54">
        <f t="shared" si="4"/>
        <v>0.04</v>
      </c>
      <c r="I22" s="54">
        <f t="shared" si="4"/>
        <v>0.04</v>
      </c>
      <c r="J22" s="54">
        <f t="shared" si="4"/>
        <v>0.04</v>
      </c>
    </row>
    <row r="23" spans="1:10" x14ac:dyDescent="0.25">
      <c r="A23" s="50" t="s">
        <v>92</v>
      </c>
      <c r="B23" s="54">
        <f t="shared" ref="B23:J23" si="5">CHOOSE(Scenario_Value,B68,B109,B150,B191)</f>
        <v>7.0000000000000007E-2</v>
      </c>
      <c r="C23" s="54">
        <f t="shared" si="5"/>
        <v>7.0000000000000007E-2</v>
      </c>
      <c r="D23" s="54">
        <f t="shared" si="5"/>
        <v>0.06</v>
      </c>
      <c r="E23" s="54">
        <f t="shared" si="5"/>
        <v>0.06</v>
      </c>
      <c r="F23" s="54">
        <f t="shared" si="5"/>
        <v>0.05</v>
      </c>
      <c r="G23" s="54">
        <f t="shared" si="5"/>
        <v>0.05</v>
      </c>
      <c r="H23" s="54">
        <f t="shared" si="5"/>
        <v>0.04</v>
      </c>
      <c r="I23" s="54">
        <f t="shared" si="5"/>
        <v>0.04</v>
      </c>
      <c r="J23" s="54">
        <f t="shared" si="5"/>
        <v>0.04</v>
      </c>
    </row>
    <row r="24" spans="1:10" x14ac:dyDescent="0.25">
      <c r="A24" s="13"/>
    </row>
    <row r="25" spans="1:10" x14ac:dyDescent="0.25">
      <c r="A25" s="45" t="s">
        <v>3</v>
      </c>
      <c r="B25" s="54">
        <f t="shared" ref="B25:J25" si="6">CHOOSE(Scenario_Value,B70,B111,B152,B193)</f>
        <v>0.02</v>
      </c>
      <c r="C25" s="54">
        <f t="shared" si="6"/>
        <v>0.02</v>
      </c>
      <c r="D25" s="54">
        <f t="shared" si="6"/>
        <v>0.02</v>
      </c>
      <c r="E25" s="54">
        <f t="shared" si="6"/>
        <v>0.02</v>
      </c>
      <c r="F25" s="54">
        <f t="shared" si="6"/>
        <v>0.02</v>
      </c>
      <c r="G25" s="54">
        <f t="shared" si="6"/>
        <v>0.02</v>
      </c>
      <c r="H25" s="54">
        <f t="shared" si="6"/>
        <v>0.02</v>
      </c>
      <c r="I25" s="54">
        <f t="shared" si="6"/>
        <v>0.02</v>
      </c>
      <c r="J25" s="54">
        <f t="shared" si="6"/>
        <v>0.02</v>
      </c>
    </row>
    <row r="26" spans="1:10" x14ac:dyDescent="0.25">
      <c r="A26" s="45"/>
    </row>
    <row r="28" spans="1:10" x14ac:dyDescent="0.25">
      <c r="A28" s="8" t="s">
        <v>97</v>
      </c>
      <c r="B28" s="165"/>
      <c r="C28" s="165"/>
      <c r="D28" s="165"/>
      <c r="E28" s="165"/>
      <c r="F28" s="165"/>
      <c r="G28" s="165"/>
      <c r="H28" s="165"/>
      <c r="I28" s="165"/>
      <c r="J28" s="165"/>
    </row>
    <row r="29" spans="1:10" x14ac:dyDescent="0.25">
      <c r="A29" s="13" t="s">
        <v>7</v>
      </c>
      <c r="B29" s="54">
        <f t="shared" ref="B29:J29" si="7">CHOOSE(Scenario_Value,B74,B115,B156,B197)</f>
        <v>0.55000000000000004</v>
      </c>
      <c r="C29" s="54">
        <f t="shared" si="7"/>
        <v>0.55000000000000004</v>
      </c>
      <c r="D29" s="54">
        <f t="shared" si="7"/>
        <v>0.55000000000000004</v>
      </c>
      <c r="E29" s="54">
        <f t="shared" si="7"/>
        <v>0.55000000000000004</v>
      </c>
      <c r="F29" s="54">
        <f t="shared" si="7"/>
        <v>0.55000000000000004</v>
      </c>
      <c r="G29" s="54">
        <f t="shared" si="7"/>
        <v>0.55000000000000004</v>
      </c>
      <c r="H29" s="54">
        <f t="shared" si="7"/>
        <v>0.55000000000000004</v>
      </c>
      <c r="I29" s="54">
        <f t="shared" si="7"/>
        <v>0.55000000000000004</v>
      </c>
      <c r="J29" s="54">
        <f t="shared" si="7"/>
        <v>0.55000000000000004</v>
      </c>
    </row>
    <row r="30" spans="1:10" x14ac:dyDescent="0.25">
      <c r="A30" s="13" t="s">
        <v>8</v>
      </c>
      <c r="B30" s="54">
        <f t="shared" ref="B30:J30" si="8">CHOOSE(Scenario_Value,B75,B116,B157,B198)</f>
        <v>0.13</v>
      </c>
      <c r="C30" s="54">
        <f t="shared" si="8"/>
        <v>0.13</v>
      </c>
      <c r="D30" s="54">
        <f t="shared" si="8"/>
        <v>0.13</v>
      </c>
      <c r="E30" s="54">
        <f t="shared" si="8"/>
        <v>0.13</v>
      </c>
      <c r="F30" s="54">
        <f t="shared" si="8"/>
        <v>0.13</v>
      </c>
      <c r="G30" s="54">
        <f t="shared" si="8"/>
        <v>0.13</v>
      </c>
      <c r="H30" s="54">
        <f t="shared" si="8"/>
        <v>0.13</v>
      </c>
      <c r="I30" s="54">
        <f t="shared" si="8"/>
        <v>0.13</v>
      </c>
      <c r="J30" s="54">
        <f t="shared" si="8"/>
        <v>0.13</v>
      </c>
    </row>
    <row r="31" spans="1:10" x14ac:dyDescent="0.25">
      <c r="A31" s="13" t="s">
        <v>9</v>
      </c>
      <c r="B31" s="54">
        <f t="shared" ref="B31:J31" si="9">CHOOSE(Scenario_Value,B76,B117,B158,B199)</f>
        <v>0.04</v>
      </c>
      <c r="C31" s="54">
        <f t="shared" si="9"/>
        <v>0.04</v>
      </c>
      <c r="D31" s="54">
        <f t="shared" si="9"/>
        <v>0.04</v>
      </c>
      <c r="E31" s="54">
        <f t="shared" si="9"/>
        <v>0.04</v>
      </c>
      <c r="F31" s="54">
        <f t="shared" si="9"/>
        <v>0.04</v>
      </c>
      <c r="G31" s="54">
        <f t="shared" si="9"/>
        <v>0.04</v>
      </c>
      <c r="H31" s="54">
        <f t="shared" si="9"/>
        <v>0.04</v>
      </c>
      <c r="I31" s="54">
        <f t="shared" si="9"/>
        <v>0.04</v>
      </c>
      <c r="J31" s="54">
        <f t="shared" si="9"/>
        <v>0.04</v>
      </c>
    </row>
    <row r="32" spans="1:10" x14ac:dyDescent="0.25">
      <c r="A32" s="13" t="s">
        <v>11</v>
      </c>
      <c r="B32" s="54">
        <f t="shared" ref="B32:J32" si="10">CHOOSE(Scenario_Value,B77,B118,B159,B200)</f>
        <v>0.01</v>
      </c>
      <c r="C32" s="54">
        <f t="shared" si="10"/>
        <v>0.01</v>
      </c>
      <c r="D32" s="54">
        <f t="shared" si="10"/>
        <v>0.01</v>
      </c>
      <c r="E32" s="54">
        <f t="shared" si="10"/>
        <v>0.01</v>
      </c>
      <c r="F32" s="54">
        <f t="shared" si="10"/>
        <v>0.01</v>
      </c>
      <c r="G32" s="54">
        <f t="shared" si="10"/>
        <v>0.01</v>
      </c>
      <c r="H32" s="54">
        <f t="shared" si="10"/>
        <v>0.01</v>
      </c>
      <c r="I32" s="54">
        <f t="shared" si="10"/>
        <v>0.01</v>
      </c>
      <c r="J32" s="54">
        <f t="shared" si="10"/>
        <v>0.01</v>
      </c>
    </row>
    <row r="33" spans="1:10" x14ac:dyDescent="0.25">
      <c r="A33" s="13" t="s">
        <v>13</v>
      </c>
      <c r="B33" s="54">
        <f t="shared" ref="B33:J33" si="11">CHOOSE(Scenario_Value,B78,B119,B160,B201)</f>
        <v>0.1</v>
      </c>
      <c r="C33" s="54">
        <f t="shared" si="11"/>
        <v>0.1</v>
      </c>
      <c r="D33" s="54">
        <f t="shared" si="11"/>
        <v>0.1</v>
      </c>
      <c r="E33" s="54">
        <f t="shared" si="11"/>
        <v>0.1</v>
      </c>
      <c r="F33" s="54">
        <f t="shared" si="11"/>
        <v>0.1</v>
      </c>
      <c r="G33" s="54">
        <f t="shared" si="11"/>
        <v>0.1</v>
      </c>
      <c r="H33" s="54">
        <f t="shared" si="11"/>
        <v>0.1</v>
      </c>
      <c r="I33" s="54">
        <f t="shared" si="11"/>
        <v>0.1</v>
      </c>
      <c r="J33" s="54">
        <f t="shared" si="11"/>
        <v>0.1</v>
      </c>
    </row>
    <row r="36" spans="1:10" ht="18.75" x14ac:dyDescent="0.3">
      <c r="A36" s="196" t="s">
        <v>67</v>
      </c>
      <c r="B36" s="165"/>
      <c r="C36" s="165"/>
      <c r="D36" s="165"/>
      <c r="E36" s="165"/>
      <c r="F36" s="165"/>
      <c r="G36" s="165"/>
      <c r="H36" s="165"/>
      <c r="I36" s="165"/>
      <c r="J36" s="165"/>
    </row>
    <row r="37" spans="1:10" x14ac:dyDescent="0.25">
      <c r="A37" t="s">
        <v>104</v>
      </c>
      <c r="B37">
        <f t="shared" ref="B37:J37" si="12">CHOOSE(Scenario_Value,B82,B123,B164,B205)</f>
        <v>40</v>
      </c>
      <c r="C37">
        <f t="shared" si="12"/>
        <v>40</v>
      </c>
      <c r="D37">
        <f t="shared" si="12"/>
        <v>40</v>
      </c>
      <c r="E37">
        <f t="shared" si="12"/>
        <v>40</v>
      </c>
      <c r="F37">
        <f t="shared" si="12"/>
        <v>40</v>
      </c>
      <c r="G37">
        <f t="shared" si="12"/>
        <v>40</v>
      </c>
      <c r="H37">
        <f t="shared" si="12"/>
        <v>40</v>
      </c>
      <c r="I37">
        <f t="shared" si="12"/>
        <v>40</v>
      </c>
      <c r="J37">
        <f t="shared" si="12"/>
        <v>40</v>
      </c>
    </row>
    <row r="38" spans="1:10" x14ac:dyDescent="0.25">
      <c r="A38" t="s">
        <v>108</v>
      </c>
      <c r="B38">
        <f t="shared" ref="B38:J38" si="13">CHOOSE(Scenario_Value,B83,B124,B165,B206)</f>
        <v>36</v>
      </c>
      <c r="C38">
        <f t="shared" si="13"/>
        <v>36</v>
      </c>
      <c r="D38">
        <f t="shared" si="13"/>
        <v>36</v>
      </c>
      <c r="E38">
        <f t="shared" si="13"/>
        <v>36</v>
      </c>
      <c r="F38">
        <f t="shared" si="13"/>
        <v>36</v>
      </c>
      <c r="G38">
        <f t="shared" si="13"/>
        <v>36</v>
      </c>
      <c r="H38">
        <f t="shared" si="13"/>
        <v>36</v>
      </c>
      <c r="I38">
        <f t="shared" si="13"/>
        <v>36</v>
      </c>
      <c r="J38">
        <f t="shared" si="13"/>
        <v>36</v>
      </c>
    </row>
    <row r="39" spans="1:10" x14ac:dyDescent="0.25">
      <c r="A39" t="s">
        <v>226</v>
      </c>
      <c r="B39" s="54">
        <f t="shared" ref="B39:J39" si="14">CHOOSE(Scenario_Value,B84,B125,B166,B207)</f>
        <v>0.02</v>
      </c>
      <c r="C39" s="54">
        <f t="shared" si="14"/>
        <v>0.02</v>
      </c>
      <c r="D39" s="54">
        <f t="shared" si="14"/>
        <v>0.02</v>
      </c>
      <c r="E39" s="54">
        <f t="shared" si="14"/>
        <v>0.02</v>
      </c>
      <c r="F39" s="54">
        <f t="shared" si="14"/>
        <v>0.02</v>
      </c>
      <c r="G39" s="54">
        <f t="shared" si="14"/>
        <v>0.02</v>
      </c>
      <c r="H39" s="54">
        <f t="shared" si="14"/>
        <v>0.02</v>
      </c>
      <c r="I39" s="54">
        <f t="shared" si="14"/>
        <v>0.02</v>
      </c>
      <c r="J39" s="54">
        <f t="shared" si="14"/>
        <v>0.02</v>
      </c>
    </row>
    <row r="40" spans="1:10" x14ac:dyDescent="0.25">
      <c r="A40" t="s">
        <v>122</v>
      </c>
      <c r="B40" s="54">
        <f t="shared" ref="B40:J40" si="15">CHOOSE(Scenario_Value,B85,B126,B167,B208)</f>
        <v>0.04</v>
      </c>
      <c r="C40" s="54">
        <f t="shared" si="15"/>
        <v>0.04</v>
      </c>
      <c r="D40" s="54">
        <f t="shared" si="15"/>
        <v>0.04</v>
      </c>
      <c r="E40" s="54">
        <f t="shared" si="15"/>
        <v>0.04</v>
      </c>
      <c r="F40" s="54">
        <f t="shared" si="15"/>
        <v>0.04</v>
      </c>
      <c r="G40" s="54">
        <f t="shared" si="15"/>
        <v>0.04</v>
      </c>
      <c r="H40" s="54">
        <f t="shared" si="15"/>
        <v>0.04</v>
      </c>
      <c r="I40" s="54">
        <f t="shared" si="15"/>
        <v>0.04</v>
      </c>
      <c r="J40" s="54">
        <f t="shared" si="15"/>
        <v>0.04</v>
      </c>
    </row>
    <row r="41" spans="1:10" x14ac:dyDescent="0.25">
      <c r="A41" t="s">
        <v>120</v>
      </c>
      <c r="B41">
        <f t="shared" ref="B41:J41" si="16">CHOOSE(Scenario_Value,B86,B127,B168,B209)</f>
        <v>25</v>
      </c>
      <c r="C41">
        <f t="shared" si="16"/>
        <v>25</v>
      </c>
      <c r="D41">
        <f t="shared" si="16"/>
        <v>25</v>
      </c>
      <c r="E41">
        <f t="shared" si="16"/>
        <v>25</v>
      </c>
      <c r="F41">
        <f t="shared" si="16"/>
        <v>25</v>
      </c>
      <c r="G41">
        <f t="shared" si="16"/>
        <v>25</v>
      </c>
      <c r="H41">
        <f t="shared" si="16"/>
        <v>25</v>
      </c>
      <c r="I41">
        <f t="shared" si="16"/>
        <v>25</v>
      </c>
      <c r="J41">
        <f t="shared" si="16"/>
        <v>25</v>
      </c>
    </row>
    <row r="42" spans="1:10" x14ac:dyDescent="0.25">
      <c r="A42" t="s">
        <v>126</v>
      </c>
      <c r="B42">
        <f t="shared" ref="B42:J42" si="17">CHOOSE(Scenario_Value,B87,B128,B169,B210)</f>
        <v>85</v>
      </c>
      <c r="C42">
        <f t="shared" si="17"/>
        <v>85</v>
      </c>
      <c r="D42">
        <f t="shared" si="17"/>
        <v>85</v>
      </c>
      <c r="E42">
        <f t="shared" si="17"/>
        <v>85</v>
      </c>
      <c r="F42">
        <f t="shared" si="17"/>
        <v>85</v>
      </c>
      <c r="G42">
        <f t="shared" si="17"/>
        <v>85</v>
      </c>
      <c r="H42">
        <f t="shared" si="17"/>
        <v>85</v>
      </c>
      <c r="I42">
        <f t="shared" si="17"/>
        <v>85</v>
      </c>
      <c r="J42">
        <f t="shared" si="17"/>
        <v>85</v>
      </c>
    </row>
    <row r="43" spans="1:10" x14ac:dyDescent="0.25">
      <c r="A43" t="s">
        <v>180</v>
      </c>
      <c r="B43" s="54">
        <f t="shared" ref="B43:J43" si="18">CHOOSE(Scenario_Value,B88,B129,B170,B211)</f>
        <v>0.03</v>
      </c>
      <c r="C43" s="54">
        <f t="shared" si="18"/>
        <v>0.03</v>
      </c>
      <c r="D43" s="54">
        <f t="shared" si="18"/>
        <v>0.03</v>
      </c>
      <c r="E43" s="54">
        <f t="shared" si="18"/>
        <v>0.03</v>
      </c>
      <c r="F43" s="54">
        <f t="shared" si="18"/>
        <v>0.03</v>
      </c>
      <c r="G43" s="54">
        <f t="shared" si="18"/>
        <v>0.03</v>
      </c>
      <c r="H43" s="54">
        <f t="shared" si="18"/>
        <v>0.03</v>
      </c>
      <c r="I43" s="54">
        <f t="shared" si="18"/>
        <v>0.03</v>
      </c>
      <c r="J43" s="54">
        <f t="shared" si="18"/>
        <v>0.03</v>
      </c>
    </row>
    <row r="44" spans="1:10" x14ac:dyDescent="0.25">
      <c r="A44" s="81" t="s">
        <v>40</v>
      </c>
      <c r="B44" s="54">
        <f t="shared" ref="B44:J44" si="19">CHOOSE(Scenario_Value,B89,B130,B171,B212)</f>
        <v>0.01</v>
      </c>
      <c r="C44" s="54">
        <f t="shared" si="19"/>
        <v>0.01</v>
      </c>
      <c r="D44" s="54">
        <f t="shared" si="19"/>
        <v>0.01</v>
      </c>
      <c r="E44" s="54">
        <f t="shared" si="19"/>
        <v>0.01</v>
      </c>
      <c r="F44" s="54">
        <f t="shared" si="19"/>
        <v>0.01</v>
      </c>
      <c r="G44" s="54">
        <f t="shared" si="19"/>
        <v>0.01</v>
      </c>
      <c r="H44" s="54">
        <f t="shared" si="19"/>
        <v>0.01</v>
      </c>
      <c r="I44" s="54">
        <f t="shared" si="19"/>
        <v>0.01</v>
      </c>
      <c r="J44" s="54">
        <f t="shared" si="19"/>
        <v>0.01</v>
      </c>
    </row>
    <row r="45" spans="1:10" x14ac:dyDescent="0.25">
      <c r="A45" s="81" t="s">
        <v>42</v>
      </c>
      <c r="B45" s="54">
        <f t="shared" ref="B45:J45" si="20">CHOOSE(Scenario_Value,B90,B131,B172,B213)</f>
        <v>0.01</v>
      </c>
      <c r="C45" s="54">
        <f t="shared" si="20"/>
        <v>0.01</v>
      </c>
      <c r="D45" s="54">
        <f t="shared" si="20"/>
        <v>0.01</v>
      </c>
      <c r="E45" s="54">
        <f t="shared" si="20"/>
        <v>0.01</v>
      </c>
      <c r="F45" s="54">
        <f t="shared" si="20"/>
        <v>0.01</v>
      </c>
      <c r="G45" s="54">
        <f t="shared" si="20"/>
        <v>0.01</v>
      </c>
      <c r="H45" s="54">
        <f t="shared" si="20"/>
        <v>0.01</v>
      </c>
      <c r="I45" s="54">
        <f t="shared" si="20"/>
        <v>0.01</v>
      </c>
      <c r="J45" s="54">
        <f t="shared" si="20"/>
        <v>0.01</v>
      </c>
    </row>
    <row r="46" spans="1:10" x14ac:dyDescent="0.25">
      <c r="A46" s="81" t="s">
        <v>194</v>
      </c>
      <c r="B46" s="54">
        <f t="shared" ref="B46:J46" si="21">CHOOSE(Scenario_Value,B91,B132,B173,B214)</f>
        <v>0.03</v>
      </c>
      <c r="C46" s="54">
        <f t="shared" si="21"/>
        <v>0.03</v>
      </c>
      <c r="D46" s="54">
        <f t="shared" si="21"/>
        <v>0.03</v>
      </c>
      <c r="E46" s="54">
        <f t="shared" si="21"/>
        <v>0.03</v>
      </c>
      <c r="F46" s="54">
        <f t="shared" si="21"/>
        <v>0.03</v>
      </c>
      <c r="G46" s="54">
        <f t="shared" si="21"/>
        <v>0.03</v>
      </c>
      <c r="H46" s="54">
        <f t="shared" si="21"/>
        <v>0.03</v>
      </c>
      <c r="I46" s="54">
        <f t="shared" si="21"/>
        <v>0.03</v>
      </c>
      <c r="J46" s="54">
        <f t="shared" si="21"/>
        <v>0.03</v>
      </c>
    </row>
    <row r="47" spans="1:10" ht="15.75" thickBot="1" x14ac:dyDescent="0.3">
      <c r="A47" s="197" t="s">
        <v>230</v>
      </c>
      <c r="B47" s="210">
        <f t="shared" ref="B47:J47" si="22">CHOOSE(Scenario_Value,B92,B133,B174,B215)</f>
        <v>7.0000000000000007E-2</v>
      </c>
      <c r="C47" s="210">
        <f t="shared" si="22"/>
        <v>7.0000000000000007E-2</v>
      </c>
      <c r="D47" s="210">
        <f t="shared" si="22"/>
        <v>7.0000000000000007E-2</v>
      </c>
      <c r="E47" s="210">
        <f t="shared" si="22"/>
        <v>7.0000000000000007E-2</v>
      </c>
      <c r="F47" s="210">
        <f t="shared" si="22"/>
        <v>7.0000000000000007E-2</v>
      </c>
      <c r="G47" s="210">
        <f t="shared" si="22"/>
        <v>7.0000000000000007E-2</v>
      </c>
      <c r="H47" s="210">
        <f t="shared" si="22"/>
        <v>7.0000000000000007E-2</v>
      </c>
      <c r="I47" s="210">
        <f t="shared" si="22"/>
        <v>7.0000000000000007E-2</v>
      </c>
      <c r="J47" s="210">
        <f t="shared" si="22"/>
        <v>7.0000000000000007E-2</v>
      </c>
    </row>
    <row r="48" spans="1:10" x14ac:dyDescent="0.25">
      <c r="A48" s="81"/>
    </row>
    <row r="49" spans="1:10" x14ac:dyDescent="0.25">
      <c r="A49" s="81"/>
    </row>
    <row r="50" spans="1:10" ht="15.75" thickBot="1" x14ac:dyDescent="0.3">
      <c r="A50" s="199"/>
      <c r="B50" s="166"/>
      <c r="C50" s="166"/>
      <c r="D50" s="166"/>
      <c r="E50" s="166"/>
      <c r="F50" s="166"/>
      <c r="G50" s="166"/>
      <c r="H50" s="166"/>
      <c r="I50" s="166"/>
      <c r="J50" s="166"/>
    </row>
    <row r="51" spans="1:10" ht="37.5" thickTop="1" thickBot="1" x14ac:dyDescent="0.3">
      <c r="A51" s="281" t="s">
        <v>296</v>
      </c>
      <c r="B51" s="281"/>
      <c r="C51" s="281"/>
      <c r="D51" s="281"/>
      <c r="E51" s="281"/>
      <c r="F51" s="281"/>
      <c r="G51" s="281"/>
      <c r="H51" s="281"/>
      <c r="I51" s="281"/>
      <c r="J51" s="281"/>
    </row>
    <row r="52" spans="1:10" ht="15.75" thickTop="1" x14ac:dyDescent="0.25">
      <c r="A52" s="81"/>
    </row>
    <row r="53" spans="1:10" x14ac:dyDescent="0.25">
      <c r="A53" s="81"/>
    </row>
    <row r="54" spans="1:10" x14ac:dyDescent="0.25">
      <c r="A54" s="81"/>
    </row>
    <row r="56" spans="1:10" ht="21.75" thickBot="1" x14ac:dyDescent="0.4">
      <c r="A56" s="207" t="s">
        <v>297</v>
      </c>
      <c r="B56" s="166"/>
      <c r="C56" s="166"/>
      <c r="D56" s="166"/>
      <c r="E56" s="166"/>
      <c r="F56" s="166"/>
      <c r="G56" s="166"/>
      <c r="H56" s="166"/>
      <c r="I56" s="166"/>
      <c r="J56" s="166"/>
    </row>
    <row r="57" spans="1:10" ht="19.5" thickTop="1" x14ac:dyDescent="0.3">
      <c r="A57" s="196" t="s">
        <v>299</v>
      </c>
      <c r="B57" s="198">
        <v>2018</v>
      </c>
      <c r="C57" s="198">
        <v>2019</v>
      </c>
      <c r="D57" s="198">
        <v>2020</v>
      </c>
      <c r="E57" s="198">
        <v>2021</v>
      </c>
      <c r="F57" s="198">
        <v>2022</v>
      </c>
      <c r="G57" s="198">
        <v>2023</v>
      </c>
      <c r="H57" s="198">
        <v>2024</v>
      </c>
      <c r="I57" s="198">
        <v>2025</v>
      </c>
      <c r="J57" s="198">
        <v>2026</v>
      </c>
    </row>
    <row r="58" spans="1:10" x14ac:dyDescent="0.25">
      <c r="A58" s="206" t="s">
        <v>2</v>
      </c>
      <c r="B58" s="139"/>
      <c r="C58" s="139"/>
      <c r="D58" s="139"/>
      <c r="E58" s="139"/>
      <c r="F58" s="139"/>
      <c r="G58" s="139"/>
      <c r="H58" s="139"/>
      <c r="I58" s="139"/>
      <c r="J58" s="139"/>
    </row>
    <row r="59" spans="1:10" x14ac:dyDescent="0.25">
      <c r="A59" s="44" t="s">
        <v>83</v>
      </c>
    </row>
    <row r="60" spans="1:10" x14ac:dyDescent="0.25">
      <c r="A60" s="13" t="s">
        <v>84</v>
      </c>
    </row>
    <row r="61" spans="1:10" x14ac:dyDescent="0.25">
      <c r="A61" s="50" t="s">
        <v>87</v>
      </c>
      <c r="B61" s="205">
        <v>0.08</v>
      </c>
      <c r="C61" s="205">
        <v>7.0000000000000007E-2</v>
      </c>
      <c r="D61" s="205">
        <v>0.06</v>
      </c>
      <c r="E61" s="205">
        <v>0.05</v>
      </c>
      <c r="F61" s="205">
        <v>0.05</v>
      </c>
      <c r="G61" s="205">
        <v>0.05</v>
      </c>
      <c r="H61" s="205">
        <v>0.05</v>
      </c>
      <c r="I61" s="205">
        <v>0.05</v>
      </c>
      <c r="J61" s="205">
        <v>0.05</v>
      </c>
    </row>
    <row r="62" spans="1:10" x14ac:dyDescent="0.25">
      <c r="A62" s="49" t="s">
        <v>88</v>
      </c>
      <c r="B62" s="205">
        <v>0.1</v>
      </c>
      <c r="C62" s="205">
        <v>0.1</v>
      </c>
      <c r="D62" s="205">
        <v>0.09</v>
      </c>
      <c r="E62" s="205">
        <v>0.08</v>
      </c>
      <c r="F62" s="205">
        <v>7.0000000000000007E-2</v>
      </c>
      <c r="G62" s="205">
        <v>0.06</v>
      </c>
      <c r="H62" s="205">
        <v>0.05</v>
      </c>
      <c r="I62" s="205">
        <v>0.04</v>
      </c>
      <c r="J62" s="205">
        <v>0.03</v>
      </c>
    </row>
    <row r="63" spans="1:10" x14ac:dyDescent="0.25">
      <c r="A63" s="13" t="s">
        <v>69</v>
      </c>
      <c r="B63" s="205"/>
      <c r="C63" s="205"/>
      <c r="D63" s="205"/>
      <c r="E63" s="205"/>
      <c r="F63" s="205"/>
      <c r="G63" s="205"/>
      <c r="H63" s="205"/>
      <c r="I63" s="205"/>
      <c r="J63" s="205"/>
    </row>
    <row r="64" spans="1:10" x14ac:dyDescent="0.25">
      <c r="A64" s="50" t="s">
        <v>89</v>
      </c>
      <c r="B64" s="205">
        <v>0.06</v>
      </c>
      <c r="C64" s="205">
        <v>0.06</v>
      </c>
      <c r="D64" s="205">
        <v>0.05</v>
      </c>
      <c r="E64" s="205">
        <v>0.04</v>
      </c>
      <c r="F64" s="205">
        <v>0.04</v>
      </c>
      <c r="G64" s="205">
        <v>0.04</v>
      </c>
      <c r="H64" s="205">
        <v>0.04</v>
      </c>
      <c r="I64" s="205">
        <v>0.04</v>
      </c>
      <c r="J64" s="205">
        <v>0.04</v>
      </c>
    </row>
    <row r="65" spans="1:10" x14ac:dyDescent="0.25">
      <c r="A65" s="50" t="s">
        <v>90</v>
      </c>
      <c r="B65" s="205">
        <v>7.0000000000000007E-2</v>
      </c>
      <c r="C65" s="205">
        <v>0.06</v>
      </c>
      <c r="D65" s="205">
        <v>0.05</v>
      </c>
      <c r="E65" s="205">
        <v>0.04</v>
      </c>
      <c r="F65" s="205">
        <v>0.03</v>
      </c>
      <c r="G65" s="205">
        <v>0.03</v>
      </c>
      <c r="H65" s="205">
        <v>0.03</v>
      </c>
      <c r="I65" s="205">
        <v>0.03</v>
      </c>
      <c r="J65" s="205">
        <v>0.03</v>
      </c>
    </row>
    <row r="66" spans="1:10" x14ac:dyDescent="0.25">
      <c r="A66" s="13" t="s">
        <v>70</v>
      </c>
      <c r="B66" s="205"/>
      <c r="C66" s="205"/>
      <c r="D66" s="205"/>
      <c r="E66" s="205"/>
      <c r="F66" s="205"/>
      <c r="G66" s="205"/>
      <c r="H66" s="205"/>
      <c r="I66" s="205"/>
      <c r="J66" s="205"/>
    </row>
    <row r="67" spans="1:10" x14ac:dyDescent="0.25">
      <c r="A67" s="50" t="s">
        <v>91</v>
      </c>
      <c r="B67" s="205">
        <v>0.06</v>
      </c>
      <c r="C67" s="205">
        <v>0.06</v>
      </c>
      <c r="D67" s="205">
        <v>0.05</v>
      </c>
      <c r="E67" s="205">
        <v>0.05</v>
      </c>
      <c r="F67" s="205">
        <v>0.04</v>
      </c>
      <c r="G67" s="205">
        <v>0.04</v>
      </c>
      <c r="H67" s="205">
        <v>0.04</v>
      </c>
      <c r="I67" s="205">
        <v>0.04</v>
      </c>
      <c r="J67" s="205">
        <v>0.04</v>
      </c>
    </row>
    <row r="68" spans="1:10" x14ac:dyDescent="0.25">
      <c r="A68" s="50" t="s">
        <v>92</v>
      </c>
      <c r="B68" s="205">
        <v>7.0000000000000007E-2</v>
      </c>
      <c r="C68" s="205">
        <v>7.0000000000000007E-2</v>
      </c>
      <c r="D68" s="205">
        <v>0.06</v>
      </c>
      <c r="E68" s="205">
        <v>0.06</v>
      </c>
      <c r="F68" s="205">
        <v>0.05</v>
      </c>
      <c r="G68" s="205">
        <v>0.05</v>
      </c>
      <c r="H68" s="205">
        <v>0.04</v>
      </c>
      <c r="I68" s="205">
        <v>0.04</v>
      </c>
      <c r="J68" s="205">
        <v>0.04</v>
      </c>
    </row>
    <row r="69" spans="1:10" x14ac:dyDescent="0.25">
      <c r="A69" s="13"/>
      <c r="B69" s="205"/>
      <c r="C69" s="205"/>
      <c r="D69" s="205"/>
      <c r="E69" s="205"/>
      <c r="F69" s="205"/>
      <c r="G69" s="205"/>
      <c r="H69" s="205"/>
      <c r="I69" s="205"/>
      <c r="J69" s="205"/>
    </row>
    <row r="70" spans="1:10" x14ac:dyDescent="0.25">
      <c r="A70" s="45" t="s">
        <v>3</v>
      </c>
      <c r="B70" s="205">
        <v>0.02</v>
      </c>
      <c r="C70" s="205">
        <v>0.02</v>
      </c>
      <c r="D70" s="205">
        <v>0.02</v>
      </c>
      <c r="E70" s="205">
        <v>0.02</v>
      </c>
      <c r="F70" s="205">
        <v>0.02</v>
      </c>
      <c r="G70" s="205">
        <v>0.02</v>
      </c>
      <c r="H70" s="205">
        <v>0.02</v>
      </c>
      <c r="I70" s="205">
        <v>0.02</v>
      </c>
      <c r="J70" s="205">
        <v>0.02</v>
      </c>
    </row>
    <row r="71" spans="1:10" x14ac:dyDescent="0.25">
      <c r="A71" s="45" t="s">
        <v>4</v>
      </c>
      <c r="B71" s="200"/>
      <c r="C71" s="200"/>
      <c r="D71" s="200"/>
      <c r="E71" s="200"/>
      <c r="F71" s="200"/>
      <c r="G71" s="200"/>
      <c r="H71" s="200"/>
      <c r="I71" s="200"/>
      <c r="J71" s="200"/>
    </row>
    <row r="72" spans="1:10" x14ac:dyDescent="0.25">
      <c r="B72" s="201"/>
      <c r="C72" s="201"/>
      <c r="D72" s="201"/>
      <c r="E72" s="201"/>
      <c r="F72" s="201"/>
      <c r="G72" s="201"/>
      <c r="H72" s="201"/>
      <c r="I72" s="201"/>
      <c r="J72" s="201"/>
    </row>
    <row r="73" spans="1:10" x14ac:dyDescent="0.25">
      <c r="A73" s="8" t="s">
        <v>97</v>
      </c>
      <c r="B73" s="202"/>
      <c r="C73" s="202"/>
      <c r="D73" s="202"/>
      <c r="E73" s="202"/>
      <c r="F73" s="202"/>
      <c r="G73" s="202"/>
      <c r="H73" s="202"/>
      <c r="I73" s="202"/>
      <c r="J73" s="202"/>
    </row>
    <row r="74" spans="1:10" x14ac:dyDescent="0.25">
      <c r="A74" s="13" t="s">
        <v>7</v>
      </c>
      <c r="B74" s="205">
        <v>0.55000000000000004</v>
      </c>
      <c r="C74" s="205">
        <v>0.55000000000000004</v>
      </c>
      <c r="D74" s="205">
        <v>0.55000000000000004</v>
      </c>
      <c r="E74" s="205">
        <v>0.55000000000000004</v>
      </c>
      <c r="F74" s="205">
        <v>0.55000000000000004</v>
      </c>
      <c r="G74" s="205">
        <v>0.55000000000000004</v>
      </c>
      <c r="H74" s="205">
        <v>0.55000000000000004</v>
      </c>
      <c r="I74" s="205">
        <v>0.55000000000000004</v>
      </c>
      <c r="J74" s="205">
        <v>0.55000000000000004</v>
      </c>
    </row>
    <row r="75" spans="1:10" x14ac:dyDescent="0.25">
      <c r="A75" s="13" t="s">
        <v>8</v>
      </c>
      <c r="B75" s="205">
        <v>0.13</v>
      </c>
      <c r="C75" s="205">
        <v>0.13</v>
      </c>
      <c r="D75" s="205">
        <v>0.13</v>
      </c>
      <c r="E75" s="205">
        <v>0.13</v>
      </c>
      <c r="F75" s="205">
        <v>0.13</v>
      </c>
      <c r="G75" s="205">
        <v>0.13</v>
      </c>
      <c r="H75" s="205">
        <v>0.13</v>
      </c>
      <c r="I75" s="205">
        <v>0.13</v>
      </c>
      <c r="J75" s="205">
        <v>0.13</v>
      </c>
    </row>
    <row r="76" spans="1:10" x14ac:dyDescent="0.25">
      <c r="A76" s="13" t="s">
        <v>9</v>
      </c>
      <c r="B76" s="205">
        <v>0.04</v>
      </c>
      <c r="C76" s="205">
        <v>0.04</v>
      </c>
      <c r="D76" s="205">
        <v>0.04</v>
      </c>
      <c r="E76" s="205">
        <v>0.04</v>
      </c>
      <c r="F76" s="205">
        <v>0.04</v>
      </c>
      <c r="G76" s="205">
        <v>0.04</v>
      </c>
      <c r="H76" s="205">
        <v>0.04</v>
      </c>
      <c r="I76" s="205">
        <v>0.04</v>
      </c>
      <c r="J76" s="205">
        <v>0.04</v>
      </c>
    </row>
    <row r="77" spans="1:10" x14ac:dyDescent="0.25">
      <c r="A77" s="13" t="s">
        <v>11</v>
      </c>
      <c r="B77" s="205">
        <v>0.01</v>
      </c>
      <c r="C77" s="205">
        <f>B77</f>
        <v>0.01</v>
      </c>
      <c r="D77" s="205">
        <f t="shared" ref="D77:J77" si="23">C77</f>
        <v>0.01</v>
      </c>
      <c r="E77" s="205">
        <f t="shared" si="23"/>
        <v>0.01</v>
      </c>
      <c r="F77" s="205">
        <f t="shared" si="23"/>
        <v>0.01</v>
      </c>
      <c r="G77" s="205">
        <f t="shared" si="23"/>
        <v>0.01</v>
      </c>
      <c r="H77" s="205">
        <f t="shared" si="23"/>
        <v>0.01</v>
      </c>
      <c r="I77" s="205">
        <f t="shared" si="23"/>
        <v>0.01</v>
      </c>
      <c r="J77" s="205">
        <f t="shared" si="23"/>
        <v>0.01</v>
      </c>
    </row>
    <row r="78" spans="1:10" x14ac:dyDescent="0.25">
      <c r="A78" s="13" t="s">
        <v>98</v>
      </c>
      <c r="B78" s="205">
        <v>0.1</v>
      </c>
      <c r="C78" s="205">
        <v>0.1</v>
      </c>
      <c r="D78" s="205">
        <v>0.1</v>
      </c>
      <c r="E78" s="205">
        <v>0.1</v>
      </c>
      <c r="F78" s="205">
        <v>0.1</v>
      </c>
      <c r="G78" s="205">
        <v>0.1</v>
      </c>
      <c r="H78" s="205">
        <v>0.1</v>
      </c>
      <c r="I78" s="205">
        <v>0.1</v>
      </c>
      <c r="J78" s="205">
        <v>0.1</v>
      </c>
    </row>
    <row r="79" spans="1:10" x14ac:dyDescent="0.25">
      <c r="A79" s="13"/>
      <c r="B79" s="201"/>
      <c r="C79" s="201"/>
      <c r="D79" s="201"/>
      <c r="E79" s="201"/>
      <c r="F79" s="201"/>
      <c r="G79" s="201"/>
      <c r="H79" s="201"/>
      <c r="I79" s="201"/>
      <c r="J79" s="201"/>
    </row>
    <row r="80" spans="1:10" x14ac:dyDescent="0.25">
      <c r="B80" s="201"/>
      <c r="C80" s="201"/>
      <c r="D80" s="201"/>
      <c r="E80" s="201"/>
      <c r="F80" s="201"/>
      <c r="G80" s="201"/>
      <c r="H80" s="201"/>
      <c r="I80" s="201"/>
      <c r="J80" s="201"/>
    </row>
    <row r="81" spans="1:10" ht="18.75" x14ac:dyDescent="0.3">
      <c r="A81" s="196" t="s">
        <v>67</v>
      </c>
      <c r="B81" s="202"/>
      <c r="C81" s="202"/>
      <c r="D81" s="202"/>
      <c r="E81" s="202"/>
      <c r="F81" s="202"/>
      <c r="G81" s="202"/>
      <c r="H81" s="202"/>
      <c r="I81" s="202"/>
      <c r="J81" s="202"/>
    </row>
    <row r="82" spans="1:10" x14ac:dyDescent="0.25">
      <c r="A82" t="s">
        <v>104</v>
      </c>
      <c r="B82" s="203">
        <v>40</v>
      </c>
      <c r="C82" s="203">
        <v>40</v>
      </c>
      <c r="D82" s="203">
        <v>40</v>
      </c>
      <c r="E82" s="203">
        <v>40</v>
      </c>
      <c r="F82" s="203">
        <v>40</v>
      </c>
      <c r="G82" s="203">
        <v>40</v>
      </c>
      <c r="H82" s="203">
        <v>40</v>
      </c>
      <c r="I82" s="203">
        <v>40</v>
      </c>
      <c r="J82" s="203">
        <v>40</v>
      </c>
    </row>
    <row r="83" spans="1:10" x14ac:dyDescent="0.25">
      <c r="A83" t="s">
        <v>108</v>
      </c>
      <c r="B83" s="203">
        <v>36</v>
      </c>
      <c r="C83" s="203">
        <v>36</v>
      </c>
      <c r="D83" s="203">
        <v>36</v>
      </c>
      <c r="E83" s="203">
        <v>36</v>
      </c>
      <c r="F83" s="203">
        <v>36</v>
      </c>
      <c r="G83" s="203">
        <v>36</v>
      </c>
      <c r="H83" s="203">
        <v>36</v>
      </c>
      <c r="I83" s="203">
        <v>36</v>
      </c>
      <c r="J83" s="203">
        <v>36</v>
      </c>
    </row>
    <row r="84" spans="1:10" x14ac:dyDescent="0.25">
      <c r="A84" t="s">
        <v>226</v>
      </c>
      <c r="B84" s="204">
        <v>0.02</v>
      </c>
      <c r="C84" s="204">
        <v>0.02</v>
      </c>
      <c r="D84" s="204">
        <v>0.02</v>
      </c>
      <c r="E84" s="204">
        <v>0.02</v>
      </c>
      <c r="F84" s="204">
        <v>0.02</v>
      </c>
      <c r="G84" s="204">
        <v>0.02</v>
      </c>
      <c r="H84" s="204">
        <v>0.02</v>
      </c>
      <c r="I84" s="204">
        <v>0.02</v>
      </c>
      <c r="J84" s="204">
        <v>0.02</v>
      </c>
    </row>
    <row r="85" spans="1:10" x14ac:dyDescent="0.25">
      <c r="A85" t="s">
        <v>122</v>
      </c>
      <c r="B85" s="204">
        <v>0.04</v>
      </c>
      <c r="C85" s="204">
        <v>0.04</v>
      </c>
      <c r="D85" s="204">
        <v>0.04</v>
      </c>
      <c r="E85" s="204">
        <v>0.04</v>
      </c>
      <c r="F85" s="204">
        <v>0.04</v>
      </c>
      <c r="G85" s="204">
        <v>0.04</v>
      </c>
      <c r="H85" s="204">
        <v>0.04</v>
      </c>
      <c r="I85" s="204">
        <v>0.04</v>
      </c>
      <c r="J85" s="204">
        <v>0.04</v>
      </c>
    </row>
    <row r="86" spans="1:10" x14ac:dyDescent="0.25">
      <c r="A86" t="s">
        <v>121</v>
      </c>
      <c r="B86" s="201">
        <v>25</v>
      </c>
      <c r="C86" s="201">
        <v>25</v>
      </c>
      <c r="D86" s="201">
        <v>25</v>
      </c>
      <c r="E86" s="201">
        <v>25</v>
      </c>
      <c r="F86" s="201">
        <v>25</v>
      </c>
      <c r="G86" s="201">
        <v>25</v>
      </c>
      <c r="H86" s="201">
        <v>25</v>
      </c>
      <c r="I86" s="201">
        <v>25</v>
      </c>
      <c r="J86" s="201">
        <v>25</v>
      </c>
    </row>
    <row r="87" spans="1:10" x14ac:dyDescent="0.25">
      <c r="A87" t="s">
        <v>126</v>
      </c>
      <c r="B87" s="203">
        <v>85</v>
      </c>
      <c r="C87" s="203">
        <v>85</v>
      </c>
      <c r="D87" s="203">
        <v>85</v>
      </c>
      <c r="E87" s="203">
        <v>85</v>
      </c>
      <c r="F87" s="203">
        <v>85</v>
      </c>
      <c r="G87" s="203">
        <v>85</v>
      </c>
      <c r="H87" s="203">
        <v>85</v>
      </c>
      <c r="I87" s="203">
        <v>85</v>
      </c>
      <c r="J87" s="203">
        <v>85</v>
      </c>
    </row>
    <row r="88" spans="1:10" x14ac:dyDescent="0.25">
      <c r="A88" t="s">
        <v>180</v>
      </c>
      <c r="B88" s="205">
        <v>0.03</v>
      </c>
      <c r="C88" s="205">
        <v>0.03</v>
      </c>
      <c r="D88" s="205">
        <v>0.03</v>
      </c>
      <c r="E88" s="205">
        <v>0.03</v>
      </c>
      <c r="F88" s="205">
        <v>0.03</v>
      </c>
      <c r="G88" s="205">
        <v>0.03</v>
      </c>
      <c r="H88" s="205">
        <v>0.03</v>
      </c>
      <c r="I88" s="205">
        <v>0.03</v>
      </c>
      <c r="J88" s="205">
        <v>0.03</v>
      </c>
    </row>
    <row r="89" spans="1:10" x14ac:dyDescent="0.25">
      <c r="A89" s="81" t="s">
        <v>40</v>
      </c>
      <c r="B89" s="205">
        <v>0.01</v>
      </c>
      <c r="C89" s="205">
        <v>0.01</v>
      </c>
      <c r="D89" s="205">
        <v>0.01</v>
      </c>
      <c r="E89" s="205">
        <v>0.01</v>
      </c>
      <c r="F89" s="205">
        <v>0.01</v>
      </c>
      <c r="G89" s="205">
        <v>0.01</v>
      </c>
      <c r="H89" s="205">
        <v>0.01</v>
      </c>
      <c r="I89" s="205">
        <v>0.01</v>
      </c>
      <c r="J89" s="205">
        <v>0.01</v>
      </c>
    </row>
    <row r="90" spans="1:10" x14ac:dyDescent="0.25">
      <c r="A90" s="81" t="s">
        <v>42</v>
      </c>
      <c r="B90" s="205">
        <v>0.01</v>
      </c>
      <c r="C90" s="205">
        <v>0.01</v>
      </c>
      <c r="D90" s="205">
        <v>0.01</v>
      </c>
      <c r="E90" s="205">
        <v>0.01</v>
      </c>
      <c r="F90" s="205">
        <v>0.01</v>
      </c>
      <c r="G90" s="205">
        <v>0.01</v>
      </c>
      <c r="H90" s="205">
        <v>0.01</v>
      </c>
      <c r="I90" s="205">
        <v>0.01</v>
      </c>
      <c r="J90" s="205">
        <v>0.01</v>
      </c>
    </row>
    <row r="91" spans="1:10" x14ac:dyDescent="0.25">
      <c r="A91" s="81" t="s">
        <v>194</v>
      </c>
      <c r="B91" s="205">
        <v>0.03</v>
      </c>
      <c r="C91" s="205">
        <v>0.03</v>
      </c>
      <c r="D91" s="205">
        <v>0.03</v>
      </c>
      <c r="E91" s="205">
        <v>0.03</v>
      </c>
      <c r="F91" s="205">
        <v>0.03</v>
      </c>
      <c r="G91" s="205">
        <v>0.03</v>
      </c>
      <c r="H91" s="205">
        <v>0.03</v>
      </c>
      <c r="I91" s="205">
        <v>0.03</v>
      </c>
      <c r="J91" s="205">
        <v>0.03</v>
      </c>
    </row>
    <row r="92" spans="1:10" x14ac:dyDescent="0.25">
      <c r="A92" s="208" t="s">
        <v>230</v>
      </c>
      <c r="B92" s="209">
        <v>7.0000000000000007E-2</v>
      </c>
      <c r="C92" s="209">
        <v>7.0000000000000007E-2</v>
      </c>
      <c r="D92" s="209">
        <v>7.0000000000000007E-2</v>
      </c>
      <c r="E92" s="209">
        <v>7.0000000000000007E-2</v>
      </c>
      <c r="F92" s="209">
        <v>7.0000000000000007E-2</v>
      </c>
      <c r="G92" s="209">
        <v>7.0000000000000007E-2</v>
      </c>
      <c r="H92" s="209">
        <v>7.0000000000000007E-2</v>
      </c>
      <c r="I92" s="209">
        <v>7.0000000000000007E-2</v>
      </c>
      <c r="J92" s="209">
        <v>7.0000000000000007E-2</v>
      </c>
    </row>
    <row r="93" spans="1:10" x14ac:dyDescent="0.25">
      <c r="A93" s="81"/>
      <c r="B93" s="51"/>
      <c r="C93" s="51"/>
      <c r="D93" s="51"/>
      <c r="E93" s="51"/>
      <c r="F93" s="51"/>
      <c r="G93" s="51"/>
      <c r="H93" s="51"/>
      <c r="I93" s="51"/>
      <c r="J93" s="51"/>
    </row>
    <row r="97" spans="1:10" ht="21.75" thickBot="1" x14ac:dyDescent="0.4">
      <c r="A97" s="207" t="s">
        <v>298</v>
      </c>
      <c r="B97" s="166"/>
      <c r="C97" s="166"/>
      <c r="D97" s="166"/>
      <c r="E97" s="166"/>
      <c r="F97" s="166"/>
      <c r="G97" s="166"/>
      <c r="H97" s="166"/>
      <c r="I97" s="166"/>
      <c r="J97" s="166"/>
    </row>
    <row r="98" spans="1:10" ht="19.5" thickTop="1" x14ac:dyDescent="0.3">
      <c r="A98" s="196" t="s">
        <v>299</v>
      </c>
      <c r="B98" s="198">
        <v>2018</v>
      </c>
      <c r="C98" s="198">
        <v>2019</v>
      </c>
      <c r="D98" s="198">
        <v>2020</v>
      </c>
      <c r="E98" s="198">
        <v>2021</v>
      </c>
      <c r="F98" s="198">
        <v>2022</v>
      </c>
      <c r="G98" s="198">
        <v>2023</v>
      </c>
      <c r="H98" s="198">
        <v>2024</v>
      </c>
      <c r="I98" s="198">
        <v>2025</v>
      </c>
      <c r="J98" s="198">
        <v>2026</v>
      </c>
    </row>
    <row r="99" spans="1:10" x14ac:dyDescent="0.25">
      <c r="A99" s="206" t="s">
        <v>2</v>
      </c>
      <c r="B99" s="139"/>
      <c r="C99" s="139"/>
      <c r="D99" s="139"/>
      <c r="E99" s="139"/>
      <c r="F99" s="139"/>
      <c r="G99" s="139"/>
      <c r="H99" s="139"/>
      <c r="I99" s="139"/>
      <c r="J99" s="139"/>
    </row>
    <row r="100" spans="1:10" x14ac:dyDescent="0.25">
      <c r="A100" s="44" t="s">
        <v>83</v>
      </c>
    </row>
    <row r="101" spans="1:10" x14ac:dyDescent="0.25">
      <c r="A101" s="13" t="s">
        <v>84</v>
      </c>
    </row>
    <row r="102" spans="1:10" x14ac:dyDescent="0.25">
      <c r="A102" s="50" t="s">
        <v>87</v>
      </c>
      <c r="B102" s="205">
        <v>0.08</v>
      </c>
      <c r="C102" s="205">
        <v>7.0000000000000007E-2</v>
      </c>
      <c r="D102" s="205">
        <v>0.06</v>
      </c>
      <c r="E102" s="205">
        <v>0.05</v>
      </c>
      <c r="F102" s="205">
        <v>0.05</v>
      </c>
      <c r="G102" s="205">
        <v>0.05</v>
      </c>
      <c r="H102" s="205">
        <v>0.05</v>
      </c>
      <c r="I102" s="205">
        <v>0.05</v>
      </c>
      <c r="J102" s="205">
        <v>0.05</v>
      </c>
    </row>
    <row r="103" spans="1:10" x14ac:dyDescent="0.25">
      <c r="A103" s="49" t="s">
        <v>88</v>
      </c>
      <c r="B103" s="205">
        <v>0.1</v>
      </c>
      <c r="C103" s="205">
        <v>0.1</v>
      </c>
      <c r="D103" s="205">
        <v>0.09</v>
      </c>
      <c r="E103" s="205">
        <v>0.08</v>
      </c>
      <c r="F103" s="205">
        <v>7.0000000000000007E-2</v>
      </c>
      <c r="G103" s="205">
        <v>0.06</v>
      </c>
      <c r="H103" s="205">
        <v>0.05</v>
      </c>
      <c r="I103" s="205">
        <v>0.04</v>
      </c>
      <c r="J103" s="205">
        <v>0.03</v>
      </c>
    </row>
    <row r="104" spans="1:10" x14ac:dyDescent="0.25">
      <c r="A104" s="13" t="s">
        <v>69</v>
      </c>
      <c r="B104" s="205"/>
      <c r="C104" s="205"/>
      <c r="D104" s="205"/>
      <c r="E104" s="205"/>
      <c r="F104" s="205"/>
      <c r="G104" s="205"/>
      <c r="H104" s="205"/>
      <c r="I104" s="205"/>
      <c r="J104" s="205"/>
    </row>
    <row r="105" spans="1:10" x14ac:dyDescent="0.25">
      <c r="A105" s="50" t="s">
        <v>89</v>
      </c>
      <c r="B105" s="205">
        <v>0.04</v>
      </c>
      <c r="C105" s="205">
        <v>0.04</v>
      </c>
      <c r="D105" s="205">
        <v>0.04</v>
      </c>
      <c r="E105" s="205">
        <v>0.04</v>
      </c>
      <c r="F105" s="205">
        <v>0.04</v>
      </c>
      <c r="G105" s="205">
        <v>0.04</v>
      </c>
      <c r="H105" s="205">
        <v>0.04</v>
      </c>
      <c r="I105" s="205">
        <v>0.04</v>
      </c>
      <c r="J105" s="205">
        <v>0.04</v>
      </c>
    </row>
    <row r="106" spans="1:10" x14ac:dyDescent="0.25">
      <c r="A106" s="50" t="s">
        <v>90</v>
      </c>
      <c r="B106" s="205">
        <v>0.03</v>
      </c>
      <c r="C106" s="205">
        <v>0.03</v>
      </c>
      <c r="D106" s="205">
        <v>0.03</v>
      </c>
      <c r="E106" s="205">
        <v>0.03</v>
      </c>
      <c r="F106" s="205">
        <v>0.03</v>
      </c>
      <c r="G106" s="205">
        <v>0.03</v>
      </c>
      <c r="H106" s="205">
        <v>0.03</v>
      </c>
      <c r="I106" s="205">
        <v>0.03</v>
      </c>
      <c r="J106" s="205">
        <v>0.03</v>
      </c>
    </row>
    <row r="107" spans="1:10" x14ac:dyDescent="0.25">
      <c r="A107" s="13" t="s">
        <v>70</v>
      </c>
      <c r="B107" s="205"/>
      <c r="C107" s="205"/>
      <c r="D107" s="205"/>
      <c r="E107" s="205"/>
      <c r="F107" s="205"/>
      <c r="G107" s="205"/>
      <c r="H107" s="205"/>
      <c r="I107" s="205"/>
      <c r="J107" s="205"/>
    </row>
    <row r="108" spans="1:10" x14ac:dyDescent="0.25">
      <c r="A108" s="50" t="s">
        <v>91</v>
      </c>
      <c r="B108" s="205">
        <v>0.04</v>
      </c>
      <c r="C108" s="205">
        <v>0.04</v>
      </c>
      <c r="D108" s="205">
        <v>0.04</v>
      </c>
      <c r="E108" s="205">
        <v>0.04</v>
      </c>
      <c r="F108" s="205">
        <v>0.04</v>
      </c>
      <c r="G108" s="205">
        <v>0.04</v>
      </c>
      <c r="H108" s="205">
        <v>0.04</v>
      </c>
      <c r="I108" s="205">
        <v>0.04</v>
      </c>
      <c r="J108" s="205">
        <v>0.04</v>
      </c>
    </row>
    <row r="109" spans="1:10" x14ac:dyDescent="0.25">
      <c r="A109" s="50" t="s">
        <v>92</v>
      </c>
      <c r="B109" s="205">
        <v>0.04</v>
      </c>
      <c r="C109" s="205">
        <v>0.04</v>
      </c>
      <c r="D109" s="205">
        <v>0.04</v>
      </c>
      <c r="E109" s="205">
        <v>0.04</v>
      </c>
      <c r="F109" s="205">
        <v>0.04</v>
      </c>
      <c r="G109" s="205">
        <v>0.04</v>
      </c>
      <c r="H109" s="205">
        <v>0.04</v>
      </c>
      <c r="I109" s="205">
        <v>0.04</v>
      </c>
      <c r="J109" s="205">
        <v>0.04</v>
      </c>
    </row>
    <row r="110" spans="1:10" x14ac:dyDescent="0.25">
      <c r="A110" s="13"/>
      <c r="B110" s="205"/>
      <c r="C110" s="205"/>
      <c r="D110" s="205"/>
      <c r="E110" s="205"/>
      <c r="F110" s="205"/>
      <c r="G110" s="205"/>
      <c r="H110" s="205"/>
      <c r="I110" s="205"/>
      <c r="J110" s="205"/>
    </row>
    <row r="111" spans="1:10" x14ac:dyDescent="0.25">
      <c r="A111" s="45" t="s">
        <v>3</v>
      </c>
      <c r="B111" s="205">
        <v>0.02</v>
      </c>
      <c r="C111" s="205">
        <v>0.02</v>
      </c>
      <c r="D111" s="205">
        <v>0.02</v>
      </c>
      <c r="E111" s="205">
        <v>0.02</v>
      </c>
      <c r="F111" s="205">
        <v>0.02</v>
      </c>
      <c r="G111" s="205">
        <v>0.02</v>
      </c>
      <c r="H111" s="205">
        <v>0.02</v>
      </c>
      <c r="I111" s="205">
        <v>0.02</v>
      </c>
      <c r="J111" s="205">
        <v>0.02</v>
      </c>
    </row>
    <row r="112" spans="1:10" x14ac:dyDescent="0.25">
      <c r="A112" s="45" t="s">
        <v>4</v>
      </c>
      <c r="B112" s="200"/>
      <c r="C112" s="200"/>
      <c r="D112" s="200"/>
      <c r="E112" s="200"/>
      <c r="F112" s="200"/>
      <c r="G112" s="200"/>
      <c r="H112" s="200"/>
      <c r="I112" s="200"/>
      <c r="J112" s="200"/>
    </row>
    <row r="113" spans="1:10" x14ac:dyDescent="0.25">
      <c r="B113" s="201"/>
      <c r="C113" s="201"/>
      <c r="D113" s="201"/>
      <c r="E113" s="201"/>
      <c r="F113" s="201"/>
      <c r="G113" s="201"/>
      <c r="H113" s="201"/>
      <c r="I113" s="201"/>
      <c r="J113" s="201"/>
    </row>
    <row r="114" spans="1:10" x14ac:dyDescent="0.25">
      <c r="A114" s="8" t="s">
        <v>97</v>
      </c>
      <c r="B114" s="202"/>
      <c r="C114" s="202"/>
      <c r="D114" s="202"/>
      <c r="E114" s="202"/>
      <c r="F114" s="202"/>
      <c r="G114" s="202"/>
      <c r="H114" s="202"/>
      <c r="I114" s="202"/>
      <c r="J114" s="202"/>
    </row>
    <row r="115" spans="1:10" x14ac:dyDescent="0.25">
      <c r="A115" s="13" t="s">
        <v>7</v>
      </c>
      <c r="B115" s="205">
        <v>0.55000000000000004</v>
      </c>
      <c r="C115" s="205">
        <v>0.55000000000000004</v>
      </c>
      <c r="D115" s="205">
        <v>0.55000000000000004</v>
      </c>
      <c r="E115" s="205">
        <v>0.55000000000000004</v>
      </c>
      <c r="F115" s="205">
        <v>0.55000000000000004</v>
      </c>
      <c r="G115" s="205">
        <v>0.55000000000000004</v>
      </c>
      <c r="H115" s="205">
        <v>0.55000000000000004</v>
      </c>
      <c r="I115" s="205">
        <v>0.55000000000000004</v>
      </c>
      <c r="J115" s="205">
        <v>0.55000000000000004</v>
      </c>
    </row>
    <row r="116" spans="1:10" x14ac:dyDescent="0.25">
      <c r="A116" s="13" t="s">
        <v>8</v>
      </c>
      <c r="B116" s="205">
        <v>0.13</v>
      </c>
      <c r="C116" s="205">
        <v>0.13</v>
      </c>
      <c r="D116" s="205">
        <v>0.13</v>
      </c>
      <c r="E116" s="205">
        <v>0.13</v>
      </c>
      <c r="F116" s="205">
        <v>0.13</v>
      </c>
      <c r="G116" s="205">
        <v>0.13</v>
      </c>
      <c r="H116" s="205">
        <v>0.13</v>
      </c>
      <c r="I116" s="205">
        <v>0.13</v>
      </c>
      <c r="J116" s="205">
        <v>0.13</v>
      </c>
    </row>
    <row r="117" spans="1:10" x14ac:dyDescent="0.25">
      <c r="A117" s="13" t="s">
        <v>9</v>
      </c>
      <c r="B117" s="205">
        <v>0.04</v>
      </c>
      <c r="C117" s="205">
        <v>0.04</v>
      </c>
      <c r="D117" s="205">
        <v>0.04</v>
      </c>
      <c r="E117" s="205">
        <v>0.04</v>
      </c>
      <c r="F117" s="205">
        <v>0.04</v>
      </c>
      <c r="G117" s="205">
        <v>0.04</v>
      </c>
      <c r="H117" s="205">
        <v>0.04</v>
      </c>
      <c r="I117" s="205">
        <v>0.04</v>
      </c>
      <c r="J117" s="205">
        <v>0.04</v>
      </c>
    </row>
    <row r="118" spans="1:10" x14ac:dyDescent="0.25">
      <c r="A118" s="13" t="s">
        <v>11</v>
      </c>
      <c r="B118" s="205">
        <v>0.01</v>
      </c>
      <c r="C118" s="205">
        <f>B118</f>
        <v>0.01</v>
      </c>
      <c r="D118" s="205">
        <f t="shared" ref="D118" si="24">C118</f>
        <v>0.01</v>
      </c>
      <c r="E118" s="205">
        <f t="shared" ref="E118" si="25">D118</f>
        <v>0.01</v>
      </c>
      <c r="F118" s="205">
        <f t="shared" ref="F118" si="26">E118</f>
        <v>0.01</v>
      </c>
      <c r="G118" s="205">
        <f t="shared" ref="G118" si="27">F118</f>
        <v>0.01</v>
      </c>
      <c r="H118" s="205">
        <f t="shared" ref="H118" si="28">G118</f>
        <v>0.01</v>
      </c>
      <c r="I118" s="205">
        <f t="shared" ref="I118" si="29">H118</f>
        <v>0.01</v>
      </c>
      <c r="J118" s="205">
        <f t="shared" ref="J118" si="30">I118</f>
        <v>0.01</v>
      </c>
    </row>
    <row r="119" spans="1:10" x14ac:dyDescent="0.25">
      <c r="A119" s="13" t="s">
        <v>98</v>
      </c>
      <c r="B119" s="205">
        <v>0.1</v>
      </c>
      <c r="C119" s="205">
        <v>0.1</v>
      </c>
      <c r="D119" s="205">
        <v>0.1</v>
      </c>
      <c r="E119" s="205">
        <v>0.1</v>
      </c>
      <c r="F119" s="205">
        <v>0.1</v>
      </c>
      <c r="G119" s="205">
        <v>0.1</v>
      </c>
      <c r="H119" s="205">
        <v>0.1</v>
      </c>
      <c r="I119" s="205">
        <v>0.1</v>
      </c>
      <c r="J119" s="205">
        <v>0.1</v>
      </c>
    </row>
    <row r="120" spans="1:10" x14ac:dyDescent="0.25">
      <c r="A120" s="13"/>
      <c r="B120" s="201"/>
      <c r="C120" s="201"/>
      <c r="D120" s="201"/>
      <c r="E120" s="201"/>
      <c r="F120" s="201"/>
      <c r="G120" s="201"/>
      <c r="H120" s="201"/>
      <c r="I120" s="201"/>
      <c r="J120" s="201"/>
    </row>
    <row r="121" spans="1:10" x14ac:dyDescent="0.25">
      <c r="B121" s="201"/>
      <c r="C121" s="201"/>
      <c r="D121" s="201"/>
      <c r="E121" s="201"/>
      <c r="F121" s="201"/>
      <c r="G121" s="201"/>
      <c r="H121" s="201"/>
      <c r="I121" s="201"/>
      <c r="J121" s="201"/>
    </row>
    <row r="122" spans="1:10" ht="18.75" x14ac:dyDescent="0.3">
      <c r="A122" s="196" t="s">
        <v>67</v>
      </c>
      <c r="B122" s="202"/>
      <c r="C122" s="202"/>
      <c r="D122" s="202"/>
      <c r="E122" s="202"/>
      <c r="F122" s="202"/>
      <c r="G122" s="202"/>
      <c r="H122" s="202"/>
      <c r="I122" s="202"/>
      <c r="J122" s="202"/>
    </row>
    <row r="123" spans="1:10" x14ac:dyDescent="0.25">
      <c r="A123" t="s">
        <v>104</v>
      </c>
      <c r="B123" s="203">
        <v>40</v>
      </c>
      <c r="C123" s="203">
        <v>40</v>
      </c>
      <c r="D123" s="203">
        <v>40</v>
      </c>
      <c r="E123" s="203">
        <v>40</v>
      </c>
      <c r="F123" s="203">
        <v>40</v>
      </c>
      <c r="G123" s="203">
        <v>40</v>
      </c>
      <c r="H123" s="203">
        <v>40</v>
      </c>
      <c r="I123" s="203">
        <v>40</v>
      </c>
      <c r="J123" s="203">
        <v>40</v>
      </c>
    </row>
    <row r="124" spans="1:10" x14ac:dyDescent="0.25">
      <c r="A124" t="s">
        <v>108</v>
      </c>
      <c r="B124" s="203">
        <v>36</v>
      </c>
      <c r="C124" s="203">
        <v>36</v>
      </c>
      <c r="D124" s="203">
        <v>36</v>
      </c>
      <c r="E124" s="203">
        <v>36</v>
      </c>
      <c r="F124" s="203">
        <v>36</v>
      </c>
      <c r="G124" s="203">
        <v>36</v>
      </c>
      <c r="H124" s="203">
        <v>36</v>
      </c>
      <c r="I124" s="203">
        <v>36</v>
      </c>
      <c r="J124" s="203">
        <v>36</v>
      </c>
    </row>
    <row r="125" spans="1:10" x14ac:dyDescent="0.25">
      <c r="A125" t="s">
        <v>226</v>
      </c>
      <c r="B125" s="204">
        <v>0.02</v>
      </c>
      <c r="C125" s="204">
        <v>0.02</v>
      </c>
      <c r="D125" s="204">
        <v>0.02</v>
      </c>
      <c r="E125" s="204">
        <v>0.02</v>
      </c>
      <c r="F125" s="204">
        <v>0.02</v>
      </c>
      <c r="G125" s="204">
        <v>0.02</v>
      </c>
      <c r="H125" s="204">
        <v>0.02</v>
      </c>
      <c r="I125" s="204">
        <v>0.02</v>
      </c>
      <c r="J125" s="204">
        <v>0.02</v>
      </c>
    </row>
    <row r="126" spans="1:10" x14ac:dyDescent="0.25">
      <c r="A126" t="s">
        <v>122</v>
      </c>
      <c r="B126" s="204">
        <v>0.04</v>
      </c>
      <c r="C126" s="204">
        <v>0.04</v>
      </c>
      <c r="D126" s="204">
        <v>0.04</v>
      </c>
      <c r="E126" s="204">
        <v>0.04</v>
      </c>
      <c r="F126" s="204">
        <v>0.04</v>
      </c>
      <c r="G126" s="204">
        <v>0.04</v>
      </c>
      <c r="H126" s="204">
        <v>0.04</v>
      </c>
      <c r="I126" s="204">
        <v>0.04</v>
      </c>
      <c r="J126" s="204">
        <v>0.04</v>
      </c>
    </row>
    <row r="127" spans="1:10" x14ac:dyDescent="0.25">
      <c r="A127" t="s">
        <v>121</v>
      </c>
      <c r="B127" s="201">
        <v>25</v>
      </c>
      <c r="C127" s="201">
        <v>25</v>
      </c>
      <c r="D127" s="201">
        <v>25</v>
      </c>
      <c r="E127" s="201">
        <v>25</v>
      </c>
      <c r="F127" s="201">
        <v>25</v>
      </c>
      <c r="G127" s="201">
        <v>25</v>
      </c>
      <c r="H127" s="201">
        <v>25</v>
      </c>
      <c r="I127" s="201">
        <v>25</v>
      </c>
      <c r="J127" s="201">
        <v>25</v>
      </c>
    </row>
    <row r="128" spans="1:10" x14ac:dyDescent="0.25">
      <c r="A128" t="s">
        <v>126</v>
      </c>
      <c r="B128" s="203">
        <v>85</v>
      </c>
      <c r="C128" s="203">
        <v>85</v>
      </c>
      <c r="D128" s="203">
        <v>85</v>
      </c>
      <c r="E128" s="203">
        <v>85</v>
      </c>
      <c r="F128" s="203">
        <v>85</v>
      </c>
      <c r="G128" s="203">
        <v>85</v>
      </c>
      <c r="H128" s="203">
        <v>85</v>
      </c>
      <c r="I128" s="203">
        <v>85</v>
      </c>
      <c r="J128" s="203">
        <v>85</v>
      </c>
    </row>
    <row r="129" spans="1:10" x14ac:dyDescent="0.25">
      <c r="A129" t="s">
        <v>180</v>
      </c>
      <c r="B129" s="205">
        <v>0.03</v>
      </c>
      <c r="C129" s="205">
        <v>0.03</v>
      </c>
      <c r="D129" s="205">
        <v>0.03</v>
      </c>
      <c r="E129" s="205">
        <v>0.03</v>
      </c>
      <c r="F129" s="205">
        <v>0.03</v>
      </c>
      <c r="G129" s="205">
        <v>0.03</v>
      </c>
      <c r="H129" s="205">
        <v>0.03</v>
      </c>
      <c r="I129" s="205">
        <v>0.03</v>
      </c>
      <c r="J129" s="205">
        <v>0.03</v>
      </c>
    </row>
    <row r="130" spans="1:10" x14ac:dyDescent="0.25">
      <c r="A130" s="81" t="s">
        <v>40</v>
      </c>
      <c r="B130" s="205">
        <v>0.01</v>
      </c>
      <c r="C130" s="205">
        <v>0.01</v>
      </c>
      <c r="D130" s="205">
        <v>0.01</v>
      </c>
      <c r="E130" s="205">
        <v>0.01</v>
      </c>
      <c r="F130" s="205">
        <v>0.01</v>
      </c>
      <c r="G130" s="205">
        <v>0.01</v>
      </c>
      <c r="H130" s="205">
        <v>0.01</v>
      </c>
      <c r="I130" s="205">
        <v>0.01</v>
      </c>
      <c r="J130" s="205">
        <v>0.01</v>
      </c>
    </row>
    <row r="131" spans="1:10" x14ac:dyDescent="0.25">
      <c r="A131" s="81" t="s">
        <v>42</v>
      </c>
      <c r="B131" s="205">
        <v>0.01</v>
      </c>
      <c r="C131" s="205">
        <v>0.01</v>
      </c>
      <c r="D131" s="205">
        <v>0.01</v>
      </c>
      <c r="E131" s="205">
        <v>0.01</v>
      </c>
      <c r="F131" s="205">
        <v>0.01</v>
      </c>
      <c r="G131" s="205">
        <v>0.01</v>
      </c>
      <c r="H131" s="205">
        <v>0.01</v>
      </c>
      <c r="I131" s="205">
        <v>0.01</v>
      </c>
      <c r="J131" s="205">
        <v>0.01</v>
      </c>
    </row>
    <row r="132" spans="1:10" x14ac:dyDescent="0.25">
      <c r="A132" s="81" t="s">
        <v>194</v>
      </c>
      <c r="B132" s="205">
        <v>0.03</v>
      </c>
      <c r="C132" s="205">
        <v>0.03</v>
      </c>
      <c r="D132" s="205">
        <v>0.03</v>
      </c>
      <c r="E132" s="205">
        <v>0.03</v>
      </c>
      <c r="F132" s="205">
        <v>0.03</v>
      </c>
      <c r="G132" s="205">
        <v>0.03</v>
      </c>
      <c r="H132" s="205">
        <v>0.03</v>
      </c>
      <c r="I132" s="205">
        <v>0.03</v>
      </c>
      <c r="J132" s="205">
        <v>0.03</v>
      </c>
    </row>
    <row r="133" spans="1:10" x14ac:dyDescent="0.25">
      <c r="A133" s="208" t="s">
        <v>230</v>
      </c>
      <c r="B133" s="209">
        <v>7.0000000000000007E-2</v>
      </c>
      <c r="C133" s="209">
        <v>7.0000000000000007E-2</v>
      </c>
      <c r="D133" s="209">
        <v>7.0000000000000007E-2</v>
      </c>
      <c r="E133" s="209">
        <v>7.0000000000000007E-2</v>
      </c>
      <c r="F133" s="209">
        <v>7.0000000000000007E-2</v>
      </c>
      <c r="G133" s="209">
        <v>7.0000000000000007E-2</v>
      </c>
      <c r="H133" s="209">
        <v>7.0000000000000007E-2</v>
      </c>
      <c r="I133" s="209">
        <v>7.0000000000000007E-2</v>
      </c>
      <c r="J133" s="209">
        <v>7.0000000000000007E-2</v>
      </c>
    </row>
    <row r="138" spans="1:10" ht="21.75" thickBot="1" x14ac:dyDescent="0.4">
      <c r="A138" s="207" t="s">
        <v>300</v>
      </c>
      <c r="B138" s="166"/>
      <c r="C138" s="166"/>
      <c r="D138" s="166"/>
      <c r="E138" s="166"/>
      <c r="F138" s="166"/>
      <c r="G138" s="166"/>
      <c r="H138" s="166"/>
      <c r="I138" s="166"/>
      <c r="J138" s="166"/>
    </row>
    <row r="139" spans="1:10" ht="19.5" thickTop="1" x14ac:dyDescent="0.3">
      <c r="A139" s="196" t="s">
        <v>299</v>
      </c>
      <c r="B139" s="198">
        <v>2018</v>
      </c>
      <c r="C139" s="198">
        <v>2019</v>
      </c>
      <c r="D139" s="198">
        <v>2020</v>
      </c>
      <c r="E139" s="198">
        <v>2021</v>
      </c>
      <c r="F139" s="198">
        <v>2022</v>
      </c>
      <c r="G139" s="198">
        <v>2023</v>
      </c>
      <c r="H139" s="198">
        <v>2024</v>
      </c>
      <c r="I139" s="198">
        <v>2025</v>
      </c>
      <c r="J139" s="198">
        <v>2026</v>
      </c>
    </row>
    <row r="140" spans="1:10" x14ac:dyDescent="0.25">
      <c r="A140" s="206" t="s">
        <v>2</v>
      </c>
      <c r="B140" s="139"/>
      <c r="C140" s="139"/>
      <c r="D140" s="139"/>
      <c r="E140" s="139"/>
      <c r="F140" s="139"/>
      <c r="G140" s="139"/>
      <c r="H140" s="139"/>
      <c r="I140" s="139"/>
      <c r="J140" s="139"/>
    </row>
    <row r="141" spans="1:10" x14ac:dyDescent="0.25">
      <c r="A141" s="44" t="s">
        <v>83</v>
      </c>
    </row>
    <row r="142" spans="1:10" x14ac:dyDescent="0.25">
      <c r="A142" s="13" t="s">
        <v>84</v>
      </c>
    </row>
    <row r="143" spans="1:10" x14ac:dyDescent="0.25">
      <c r="A143" s="50" t="s">
        <v>87</v>
      </c>
      <c r="B143" s="205">
        <v>0.04</v>
      </c>
      <c r="C143" s="205">
        <v>0.04</v>
      </c>
      <c r="D143" s="205">
        <v>0.03</v>
      </c>
      <c r="E143" s="205">
        <v>0.03</v>
      </c>
      <c r="F143" s="205">
        <v>0.03</v>
      </c>
      <c r="G143" s="205">
        <v>0.03</v>
      </c>
      <c r="H143" s="205">
        <v>0.03</v>
      </c>
      <c r="I143" s="205">
        <v>0.03</v>
      </c>
      <c r="J143" s="205">
        <v>0.03</v>
      </c>
    </row>
    <row r="144" spans="1:10" x14ac:dyDescent="0.25">
      <c r="A144" s="49" t="s">
        <v>88</v>
      </c>
      <c r="B144" s="205">
        <v>0.06</v>
      </c>
      <c r="C144" s="205">
        <v>0.06</v>
      </c>
      <c r="D144" s="205">
        <v>0.04</v>
      </c>
      <c r="E144" s="205">
        <v>0.04</v>
      </c>
      <c r="F144" s="205">
        <v>0.03</v>
      </c>
      <c r="G144" s="205">
        <v>0.03</v>
      </c>
      <c r="H144" s="205">
        <v>0.03</v>
      </c>
      <c r="I144" s="205">
        <v>0.03</v>
      </c>
      <c r="J144" s="205">
        <v>0.03</v>
      </c>
    </row>
    <row r="145" spans="1:10" x14ac:dyDescent="0.25">
      <c r="A145" s="13" t="s">
        <v>69</v>
      </c>
      <c r="B145" s="205"/>
      <c r="C145" s="205"/>
      <c r="D145" s="205"/>
      <c r="E145" s="205"/>
      <c r="F145" s="205"/>
      <c r="G145" s="205"/>
      <c r="H145" s="205"/>
      <c r="I145" s="205"/>
      <c r="J145" s="205"/>
    </row>
    <row r="146" spans="1:10" x14ac:dyDescent="0.25">
      <c r="A146" s="50" t="s">
        <v>89</v>
      </c>
      <c r="B146" s="205">
        <v>0.06</v>
      </c>
      <c r="C146" s="205">
        <v>0.06</v>
      </c>
      <c r="D146" s="205">
        <v>0.05</v>
      </c>
      <c r="E146" s="205">
        <v>0.04</v>
      </c>
      <c r="F146" s="205">
        <v>0.04</v>
      </c>
      <c r="G146" s="205">
        <v>0.04</v>
      </c>
      <c r="H146" s="205">
        <v>0.04</v>
      </c>
      <c r="I146" s="205">
        <v>0.04</v>
      </c>
      <c r="J146" s="205">
        <v>0.04</v>
      </c>
    </row>
    <row r="147" spans="1:10" x14ac:dyDescent="0.25">
      <c r="A147" s="50" t="s">
        <v>90</v>
      </c>
      <c r="B147" s="205">
        <v>7.0000000000000007E-2</v>
      </c>
      <c r="C147" s="205">
        <v>0.06</v>
      </c>
      <c r="D147" s="205">
        <v>0.05</v>
      </c>
      <c r="E147" s="205">
        <v>0.04</v>
      </c>
      <c r="F147" s="205">
        <v>0.03</v>
      </c>
      <c r="G147" s="205">
        <v>0.03</v>
      </c>
      <c r="H147" s="205">
        <v>0.03</v>
      </c>
      <c r="I147" s="205">
        <v>0.03</v>
      </c>
      <c r="J147" s="205">
        <v>0.03</v>
      </c>
    </row>
    <row r="148" spans="1:10" x14ac:dyDescent="0.25">
      <c r="A148" s="13" t="s">
        <v>70</v>
      </c>
      <c r="B148" s="205"/>
      <c r="C148" s="205"/>
      <c r="D148" s="205"/>
      <c r="E148" s="205"/>
      <c r="F148" s="205"/>
      <c r="G148" s="205"/>
      <c r="H148" s="205"/>
      <c r="I148" s="205"/>
      <c r="J148" s="205"/>
    </row>
    <row r="149" spans="1:10" x14ac:dyDescent="0.25">
      <c r="A149" s="50" t="s">
        <v>91</v>
      </c>
      <c r="B149" s="205">
        <v>0.04</v>
      </c>
      <c r="C149" s="205">
        <v>0.04</v>
      </c>
      <c r="D149" s="205">
        <v>0.04</v>
      </c>
      <c r="E149" s="205">
        <v>0.04</v>
      </c>
      <c r="F149" s="205">
        <v>0.04</v>
      </c>
      <c r="G149" s="205">
        <v>0.04</v>
      </c>
      <c r="H149" s="205">
        <v>0.04</v>
      </c>
      <c r="I149" s="205">
        <v>0.04</v>
      </c>
      <c r="J149" s="205">
        <v>0.04</v>
      </c>
    </row>
    <row r="150" spans="1:10" x14ac:dyDescent="0.25">
      <c r="A150" s="50" t="s">
        <v>92</v>
      </c>
      <c r="B150" s="205">
        <v>0.04</v>
      </c>
      <c r="C150" s="205">
        <v>0.04</v>
      </c>
      <c r="D150" s="205">
        <v>0.04</v>
      </c>
      <c r="E150" s="205">
        <v>0.04</v>
      </c>
      <c r="F150" s="205">
        <v>0.04</v>
      </c>
      <c r="G150" s="205">
        <v>0.04</v>
      </c>
      <c r="H150" s="205">
        <v>0.04</v>
      </c>
      <c r="I150" s="205">
        <v>0.04</v>
      </c>
      <c r="J150" s="205">
        <v>0.04</v>
      </c>
    </row>
    <row r="151" spans="1:10" x14ac:dyDescent="0.25">
      <c r="A151" s="13"/>
      <c r="B151" s="205"/>
      <c r="C151" s="205"/>
      <c r="D151" s="205"/>
      <c r="E151" s="205"/>
      <c r="F151" s="205"/>
      <c r="G151" s="205"/>
      <c r="H151" s="205"/>
      <c r="I151" s="205"/>
      <c r="J151" s="205"/>
    </row>
    <row r="152" spans="1:10" x14ac:dyDescent="0.25">
      <c r="A152" s="45" t="s">
        <v>3</v>
      </c>
      <c r="B152" s="205">
        <v>0.02</v>
      </c>
      <c r="C152" s="205">
        <v>0.02</v>
      </c>
      <c r="D152" s="205">
        <v>0.02</v>
      </c>
      <c r="E152" s="205">
        <v>0.02</v>
      </c>
      <c r="F152" s="205">
        <v>0.02</v>
      </c>
      <c r="G152" s="205">
        <v>0.02</v>
      </c>
      <c r="H152" s="205">
        <v>0.02</v>
      </c>
      <c r="I152" s="205">
        <v>0.02</v>
      </c>
      <c r="J152" s="205">
        <v>0.02</v>
      </c>
    </row>
    <row r="153" spans="1:10" x14ac:dyDescent="0.25">
      <c r="A153" s="45" t="s">
        <v>4</v>
      </c>
      <c r="B153" s="200"/>
      <c r="C153" s="200"/>
      <c r="D153" s="200"/>
      <c r="E153" s="200"/>
      <c r="F153" s="200"/>
      <c r="G153" s="200"/>
      <c r="H153" s="200"/>
      <c r="I153" s="200"/>
      <c r="J153" s="200"/>
    </row>
    <row r="154" spans="1:10" x14ac:dyDescent="0.25">
      <c r="B154" s="201"/>
      <c r="C154" s="201"/>
      <c r="D154" s="201"/>
      <c r="E154" s="201"/>
      <c r="F154" s="201"/>
      <c r="G154" s="201"/>
      <c r="H154" s="201"/>
      <c r="I154" s="201"/>
      <c r="J154" s="201"/>
    </row>
    <row r="155" spans="1:10" x14ac:dyDescent="0.25">
      <c r="A155" s="8" t="s">
        <v>97</v>
      </c>
      <c r="B155" s="202"/>
      <c r="C155" s="202"/>
      <c r="D155" s="202"/>
      <c r="E155" s="202"/>
      <c r="F155" s="202"/>
      <c r="G155" s="202"/>
      <c r="H155" s="202"/>
      <c r="I155" s="202"/>
      <c r="J155" s="202"/>
    </row>
    <row r="156" spans="1:10" x14ac:dyDescent="0.25">
      <c r="A156" s="13" t="s">
        <v>7</v>
      </c>
      <c r="B156" s="205">
        <v>0.55000000000000004</v>
      </c>
      <c r="C156" s="205">
        <v>0.55000000000000004</v>
      </c>
      <c r="D156" s="205">
        <v>0.55000000000000004</v>
      </c>
      <c r="E156" s="205">
        <v>0.55000000000000004</v>
      </c>
      <c r="F156" s="205">
        <v>0.55000000000000004</v>
      </c>
      <c r="G156" s="205">
        <v>0.55000000000000004</v>
      </c>
      <c r="H156" s="205">
        <v>0.55000000000000004</v>
      </c>
      <c r="I156" s="205">
        <v>0.55000000000000004</v>
      </c>
      <c r="J156" s="205">
        <v>0.55000000000000004</v>
      </c>
    </row>
    <row r="157" spans="1:10" x14ac:dyDescent="0.25">
      <c r="A157" s="13" t="s">
        <v>8</v>
      </c>
      <c r="B157" s="205">
        <v>0.13</v>
      </c>
      <c r="C157" s="205">
        <v>0.13</v>
      </c>
      <c r="D157" s="205">
        <v>0.13</v>
      </c>
      <c r="E157" s="205">
        <v>0.13</v>
      </c>
      <c r="F157" s="205">
        <v>0.13</v>
      </c>
      <c r="G157" s="205">
        <v>0.13</v>
      </c>
      <c r="H157" s="205">
        <v>0.13</v>
      </c>
      <c r="I157" s="205">
        <v>0.13</v>
      </c>
      <c r="J157" s="205">
        <v>0.13</v>
      </c>
    </row>
    <row r="158" spans="1:10" x14ac:dyDescent="0.25">
      <c r="A158" s="13" t="s">
        <v>9</v>
      </c>
      <c r="B158" s="205">
        <v>0.04</v>
      </c>
      <c r="C158" s="205">
        <v>0.04</v>
      </c>
      <c r="D158" s="205">
        <v>0.04</v>
      </c>
      <c r="E158" s="205">
        <v>0.04</v>
      </c>
      <c r="F158" s="205">
        <v>0.04</v>
      </c>
      <c r="G158" s="205">
        <v>0.04</v>
      </c>
      <c r="H158" s="205">
        <v>0.04</v>
      </c>
      <c r="I158" s="205">
        <v>0.04</v>
      </c>
      <c r="J158" s="205">
        <v>0.04</v>
      </c>
    </row>
    <row r="159" spans="1:10" x14ac:dyDescent="0.25">
      <c r="A159" s="13" t="s">
        <v>11</v>
      </c>
      <c r="B159" s="205">
        <v>0.01</v>
      </c>
      <c r="C159" s="205">
        <f>B159</f>
        <v>0.01</v>
      </c>
      <c r="D159" s="205">
        <f t="shared" ref="D159" si="31">C159</f>
        <v>0.01</v>
      </c>
      <c r="E159" s="205">
        <f t="shared" ref="E159" si="32">D159</f>
        <v>0.01</v>
      </c>
      <c r="F159" s="205">
        <f t="shared" ref="F159" si="33">E159</f>
        <v>0.01</v>
      </c>
      <c r="G159" s="205">
        <f t="shared" ref="G159" si="34">F159</f>
        <v>0.01</v>
      </c>
      <c r="H159" s="205">
        <f t="shared" ref="H159" si="35">G159</f>
        <v>0.01</v>
      </c>
      <c r="I159" s="205">
        <f t="shared" ref="I159" si="36">H159</f>
        <v>0.01</v>
      </c>
      <c r="J159" s="205">
        <f t="shared" ref="J159" si="37">I159</f>
        <v>0.01</v>
      </c>
    </row>
    <row r="160" spans="1:10" x14ac:dyDescent="0.25">
      <c r="A160" s="13" t="s">
        <v>98</v>
      </c>
      <c r="B160" s="205">
        <v>0.1</v>
      </c>
      <c r="C160" s="205">
        <v>0.1</v>
      </c>
      <c r="D160" s="205">
        <v>0.1</v>
      </c>
      <c r="E160" s="205">
        <v>0.1</v>
      </c>
      <c r="F160" s="205">
        <v>0.1</v>
      </c>
      <c r="G160" s="205">
        <v>0.1</v>
      </c>
      <c r="H160" s="205">
        <v>0.1</v>
      </c>
      <c r="I160" s="205">
        <v>0.1</v>
      </c>
      <c r="J160" s="205">
        <v>0.1</v>
      </c>
    </row>
    <row r="161" spans="1:10" x14ac:dyDescent="0.25">
      <c r="A161" s="13"/>
      <c r="B161" s="201"/>
      <c r="C161" s="201"/>
      <c r="D161" s="201"/>
      <c r="E161" s="201"/>
      <c r="F161" s="201"/>
      <c r="G161" s="201"/>
      <c r="H161" s="201"/>
      <c r="I161" s="201"/>
      <c r="J161" s="201"/>
    </row>
    <row r="162" spans="1:10" x14ac:dyDescent="0.25">
      <c r="B162" s="201"/>
      <c r="C162" s="201"/>
      <c r="D162" s="201"/>
      <c r="E162" s="201"/>
      <c r="F162" s="201"/>
      <c r="G162" s="201"/>
      <c r="H162" s="201"/>
      <c r="I162" s="201"/>
      <c r="J162" s="201"/>
    </row>
    <row r="163" spans="1:10" ht="18.75" x14ac:dyDescent="0.3">
      <c r="A163" s="196" t="s">
        <v>67</v>
      </c>
      <c r="B163" s="202"/>
      <c r="C163" s="202"/>
      <c r="D163" s="202"/>
      <c r="E163" s="202"/>
      <c r="F163" s="202"/>
      <c r="G163" s="202"/>
      <c r="H163" s="202"/>
      <c r="I163" s="202"/>
      <c r="J163" s="202"/>
    </row>
    <row r="164" spans="1:10" x14ac:dyDescent="0.25">
      <c r="A164" t="s">
        <v>104</v>
      </c>
      <c r="B164" s="203">
        <v>40</v>
      </c>
      <c r="C164" s="203">
        <v>40</v>
      </c>
      <c r="D164" s="203">
        <v>40</v>
      </c>
      <c r="E164" s="203">
        <v>40</v>
      </c>
      <c r="F164" s="203">
        <v>40</v>
      </c>
      <c r="G164" s="203">
        <v>40</v>
      </c>
      <c r="H164" s="203">
        <v>40</v>
      </c>
      <c r="I164" s="203">
        <v>40</v>
      </c>
      <c r="J164" s="203">
        <v>40</v>
      </c>
    </row>
    <row r="165" spans="1:10" x14ac:dyDescent="0.25">
      <c r="A165" t="s">
        <v>108</v>
      </c>
      <c r="B165" s="203">
        <v>36</v>
      </c>
      <c r="C165" s="203">
        <v>36</v>
      </c>
      <c r="D165" s="203">
        <v>36</v>
      </c>
      <c r="E165" s="203">
        <v>36</v>
      </c>
      <c r="F165" s="203">
        <v>36</v>
      </c>
      <c r="G165" s="203">
        <v>36</v>
      </c>
      <c r="H165" s="203">
        <v>36</v>
      </c>
      <c r="I165" s="203">
        <v>36</v>
      </c>
      <c r="J165" s="203">
        <v>36</v>
      </c>
    </row>
    <row r="166" spans="1:10" x14ac:dyDescent="0.25">
      <c r="A166" t="s">
        <v>226</v>
      </c>
      <c r="B166" s="204">
        <v>0.02</v>
      </c>
      <c r="C166" s="204">
        <v>0.02</v>
      </c>
      <c r="D166" s="204">
        <v>0.02</v>
      </c>
      <c r="E166" s="204">
        <v>0.02</v>
      </c>
      <c r="F166" s="204">
        <v>0.02</v>
      </c>
      <c r="G166" s="204">
        <v>0.02</v>
      </c>
      <c r="H166" s="204">
        <v>0.02</v>
      </c>
      <c r="I166" s="204">
        <v>0.02</v>
      </c>
      <c r="J166" s="204">
        <v>0.02</v>
      </c>
    </row>
    <row r="167" spans="1:10" x14ac:dyDescent="0.25">
      <c r="A167" t="s">
        <v>122</v>
      </c>
      <c r="B167" s="204">
        <v>0.04</v>
      </c>
      <c r="C167" s="204">
        <v>0.04</v>
      </c>
      <c r="D167" s="204">
        <v>0.04</v>
      </c>
      <c r="E167" s="204">
        <v>0.04</v>
      </c>
      <c r="F167" s="204">
        <v>0.04</v>
      </c>
      <c r="G167" s="204">
        <v>0.04</v>
      </c>
      <c r="H167" s="204">
        <v>0.04</v>
      </c>
      <c r="I167" s="204">
        <v>0.04</v>
      </c>
      <c r="J167" s="204">
        <v>0.04</v>
      </c>
    </row>
    <row r="168" spans="1:10" x14ac:dyDescent="0.25">
      <c r="A168" t="s">
        <v>121</v>
      </c>
      <c r="B168" s="201">
        <v>25</v>
      </c>
      <c r="C168" s="201">
        <v>25</v>
      </c>
      <c r="D168" s="201">
        <v>25</v>
      </c>
      <c r="E168" s="201">
        <v>25</v>
      </c>
      <c r="F168" s="201">
        <v>25</v>
      </c>
      <c r="G168" s="201">
        <v>25</v>
      </c>
      <c r="H168" s="201">
        <v>25</v>
      </c>
      <c r="I168" s="201">
        <v>25</v>
      </c>
      <c r="J168" s="201">
        <v>25</v>
      </c>
    </row>
    <row r="169" spans="1:10" x14ac:dyDescent="0.25">
      <c r="A169" t="s">
        <v>126</v>
      </c>
      <c r="B169" s="203">
        <v>85</v>
      </c>
      <c r="C169" s="203">
        <v>85</v>
      </c>
      <c r="D169" s="203">
        <v>85</v>
      </c>
      <c r="E169" s="203">
        <v>85</v>
      </c>
      <c r="F169" s="203">
        <v>85</v>
      </c>
      <c r="G169" s="203">
        <v>85</v>
      </c>
      <c r="H169" s="203">
        <v>85</v>
      </c>
      <c r="I169" s="203">
        <v>85</v>
      </c>
      <c r="J169" s="203">
        <v>85</v>
      </c>
    </row>
    <row r="170" spans="1:10" x14ac:dyDescent="0.25">
      <c r="A170" t="s">
        <v>180</v>
      </c>
      <c r="B170" s="205">
        <v>0.03</v>
      </c>
      <c r="C170" s="205">
        <v>0.03</v>
      </c>
      <c r="D170" s="205">
        <v>0.03</v>
      </c>
      <c r="E170" s="205">
        <v>0.03</v>
      </c>
      <c r="F170" s="205">
        <v>0.03</v>
      </c>
      <c r="G170" s="205">
        <v>0.03</v>
      </c>
      <c r="H170" s="205">
        <v>0.03</v>
      </c>
      <c r="I170" s="205">
        <v>0.03</v>
      </c>
      <c r="J170" s="205">
        <v>0.03</v>
      </c>
    </row>
    <row r="171" spans="1:10" x14ac:dyDescent="0.25">
      <c r="A171" s="81" t="s">
        <v>40</v>
      </c>
      <c r="B171" s="205">
        <v>0.01</v>
      </c>
      <c r="C171" s="205">
        <v>0.01</v>
      </c>
      <c r="D171" s="205">
        <v>0.01</v>
      </c>
      <c r="E171" s="205">
        <v>0.01</v>
      </c>
      <c r="F171" s="205">
        <v>0.01</v>
      </c>
      <c r="G171" s="205">
        <v>0.01</v>
      </c>
      <c r="H171" s="205">
        <v>0.01</v>
      </c>
      <c r="I171" s="205">
        <v>0.01</v>
      </c>
      <c r="J171" s="205">
        <v>0.01</v>
      </c>
    </row>
    <row r="172" spans="1:10" x14ac:dyDescent="0.25">
      <c r="A172" s="81" t="s">
        <v>42</v>
      </c>
      <c r="B172" s="205">
        <v>0.01</v>
      </c>
      <c r="C172" s="205">
        <v>0.01</v>
      </c>
      <c r="D172" s="205">
        <v>0.01</v>
      </c>
      <c r="E172" s="205">
        <v>0.01</v>
      </c>
      <c r="F172" s="205">
        <v>0.01</v>
      </c>
      <c r="G172" s="205">
        <v>0.01</v>
      </c>
      <c r="H172" s="205">
        <v>0.01</v>
      </c>
      <c r="I172" s="205">
        <v>0.01</v>
      </c>
      <c r="J172" s="205">
        <v>0.01</v>
      </c>
    </row>
    <row r="173" spans="1:10" x14ac:dyDescent="0.25">
      <c r="A173" s="81" t="s">
        <v>194</v>
      </c>
      <c r="B173" s="205">
        <v>0.03</v>
      </c>
      <c r="C173" s="205">
        <v>0.03</v>
      </c>
      <c r="D173" s="205">
        <v>0.03</v>
      </c>
      <c r="E173" s="205">
        <v>0.03</v>
      </c>
      <c r="F173" s="205">
        <v>0.03</v>
      </c>
      <c r="G173" s="205">
        <v>0.03</v>
      </c>
      <c r="H173" s="205">
        <v>0.03</v>
      </c>
      <c r="I173" s="205">
        <v>0.03</v>
      </c>
      <c r="J173" s="205">
        <v>0.03</v>
      </c>
    </row>
    <row r="174" spans="1:10" x14ac:dyDescent="0.25">
      <c r="A174" s="208" t="s">
        <v>230</v>
      </c>
      <c r="B174" s="209">
        <v>7.0000000000000007E-2</v>
      </c>
      <c r="C174" s="209">
        <v>7.0000000000000007E-2</v>
      </c>
      <c r="D174" s="209">
        <v>7.0000000000000007E-2</v>
      </c>
      <c r="E174" s="209">
        <v>7.0000000000000007E-2</v>
      </c>
      <c r="F174" s="209">
        <v>7.0000000000000007E-2</v>
      </c>
      <c r="G174" s="209">
        <v>7.0000000000000007E-2</v>
      </c>
      <c r="H174" s="209">
        <v>7.0000000000000007E-2</v>
      </c>
      <c r="I174" s="209">
        <v>7.0000000000000007E-2</v>
      </c>
      <c r="J174" s="209">
        <v>7.0000000000000007E-2</v>
      </c>
    </row>
    <row r="179" spans="1:10" ht="21.75" thickBot="1" x14ac:dyDescent="0.4">
      <c r="A179" s="207" t="s">
        <v>301</v>
      </c>
      <c r="B179" s="166"/>
      <c r="C179" s="166"/>
      <c r="D179" s="166"/>
      <c r="E179" s="166"/>
      <c r="F179" s="166"/>
      <c r="G179" s="166"/>
      <c r="H179" s="166"/>
      <c r="I179" s="166"/>
      <c r="J179" s="166"/>
    </row>
    <row r="180" spans="1:10" ht="19.5" thickTop="1" x14ac:dyDescent="0.3">
      <c r="A180" s="196" t="s">
        <v>299</v>
      </c>
      <c r="B180" s="198">
        <v>2018</v>
      </c>
      <c r="C180" s="198">
        <v>2019</v>
      </c>
      <c r="D180" s="198">
        <v>2020</v>
      </c>
      <c r="E180" s="198">
        <v>2021</v>
      </c>
      <c r="F180" s="198">
        <v>2022</v>
      </c>
      <c r="G180" s="198">
        <v>2023</v>
      </c>
      <c r="H180" s="198">
        <v>2024</v>
      </c>
      <c r="I180" s="198">
        <v>2025</v>
      </c>
      <c r="J180" s="198">
        <v>2026</v>
      </c>
    </row>
    <row r="181" spans="1:10" x14ac:dyDescent="0.25">
      <c r="A181" s="206" t="s">
        <v>2</v>
      </c>
      <c r="B181" s="139"/>
      <c r="C181" s="139"/>
      <c r="D181" s="139"/>
      <c r="E181" s="139"/>
      <c r="F181" s="139"/>
      <c r="G181" s="139"/>
      <c r="H181" s="139"/>
      <c r="I181" s="139"/>
      <c r="J181" s="139"/>
    </row>
    <row r="182" spans="1:10" x14ac:dyDescent="0.25">
      <c r="A182" s="44" t="s">
        <v>83</v>
      </c>
    </row>
    <row r="183" spans="1:10" x14ac:dyDescent="0.25">
      <c r="A183" s="13" t="s">
        <v>84</v>
      </c>
    </row>
    <row r="184" spans="1:10" x14ac:dyDescent="0.25">
      <c r="A184" s="50" t="s">
        <v>87</v>
      </c>
      <c r="B184" s="205">
        <v>0.06</v>
      </c>
      <c r="C184" s="205">
        <v>0.06</v>
      </c>
      <c r="D184" s="205">
        <v>0.05</v>
      </c>
      <c r="E184" s="205">
        <v>0.05</v>
      </c>
      <c r="F184" s="205">
        <v>0.05</v>
      </c>
      <c r="G184" s="205">
        <v>0.05</v>
      </c>
      <c r="H184" s="205">
        <v>0.05</v>
      </c>
      <c r="I184" s="205">
        <v>0.05</v>
      </c>
      <c r="J184" s="205">
        <v>0.05</v>
      </c>
    </row>
    <row r="185" spans="1:10" x14ac:dyDescent="0.25">
      <c r="A185" s="49" t="s">
        <v>88</v>
      </c>
      <c r="B185" s="205">
        <v>0.1</v>
      </c>
      <c r="C185" s="205">
        <v>0.1</v>
      </c>
      <c r="D185" s="205">
        <v>0.03</v>
      </c>
      <c r="E185" s="205">
        <v>0.03</v>
      </c>
      <c r="F185" s="205">
        <v>0.03</v>
      </c>
      <c r="G185" s="205">
        <v>0.03</v>
      </c>
      <c r="H185" s="205">
        <v>0.03</v>
      </c>
      <c r="I185" s="205">
        <v>0.03</v>
      </c>
      <c r="J185" s="205">
        <v>0.03</v>
      </c>
    </row>
    <row r="186" spans="1:10" x14ac:dyDescent="0.25">
      <c r="A186" s="13" t="s">
        <v>69</v>
      </c>
      <c r="B186" s="205"/>
      <c r="C186" s="205"/>
      <c r="D186" s="205"/>
      <c r="E186" s="205"/>
      <c r="F186" s="205"/>
      <c r="G186" s="205"/>
      <c r="H186" s="205"/>
      <c r="I186" s="205"/>
      <c r="J186" s="205"/>
    </row>
    <row r="187" spans="1:10" x14ac:dyDescent="0.25">
      <c r="A187" s="50" t="s">
        <v>89</v>
      </c>
      <c r="B187" s="205">
        <v>0.04</v>
      </c>
      <c r="C187" s="205">
        <v>0.04</v>
      </c>
      <c r="D187" s="205">
        <v>0.04</v>
      </c>
      <c r="E187" s="205">
        <v>0.04</v>
      </c>
      <c r="F187" s="205">
        <v>0.04</v>
      </c>
      <c r="G187" s="205">
        <v>0.04</v>
      </c>
      <c r="H187" s="205">
        <v>0.04</v>
      </c>
      <c r="I187" s="205">
        <v>0.04</v>
      </c>
      <c r="J187" s="205">
        <v>0.04</v>
      </c>
    </row>
    <row r="188" spans="1:10" x14ac:dyDescent="0.25">
      <c r="A188" s="50" t="s">
        <v>90</v>
      </c>
      <c r="B188" s="205">
        <v>0.03</v>
      </c>
      <c r="C188" s="205">
        <v>0.03</v>
      </c>
      <c r="D188" s="205">
        <v>0.03</v>
      </c>
      <c r="E188" s="205">
        <v>0.03</v>
      </c>
      <c r="F188" s="205">
        <v>0.03</v>
      </c>
      <c r="G188" s="205">
        <v>0.03</v>
      </c>
      <c r="H188" s="205">
        <v>0.03</v>
      </c>
      <c r="I188" s="205">
        <v>0.03</v>
      </c>
      <c r="J188" s="205">
        <v>0.03</v>
      </c>
    </row>
    <row r="189" spans="1:10" x14ac:dyDescent="0.25">
      <c r="A189" s="13" t="s">
        <v>70</v>
      </c>
      <c r="B189" s="205"/>
      <c r="C189" s="205"/>
      <c r="D189" s="205"/>
      <c r="E189" s="205"/>
      <c r="F189" s="205"/>
      <c r="G189" s="205"/>
      <c r="H189" s="205"/>
      <c r="I189" s="205"/>
      <c r="J189" s="205"/>
    </row>
    <row r="190" spans="1:10" x14ac:dyDescent="0.25">
      <c r="A190" s="50" t="s">
        <v>91</v>
      </c>
      <c r="B190" s="205">
        <v>0.06</v>
      </c>
      <c r="C190" s="205">
        <v>0.06</v>
      </c>
      <c r="D190" s="205">
        <v>0.05</v>
      </c>
      <c r="E190" s="205">
        <v>0.05</v>
      </c>
      <c r="F190" s="205">
        <v>0.04</v>
      </c>
      <c r="G190" s="205">
        <v>0.04</v>
      </c>
      <c r="H190" s="205">
        <v>0.04</v>
      </c>
      <c r="I190" s="205">
        <v>0.04</v>
      </c>
      <c r="J190" s="205">
        <v>0.04</v>
      </c>
    </row>
    <row r="191" spans="1:10" x14ac:dyDescent="0.25">
      <c r="A191" s="50" t="s">
        <v>92</v>
      </c>
      <c r="B191" s="205">
        <v>7.0000000000000007E-2</v>
      </c>
      <c r="C191" s="205">
        <v>7.0000000000000007E-2</v>
      </c>
      <c r="D191" s="205">
        <v>0.06</v>
      </c>
      <c r="E191" s="205">
        <v>0.06</v>
      </c>
      <c r="F191" s="205">
        <v>0.05</v>
      </c>
      <c r="G191" s="205">
        <v>0.05</v>
      </c>
      <c r="H191" s="205">
        <v>0.04</v>
      </c>
      <c r="I191" s="205">
        <v>0.04</v>
      </c>
      <c r="J191" s="205">
        <v>0.04</v>
      </c>
    </row>
    <row r="192" spans="1:10" x14ac:dyDescent="0.25">
      <c r="A192" s="13"/>
      <c r="B192" s="205"/>
      <c r="C192" s="205"/>
      <c r="D192" s="205"/>
      <c r="E192" s="205"/>
      <c r="F192" s="205"/>
      <c r="G192" s="205"/>
      <c r="H192" s="205"/>
      <c r="I192" s="205"/>
      <c r="J192" s="205"/>
    </row>
    <row r="193" spans="1:10" x14ac:dyDescent="0.25">
      <c r="A193" s="45" t="s">
        <v>3</v>
      </c>
      <c r="B193" s="205">
        <v>0.02</v>
      </c>
      <c r="C193" s="205">
        <v>0.02</v>
      </c>
      <c r="D193" s="205">
        <v>0.02</v>
      </c>
      <c r="E193" s="205">
        <v>0.02</v>
      </c>
      <c r="F193" s="205">
        <v>0.02</v>
      </c>
      <c r="G193" s="205">
        <v>0.02</v>
      </c>
      <c r="H193" s="205">
        <v>0.02</v>
      </c>
      <c r="I193" s="205">
        <v>0.02</v>
      </c>
      <c r="J193" s="205">
        <v>0.02</v>
      </c>
    </row>
    <row r="194" spans="1:10" x14ac:dyDescent="0.25">
      <c r="A194" s="45" t="s">
        <v>4</v>
      </c>
      <c r="B194" s="200"/>
      <c r="C194" s="200"/>
      <c r="D194" s="200"/>
      <c r="E194" s="200"/>
      <c r="F194" s="200"/>
      <c r="G194" s="200"/>
      <c r="H194" s="200"/>
      <c r="I194" s="200"/>
      <c r="J194" s="200"/>
    </row>
    <row r="195" spans="1:10" x14ac:dyDescent="0.25">
      <c r="B195" s="201"/>
      <c r="C195" s="201"/>
      <c r="D195" s="201"/>
      <c r="E195" s="201"/>
      <c r="F195" s="201"/>
      <c r="G195" s="201"/>
      <c r="H195" s="201"/>
      <c r="I195" s="201"/>
      <c r="J195" s="201"/>
    </row>
    <row r="196" spans="1:10" x14ac:dyDescent="0.25">
      <c r="A196" s="8" t="s">
        <v>97</v>
      </c>
      <c r="B196" s="202"/>
      <c r="C196" s="202"/>
      <c r="D196" s="202"/>
      <c r="E196" s="202"/>
      <c r="F196" s="202"/>
      <c r="G196" s="202"/>
      <c r="H196" s="202"/>
      <c r="I196" s="202"/>
      <c r="J196" s="202"/>
    </row>
    <row r="197" spans="1:10" x14ac:dyDescent="0.25">
      <c r="A197" s="13" t="s">
        <v>7</v>
      </c>
      <c r="B197" s="205">
        <v>0.55000000000000004</v>
      </c>
      <c r="C197" s="205">
        <v>0.55000000000000004</v>
      </c>
      <c r="D197" s="205">
        <v>0.55000000000000004</v>
      </c>
      <c r="E197" s="205">
        <v>0.55000000000000004</v>
      </c>
      <c r="F197" s="205">
        <v>0.55000000000000004</v>
      </c>
      <c r="G197" s="205">
        <v>0.55000000000000004</v>
      </c>
      <c r="H197" s="205">
        <v>0.55000000000000004</v>
      </c>
      <c r="I197" s="205">
        <v>0.55000000000000004</v>
      </c>
      <c r="J197" s="205">
        <v>0.55000000000000004</v>
      </c>
    </row>
    <row r="198" spans="1:10" x14ac:dyDescent="0.25">
      <c r="A198" s="13" t="s">
        <v>8</v>
      </c>
      <c r="B198" s="205">
        <v>0.13</v>
      </c>
      <c r="C198" s="205">
        <v>0.13</v>
      </c>
      <c r="D198" s="205">
        <v>0.13</v>
      </c>
      <c r="E198" s="205">
        <v>0.13</v>
      </c>
      <c r="F198" s="205">
        <v>0.13</v>
      </c>
      <c r="G198" s="205">
        <v>0.13</v>
      </c>
      <c r="H198" s="205">
        <v>0.13</v>
      </c>
      <c r="I198" s="205">
        <v>0.13</v>
      </c>
      <c r="J198" s="205">
        <v>0.13</v>
      </c>
    </row>
    <row r="199" spans="1:10" x14ac:dyDescent="0.25">
      <c r="A199" s="13" t="s">
        <v>9</v>
      </c>
      <c r="B199" s="205">
        <v>0.04</v>
      </c>
      <c r="C199" s="205">
        <v>0.04</v>
      </c>
      <c r="D199" s="205">
        <v>0.04</v>
      </c>
      <c r="E199" s="205">
        <v>0.04</v>
      </c>
      <c r="F199" s="205">
        <v>0.04</v>
      </c>
      <c r="G199" s="205">
        <v>0.04</v>
      </c>
      <c r="H199" s="205">
        <v>0.04</v>
      </c>
      <c r="I199" s="205">
        <v>0.04</v>
      </c>
      <c r="J199" s="205">
        <v>0.04</v>
      </c>
    </row>
    <row r="200" spans="1:10" x14ac:dyDescent="0.25">
      <c r="A200" s="13" t="s">
        <v>11</v>
      </c>
      <c r="B200" s="205">
        <v>0.01</v>
      </c>
      <c r="C200" s="205">
        <f>B200</f>
        <v>0.01</v>
      </c>
      <c r="D200" s="205">
        <f t="shared" ref="D200" si="38">C200</f>
        <v>0.01</v>
      </c>
      <c r="E200" s="205">
        <f t="shared" ref="E200" si="39">D200</f>
        <v>0.01</v>
      </c>
      <c r="F200" s="205">
        <f t="shared" ref="F200" si="40">E200</f>
        <v>0.01</v>
      </c>
      <c r="G200" s="205">
        <f t="shared" ref="G200" si="41">F200</f>
        <v>0.01</v>
      </c>
      <c r="H200" s="205">
        <f t="shared" ref="H200" si="42">G200</f>
        <v>0.01</v>
      </c>
      <c r="I200" s="205">
        <f t="shared" ref="I200" si="43">H200</f>
        <v>0.01</v>
      </c>
      <c r="J200" s="205">
        <f t="shared" ref="J200" si="44">I200</f>
        <v>0.01</v>
      </c>
    </row>
    <row r="201" spans="1:10" x14ac:dyDescent="0.25">
      <c r="A201" s="13" t="s">
        <v>98</v>
      </c>
      <c r="B201" s="205">
        <v>0.1</v>
      </c>
      <c r="C201" s="205">
        <v>0.1</v>
      </c>
      <c r="D201" s="205">
        <v>0.1</v>
      </c>
      <c r="E201" s="205">
        <v>0.1</v>
      </c>
      <c r="F201" s="205">
        <v>0.1</v>
      </c>
      <c r="G201" s="205">
        <v>0.1</v>
      </c>
      <c r="H201" s="205">
        <v>0.1</v>
      </c>
      <c r="I201" s="205">
        <v>0.1</v>
      </c>
      <c r="J201" s="205">
        <v>0.1</v>
      </c>
    </row>
    <row r="202" spans="1:10" x14ac:dyDescent="0.25">
      <c r="A202" s="13"/>
      <c r="B202" s="201"/>
      <c r="C202" s="201"/>
      <c r="D202" s="201"/>
      <c r="E202" s="201"/>
      <c r="F202" s="201"/>
      <c r="G202" s="201"/>
      <c r="H202" s="201"/>
      <c r="I202" s="201"/>
      <c r="J202" s="201"/>
    </row>
    <row r="203" spans="1:10" x14ac:dyDescent="0.25">
      <c r="B203" s="201"/>
      <c r="C203" s="201"/>
      <c r="D203" s="201"/>
      <c r="E203" s="201"/>
      <c r="F203" s="201"/>
      <c r="G203" s="201"/>
      <c r="H203" s="201"/>
      <c r="I203" s="201"/>
      <c r="J203" s="201"/>
    </row>
    <row r="204" spans="1:10" ht="18.75" x14ac:dyDescent="0.3">
      <c r="A204" s="196" t="s">
        <v>67</v>
      </c>
      <c r="B204" s="202"/>
      <c r="C204" s="202"/>
      <c r="D204" s="202"/>
      <c r="E204" s="202"/>
      <c r="F204" s="202"/>
      <c r="G204" s="202"/>
      <c r="H204" s="202"/>
      <c r="I204" s="202"/>
      <c r="J204" s="202"/>
    </row>
    <row r="205" spans="1:10" x14ac:dyDescent="0.25">
      <c r="A205" t="s">
        <v>104</v>
      </c>
      <c r="B205" s="203">
        <v>40</v>
      </c>
      <c r="C205" s="203">
        <v>40</v>
      </c>
      <c r="D205" s="203">
        <v>40</v>
      </c>
      <c r="E205" s="203">
        <v>40</v>
      </c>
      <c r="F205" s="203">
        <v>40</v>
      </c>
      <c r="G205" s="203">
        <v>40</v>
      </c>
      <c r="H205" s="203">
        <v>40</v>
      </c>
      <c r="I205" s="203">
        <v>40</v>
      </c>
      <c r="J205" s="203">
        <v>40</v>
      </c>
    </row>
    <row r="206" spans="1:10" x14ac:dyDescent="0.25">
      <c r="A206" t="s">
        <v>108</v>
      </c>
      <c r="B206" s="203">
        <v>36</v>
      </c>
      <c r="C206" s="203">
        <v>36</v>
      </c>
      <c r="D206" s="203">
        <v>36</v>
      </c>
      <c r="E206" s="203">
        <v>36</v>
      </c>
      <c r="F206" s="203">
        <v>36</v>
      </c>
      <c r="G206" s="203">
        <v>36</v>
      </c>
      <c r="H206" s="203">
        <v>36</v>
      </c>
      <c r="I206" s="203">
        <v>36</v>
      </c>
      <c r="J206" s="203">
        <v>36</v>
      </c>
    </row>
    <row r="207" spans="1:10" x14ac:dyDescent="0.25">
      <c r="A207" t="s">
        <v>226</v>
      </c>
      <c r="B207" s="204">
        <v>0.02</v>
      </c>
      <c r="C207" s="204">
        <v>0.02</v>
      </c>
      <c r="D207" s="204">
        <v>0.02</v>
      </c>
      <c r="E207" s="204">
        <v>0.02</v>
      </c>
      <c r="F207" s="204">
        <v>0.02</v>
      </c>
      <c r="G207" s="204">
        <v>0.02</v>
      </c>
      <c r="H207" s="204">
        <v>0.02</v>
      </c>
      <c r="I207" s="204">
        <v>0.02</v>
      </c>
      <c r="J207" s="204">
        <v>0.02</v>
      </c>
    </row>
    <row r="208" spans="1:10" x14ac:dyDescent="0.25">
      <c r="A208" t="s">
        <v>122</v>
      </c>
      <c r="B208" s="204">
        <v>0.04</v>
      </c>
      <c r="C208" s="204">
        <v>0.04</v>
      </c>
      <c r="D208" s="204">
        <v>0.04</v>
      </c>
      <c r="E208" s="204">
        <v>0.04</v>
      </c>
      <c r="F208" s="204">
        <v>0.04</v>
      </c>
      <c r="G208" s="204">
        <v>0.04</v>
      </c>
      <c r="H208" s="204">
        <v>0.04</v>
      </c>
      <c r="I208" s="204">
        <v>0.04</v>
      </c>
      <c r="J208" s="204">
        <v>0.04</v>
      </c>
    </row>
    <row r="209" spans="1:10" x14ac:dyDescent="0.25">
      <c r="A209" t="s">
        <v>121</v>
      </c>
      <c r="B209" s="201">
        <v>25</v>
      </c>
      <c r="C209" s="201">
        <v>25</v>
      </c>
      <c r="D209" s="201">
        <v>25</v>
      </c>
      <c r="E209" s="201">
        <v>25</v>
      </c>
      <c r="F209" s="201">
        <v>25</v>
      </c>
      <c r="G209" s="201">
        <v>25</v>
      </c>
      <c r="H209" s="201">
        <v>25</v>
      </c>
      <c r="I209" s="201">
        <v>25</v>
      </c>
      <c r="J209" s="201">
        <v>25</v>
      </c>
    </row>
    <row r="210" spans="1:10" x14ac:dyDescent="0.25">
      <c r="A210" t="s">
        <v>126</v>
      </c>
      <c r="B210" s="203">
        <v>85</v>
      </c>
      <c r="C210" s="203">
        <v>85</v>
      </c>
      <c r="D210" s="203">
        <v>85</v>
      </c>
      <c r="E210" s="203">
        <v>85</v>
      </c>
      <c r="F210" s="203">
        <v>85</v>
      </c>
      <c r="G210" s="203">
        <v>85</v>
      </c>
      <c r="H210" s="203">
        <v>85</v>
      </c>
      <c r="I210" s="203">
        <v>85</v>
      </c>
      <c r="J210" s="203">
        <v>85</v>
      </c>
    </row>
    <row r="211" spans="1:10" x14ac:dyDescent="0.25">
      <c r="A211" t="s">
        <v>180</v>
      </c>
      <c r="B211" s="205">
        <v>0.03</v>
      </c>
      <c r="C211" s="205">
        <v>0.03</v>
      </c>
      <c r="D211" s="205">
        <v>0.03</v>
      </c>
      <c r="E211" s="205">
        <v>0.03</v>
      </c>
      <c r="F211" s="205">
        <v>0.03</v>
      </c>
      <c r="G211" s="205">
        <v>0.03</v>
      </c>
      <c r="H211" s="205">
        <v>0.03</v>
      </c>
      <c r="I211" s="205">
        <v>0.03</v>
      </c>
      <c r="J211" s="205">
        <v>0.03</v>
      </c>
    </row>
    <row r="212" spans="1:10" x14ac:dyDescent="0.25">
      <c r="A212" s="81" t="s">
        <v>40</v>
      </c>
      <c r="B212" s="205">
        <v>0.01</v>
      </c>
      <c r="C212" s="205">
        <v>0.01</v>
      </c>
      <c r="D212" s="205">
        <v>0.01</v>
      </c>
      <c r="E212" s="205">
        <v>0.01</v>
      </c>
      <c r="F212" s="205">
        <v>0.01</v>
      </c>
      <c r="G212" s="205">
        <v>0.01</v>
      </c>
      <c r="H212" s="205">
        <v>0.01</v>
      </c>
      <c r="I212" s="205">
        <v>0.01</v>
      </c>
      <c r="J212" s="205">
        <v>0.01</v>
      </c>
    </row>
    <row r="213" spans="1:10" x14ac:dyDescent="0.25">
      <c r="A213" s="81" t="s">
        <v>42</v>
      </c>
      <c r="B213" s="205">
        <v>0.01</v>
      </c>
      <c r="C213" s="205">
        <v>0.01</v>
      </c>
      <c r="D213" s="205">
        <v>0.01</v>
      </c>
      <c r="E213" s="205">
        <v>0.01</v>
      </c>
      <c r="F213" s="205">
        <v>0.01</v>
      </c>
      <c r="G213" s="205">
        <v>0.01</v>
      </c>
      <c r="H213" s="205">
        <v>0.01</v>
      </c>
      <c r="I213" s="205">
        <v>0.01</v>
      </c>
      <c r="J213" s="205">
        <v>0.01</v>
      </c>
    </row>
    <row r="214" spans="1:10" x14ac:dyDescent="0.25">
      <c r="A214" s="81" t="s">
        <v>194</v>
      </c>
      <c r="B214" s="205">
        <v>0.03</v>
      </c>
      <c r="C214" s="205">
        <v>0.03</v>
      </c>
      <c r="D214" s="205">
        <v>0.03</v>
      </c>
      <c r="E214" s="205">
        <v>0.03</v>
      </c>
      <c r="F214" s="205">
        <v>0.03</v>
      </c>
      <c r="G214" s="205">
        <v>0.03</v>
      </c>
      <c r="H214" s="205">
        <v>0.03</v>
      </c>
      <c r="I214" s="205">
        <v>0.03</v>
      </c>
      <c r="J214" s="205">
        <v>0.03</v>
      </c>
    </row>
    <row r="215" spans="1:10" x14ac:dyDescent="0.25">
      <c r="A215" s="208" t="s">
        <v>230</v>
      </c>
      <c r="B215" s="209">
        <v>7.0000000000000007E-2</v>
      </c>
      <c r="C215" s="209">
        <v>7.0000000000000007E-2</v>
      </c>
      <c r="D215" s="209">
        <v>7.0000000000000007E-2</v>
      </c>
      <c r="E215" s="209">
        <v>7.0000000000000007E-2</v>
      </c>
      <c r="F215" s="209">
        <v>7.0000000000000007E-2</v>
      </c>
      <c r="G215" s="209">
        <v>7.0000000000000007E-2</v>
      </c>
      <c r="H215" s="209">
        <v>7.0000000000000007E-2</v>
      </c>
      <c r="I215" s="209">
        <v>7.0000000000000007E-2</v>
      </c>
      <c r="J215" s="209">
        <v>7.0000000000000007E-2</v>
      </c>
    </row>
  </sheetData>
  <mergeCells count="2">
    <mergeCell ref="A51:J51"/>
    <mergeCell ref="E1:J1"/>
  </mergeCells>
  <hyperlinks>
    <hyperlink ref="A2" location="'Home Page'!A1" display="Home Page" xr:uid="{C22822BB-5A0F-412F-B157-FBCE79EB3231}"/>
    <hyperlink ref="E2" location="'Exxon Income Statement'!A1" display="Exxon Income Statement" xr:uid="{13370B2F-334D-4CD4-8E74-7E556D75A4EB}"/>
    <hyperlink ref="B2" location="Summary!A1" display="Summary" xr:uid="{7114E576-22B1-4A64-9CBB-CE2C445D5785}"/>
    <hyperlink ref="F2" location="'Exxon Balance Sheet'!A1" display="Exxon Balance Sheet" xr:uid="{56E07874-5C38-4012-A4AA-C6DD4DBFE193}"/>
    <hyperlink ref="G2" location="'Exxon Cash Flow'!A1" display="Exxon Cash Flow" xr:uid="{CA590B76-46FE-4034-ACA8-7C5E739D195D}"/>
    <hyperlink ref="D2" location="'DCF Valuation'!A1" display="DCF Valuation" xr:uid="{2D45DEDB-6C3A-4907-8719-0D3AA96472F7}"/>
    <hyperlink ref="C2" location="'Critical Inputs'!A1" display="Critical Inputs" xr:uid="{240B283A-0952-4B7F-AB52-7A672B3AF033}"/>
    <hyperlink ref="H2" location="'Segment Projections'!A1" display="Segment Projections" xr:uid="{95F0FD8F-C51B-43F8-AFCE-09FE2BD5544D}"/>
    <hyperlink ref="I2" location="'Net Working Capital'!A1" display="Net Working Capital" xr:uid="{DDC50616-E57D-46A0-8E9E-699F74BF0DD7}"/>
    <hyperlink ref="J2" location="'PP&amp;E'!A1" display="PP&amp;E" xr:uid="{C3FB5BBE-9B96-4A3E-9239-29FE6A83A38A}"/>
  </hyperlink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5157" r:id="rId3" name="Button 37">
              <controlPr defaultSize="0" print="0" autoFill="0" autoPict="0" macro="[0]!Plug">
                <anchor moveWithCells="1" sizeWithCells="1">
                  <from>
                    <xdr:col>6</xdr:col>
                    <xdr:colOff>695325</xdr:colOff>
                    <xdr:row>1</xdr:row>
                    <xdr:rowOff>552450</xdr:rowOff>
                  </from>
                  <to>
                    <xdr:col>9</xdr:col>
                    <xdr:colOff>600075</xdr:colOff>
                    <xdr:row>2</xdr:row>
                    <xdr:rowOff>295275</xdr:rowOff>
                  </to>
                </anchor>
              </controlPr>
            </control>
          </mc:Choice>
        </mc:AlternateContent>
      </controls>
    </mc:Choice>
  </mc:AlternateConten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8">
    <tabColor rgb="FF002060"/>
  </sheetPr>
  <dimension ref="A1:O7"/>
  <sheetViews>
    <sheetView workbookViewId="0">
      <selection activeCell="L34" sqref="L34"/>
    </sheetView>
  </sheetViews>
  <sheetFormatPr defaultRowHeight="15" x14ac:dyDescent="0.25"/>
  <cols>
    <col min="1" max="1" width="45.42578125" customWidth="1"/>
  </cols>
  <sheetData>
    <row r="1" spans="1:15" ht="28.5" x14ac:dyDescent="0.45">
      <c r="A1" s="231" t="s">
        <v>304</v>
      </c>
      <c r="B1" s="232"/>
      <c r="C1" s="232"/>
      <c r="D1" s="232"/>
      <c r="E1" s="232"/>
      <c r="F1" s="232"/>
      <c r="G1" s="233"/>
      <c r="H1" s="232"/>
      <c r="I1" s="232"/>
      <c r="J1" s="232"/>
      <c r="K1" s="232"/>
      <c r="L1" s="232"/>
      <c r="M1" s="232"/>
      <c r="N1" s="232"/>
      <c r="O1" s="232"/>
    </row>
    <row r="2" spans="1:15" x14ac:dyDescent="0.25">
      <c r="A2" s="191" t="s">
        <v>271</v>
      </c>
    </row>
    <row r="3" spans="1:15" x14ac:dyDescent="0.25">
      <c r="A3" t="s">
        <v>198</v>
      </c>
      <c r="B3" s="270" t="s">
        <v>74</v>
      </c>
      <c r="C3" s="270"/>
      <c r="D3" s="270"/>
      <c r="E3" s="270"/>
      <c r="F3" s="270"/>
      <c r="G3" t="s">
        <v>75</v>
      </c>
    </row>
    <row r="4" spans="1:15" x14ac:dyDescent="0.25">
      <c r="B4" s="58">
        <v>2013</v>
      </c>
      <c r="C4" s="58">
        <v>2014</v>
      </c>
      <c r="D4" s="59">
        <v>2015</v>
      </c>
      <c r="E4" s="59">
        <v>2016</v>
      </c>
      <c r="F4" s="59">
        <v>2017</v>
      </c>
      <c r="G4" s="6">
        <v>2018</v>
      </c>
      <c r="H4" s="6">
        <v>2019</v>
      </c>
      <c r="I4" s="6">
        <v>2020</v>
      </c>
      <c r="J4" s="6">
        <v>2021</v>
      </c>
      <c r="K4" s="6">
        <v>2022</v>
      </c>
      <c r="L4" s="6">
        <v>2023</v>
      </c>
      <c r="M4" s="6">
        <v>2024</v>
      </c>
      <c r="N4" s="6">
        <v>2025</v>
      </c>
      <c r="O4" s="6">
        <v>2026</v>
      </c>
    </row>
    <row r="5" spans="1:15" x14ac:dyDescent="0.25">
      <c r="A5" t="s">
        <v>199</v>
      </c>
      <c r="B5">
        <f>('Exxon Income Statement'!B28+-('Exxon Income Statement'!B18)*(1-Tax_Rate))/AVERAGE('Exxon Balance Sheet'!B19,'Exxon Balance Sheet'!A19)</f>
        <v>9.3921968351364446E-2</v>
      </c>
      <c r="C5">
        <f>('Exxon Income Statement'!C28+-('Exxon Income Statement'!C18)*(1-Tax_Rate))/AVERAGE('Exxon Balance Sheet'!C19,'Exxon Balance Sheet'!B19)</f>
        <v>9.2758907426529619E-2</v>
      </c>
      <c r="D5">
        <f>('Exxon Income Statement'!D28+-('Exxon Income Statement'!D18)*(1-Tax_Rate))/AVERAGE('Exxon Balance Sheet'!D19,'Exxon Balance Sheet'!C19)</f>
        <v>4.6351291291378806E-2</v>
      </c>
      <c r="E5">
        <f>('Exxon Income Statement'!E28+-('Exxon Income Statement'!E18)*(1-Tax_Rate))/AVERAGE('Exxon Balance Sheet'!E19,'Exxon Balance Sheet'!D19)</f>
        <v>2.2432750887460426E-2</v>
      </c>
      <c r="F5">
        <f>('Exxon Income Statement'!F28+-('Exxon Income Statement'!F18)*(1-Tax_Rate))/AVERAGE('Exxon Balance Sheet'!F19,'Exxon Balance Sheet'!E19)</f>
        <v>5.6657049653537156E-2</v>
      </c>
      <c r="G5">
        <f>('Exxon Income Statement'!G28+-('Exxon Income Statement'!G18)*(1-Tax_Rate))/AVERAGE('Exxon Balance Sheet'!G19,'Exxon Balance Sheet'!F19)</f>
        <v>6.1258435272474279E-2</v>
      </c>
      <c r="H5">
        <f>('Exxon Income Statement'!H28+-('Exxon Income Statement'!H18)*(1-Tax_Rate))/AVERAGE('Exxon Balance Sheet'!H19,'Exxon Balance Sheet'!G19)</f>
        <v>6.496593529478073E-2</v>
      </c>
      <c r="I5">
        <f>('Exxon Income Statement'!I28+-('Exxon Income Statement'!I18)*(1-Tax_Rate))/AVERAGE('Exxon Balance Sheet'!I19,'Exxon Balance Sheet'!H19)</f>
        <v>6.7643621796415615E-2</v>
      </c>
      <c r="J5">
        <f>('Exxon Income Statement'!J28+-('Exxon Income Statement'!J18)*(1-Tax_Rate))/AVERAGE('Exxon Balance Sheet'!J19,'Exxon Balance Sheet'!I19)</f>
        <v>6.8546536870810207E-2</v>
      </c>
      <c r="K5">
        <f>('Exxon Income Statement'!K28+-('Exxon Income Statement'!K18)*(1-Tax_Rate))/AVERAGE('Exxon Balance Sheet'!K19,'Exxon Balance Sheet'!J19)</f>
        <v>6.7809735072182103E-2</v>
      </c>
      <c r="L5">
        <f>('Exxon Income Statement'!L28+-('Exxon Income Statement'!L18)*(1-Tax_Rate))/AVERAGE('Exxon Balance Sheet'!L19,'Exxon Balance Sheet'!K19)</f>
        <v>6.7221788013246242E-2</v>
      </c>
      <c r="M5">
        <f>('Exxon Income Statement'!M28+-('Exxon Income Statement'!M18)*(1-Tax_Rate))/AVERAGE('Exxon Balance Sheet'!M19,'Exxon Balance Sheet'!L19)</f>
        <v>6.6787750286348188E-2</v>
      </c>
      <c r="N5">
        <f>('Exxon Income Statement'!N28+-('Exxon Income Statement'!N18)*(1-Tax_Rate))/AVERAGE('Exxon Balance Sheet'!N19,'Exxon Balance Sheet'!M19)</f>
        <v>6.6496604574752483E-2</v>
      </c>
      <c r="O5">
        <f>('Exxon Income Statement'!O28+-('Exxon Income Statement'!O18)*(1-Tax_Rate))/AVERAGE('Exxon Balance Sheet'!O19,'Exxon Balance Sheet'!N19)</f>
        <v>6.6324345468698059E-2</v>
      </c>
    </row>
    <row r="6" spans="1:15" x14ac:dyDescent="0.25">
      <c r="A6" t="s">
        <v>201</v>
      </c>
      <c r="B6">
        <f>('Exxon Income Statement'!B28+-('Exxon Income Statement'!B18)*(1-Tax_Rate))/'Exxon Income Statement'!B9</f>
        <v>7.4324057911489882E-2</v>
      </c>
      <c r="C6">
        <f>('Exxon Income Statement'!C28+-('Exxon Income Statement'!C18)*(1-Tax_Rate))/'Exxon Income Statement'!C9</f>
        <v>7.839524784009283E-2</v>
      </c>
      <c r="D6">
        <f>('Exxon Income Statement'!D28+-('Exxon Income Statement'!D18)*(1-Tax_Rate))/'Exxon Income Statement'!D9</f>
        <v>6.3809178007446399E-2</v>
      </c>
      <c r="E6">
        <f>('Exxon Income Statement'!E28+-('Exxon Income Statement'!E18)*(1-Tax_Rate))/'Exxon Income Statement'!E9</f>
        <v>3.5952074343869225E-2</v>
      </c>
      <c r="F6">
        <f>('Exxon Income Statement'!F28+-('Exxon Income Statement'!F18)*(1-Tax_Rate))/'Exxon Income Statement'!F9</f>
        <v>7.8715722101954877E-2</v>
      </c>
      <c r="G6">
        <f>('Exxon Income Statement'!G28+-('Exxon Income Statement'!G18)*(1-Tax_Rate))/'Exxon Income Statement'!G9</f>
        <v>8.4328461013164727E-2</v>
      </c>
      <c r="H6">
        <f>('Exxon Income Statement'!H28+-('Exxon Income Statement'!H18)*(1-Tax_Rate))/'Exxon Income Statement'!H9</f>
        <v>8.7537868020142337E-2</v>
      </c>
      <c r="I6">
        <f>('Exxon Income Statement'!I28+-('Exxon Income Statement'!I18)*(1-Tax_Rate))/'Exxon Income Statement'!I9</f>
        <v>9.005108821242562E-2</v>
      </c>
      <c r="J6">
        <f>('Exxon Income Statement'!J28+-('Exxon Income Statement'!J18)*(1-Tax_Rate))/'Exxon Income Statement'!J9</f>
        <v>9.1329661405975787E-2</v>
      </c>
      <c r="K6">
        <f>('Exxon Income Statement'!K28+-('Exxon Income Statement'!K18)*(1-Tax_Rate))/'Exxon Income Statement'!K9</f>
        <v>9.1637072774841566E-2</v>
      </c>
      <c r="L6">
        <f>('Exxon Income Statement'!L28+-('Exxon Income Statement'!L18)*(1-Tax_Rate))/'Exxon Income Statement'!L9</f>
        <v>9.2244273386155706E-2</v>
      </c>
      <c r="M6">
        <f>('Exxon Income Statement'!M28+-('Exxon Income Statement'!M18)*(1-Tax_Rate))/'Exxon Income Statement'!M9</f>
        <v>9.291116635216054E-2</v>
      </c>
      <c r="N6">
        <f>('Exxon Income Statement'!N28+-('Exxon Income Statement'!N18)*(1-Tax_Rate))/'Exxon Income Statement'!N9</f>
        <v>9.3669334673350993E-2</v>
      </c>
      <c r="O6">
        <f>('Exxon Income Statement'!O28+-('Exxon Income Statement'!O18)*(1-Tax_Rate))/'Exxon Income Statement'!O9</f>
        <v>9.4508725878940283E-2</v>
      </c>
    </row>
    <row r="7" spans="1:15" x14ac:dyDescent="0.25">
      <c r="A7" t="s">
        <v>202</v>
      </c>
      <c r="B7">
        <f>'Exxon Income Statement'!B21/AVERAGE('Exxon Balance Sheet'!B19,'Exxon Balance Sheet'!A19)</f>
        <v>1.0972757260501489</v>
      </c>
      <c r="C7">
        <f>'Exxon Income Statement'!C21/AVERAGE('Exxon Balance Sheet'!C19,'Exxon Balance Sheet'!B19)</f>
        <v>1.0349231151470413</v>
      </c>
      <c r="D7">
        <f>'Exxon Income Statement'!D21/AVERAGE('Exxon Balance Sheet'!D19,'Exxon Balance Sheet'!C19)</f>
        <v>0.66238737721329366</v>
      </c>
      <c r="E7">
        <f>'Exxon Income Statement'!E21/AVERAGE('Exxon Balance Sheet'!E19,'Exxon Balance Sheet'!D19)</f>
        <v>0.60007015734433466</v>
      </c>
      <c r="F7">
        <f>'Exxon Income Statement'!F21/AVERAGE('Exxon Balance Sheet'!F19,'Exxon Balance Sheet'!E19)</f>
        <v>0.66476388244563733</v>
      </c>
      <c r="G7">
        <f>'Exxon Income Statement'!G21/AVERAGE('Exxon Balance Sheet'!G19,'Exxon Balance Sheet'!F19)</f>
        <v>0.64694126624417536</v>
      </c>
      <c r="H7">
        <f>'Exxon Income Statement'!H21/AVERAGE('Exxon Balance Sheet'!H19,'Exxon Balance Sheet'!G19)</f>
        <v>0.65804505889895859</v>
      </c>
      <c r="I7">
        <f>'Exxon Income Statement'!I21/AVERAGE('Exxon Balance Sheet'!I19,'Exxon Balance Sheet'!H19)</f>
        <v>0.66375200224135689</v>
      </c>
      <c r="J7">
        <f>'Exxon Income Statement'!J21/AVERAGE('Exxon Balance Sheet'!J19,'Exxon Balance Sheet'!I19)</f>
        <v>0.66173819519416033</v>
      </c>
      <c r="K7">
        <f>'Exxon Income Statement'!K21/AVERAGE('Exxon Balance Sheet'!K19,'Exxon Balance Sheet'!J19)</f>
        <v>0.65163099317120943</v>
      </c>
      <c r="L7">
        <f>'Exxon Income Statement'!L21/AVERAGE('Exxon Balance Sheet'!L19,'Exxon Balance Sheet'!K19)</f>
        <v>0.64083495509489241</v>
      </c>
      <c r="M7">
        <f>'Exxon Income Statement'!M21/AVERAGE('Exxon Balance Sheet'!M19,'Exxon Balance Sheet'!L19)</f>
        <v>0.6312642728861878</v>
      </c>
      <c r="N7">
        <f>'Exxon Income Statement'!N21/AVERAGE('Exxon Balance Sheet'!N19,'Exxon Balance Sheet'!M19)</f>
        <v>0.62255996244120837</v>
      </c>
      <c r="O7">
        <f>'Exxon Income Statement'!O21/AVERAGE('Exxon Balance Sheet'!O19,'Exxon Balance Sheet'!N19)</f>
        <v>0.61456740759508022</v>
      </c>
    </row>
  </sheetData>
  <mergeCells count="1">
    <mergeCell ref="B3:F3"/>
  </mergeCells>
  <hyperlinks>
    <hyperlink ref="A2" location="'Home Page'!A1" display="Home Page" xr:uid="{00000000-0004-0000-0D00-0000000000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7"/>
  <dimension ref="A2:M36"/>
  <sheetViews>
    <sheetView workbookViewId="0"/>
  </sheetViews>
  <sheetFormatPr defaultRowHeight="15" x14ac:dyDescent="0.25"/>
  <cols>
    <col min="1" max="1" width="50.85546875" customWidth="1"/>
  </cols>
  <sheetData>
    <row r="2" spans="1:6" x14ac:dyDescent="0.25">
      <c r="A2" t="s">
        <v>109</v>
      </c>
    </row>
    <row r="3" spans="1:6" x14ac:dyDescent="0.25">
      <c r="A3" t="s">
        <v>110</v>
      </c>
    </row>
    <row r="5" spans="1:6" x14ac:dyDescent="0.25">
      <c r="A5" t="s">
        <v>96</v>
      </c>
    </row>
    <row r="6" spans="1:6" x14ac:dyDescent="0.25">
      <c r="A6" s="8" t="s">
        <v>6</v>
      </c>
      <c r="B6">
        <v>2013</v>
      </c>
      <c r="C6">
        <v>2014</v>
      </c>
      <c r="D6">
        <v>2015</v>
      </c>
      <c r="E6">
        <v>2016</v>
      </c>
      <c r="F6">
        <v>2017</v>
      </c>
    </row>
    <row r="7" spans="1:6" x14ac:dyDescent="0.25">
      <c r="A7" s="13" t="s">
        <v>7</v>
      </c>
      <c r="B7" s="54">
        <f>'Exxon Income Statement'!B13/'Exxon Income Statement'!B$6</f>
        <v>0.5801689969489302</v>
      </c>
      <c r="C7" s="54">
        <f>'Exxon Income Statement'!C13/'Exxon Income Statement'!C$6</f>
        <v>0.57338019055835376</v>
      </c>
      <c r="D7" s="54">
        <f>'Exxon Income Statement'!D13/'Exxon Income Statement'!D$6</f>
        <v>0.50099811937353556</v>
      </c>
      <c r="E7" s="54">
        <f>'Exxon Income Statement'!E13/'Exxon Income Statement'!E$6</f>
        <v>0.47651961501866352</v>
      </c>
      <c r="F7" s="54">
        <f>'Exxon Income Statement'!F13/'Exxon Income Statement'!F$6</f>
        <v>0.54063045513193508</v>
      </c>
    </row>
    <row r="8" spans="1:6" x14ac:dyDescent="0.25">
      <c r="A8" s="13" t="s">
        <v>8</v>
      </c>
      <c r="B8" s="54">
        <f>'Exxon Income Statement'!B14/'Exxon Income Statement'!B$6</f>
        <v>9.6296419507836781E-2</v>
      </c>
      <c r="C8" s="54">
        <f>'Exxon Income Statement'!C14/'Exxon Income Statement'!C$6</f>
        <v>0.10367541644993086</v>
      </c>
      <c r="D8" s="54">
        <f>'Exxon Income Statement'!D14/'Exxon Income Statement'!D$6</f>
        <v>0.13714314342089037</v>
      </c>
      <c r="E8" s="54">
        <f>'Exxon Income Statement'!E14/'Exxon Income Statement'!E$6</f>
        <v>0.14604680524043037</v>
      </c>
      <c r="F8" s="54">
        <f>'Exxon Income Statement'!F14/'Exxon Income Statement'!F$6</f>
        <v>0.14390163685582008</v>
      </c>
    </row>
    <row r="9" spans="1:6" x14ac:dyDescent="0.25">
      <c r="A9" s="13" t="s">
        <v>9</v>
      </c>
      <c r="B9" s="54">
        <f>'Exxon Income Statement'!B15/'Exxon Income Statement'!B$6</f>
        <v>3.0598617988955319E-2</v>
      </c>
      <c r="C9" s="54">
        <f>'Exxon Income Statement'!C15/'Exxon Income Statement'!C$6</f>
        <v>3.1966100404714481E-2</v>
      </c>
      <c r="D9" s="54">
        <f>'Exxon Income Statement'!D15/'Exxon Income Statement'!D$6</f>
        <v>4.4321895424836603E-2</v>
      </c>
      <c r="E9" s="54">
        <f>'Exxon Income Statement'!E15/'Exxon Income Statement'!E$6</f>
        <v>4.9398924101588228E-2</v>
      </c>
      <c r="F9" s="54">
        <f>'Exxon Income Statement'!F15/'Exxon Income Statement'!F$6</f>
        <v>4.6196270903433097E-2</v>
      </c>
    </row>
    <row r="10" spans="1:6" x14ac:dyDescent="0.25">
      <c r="A10" s="13" t="s">
        <v>10</v>
      </c>
      <c r="B10" s="54">
        <f>'Exxon Income Statement'!B16/'Exxon Income Statement'!B$6</f>
        <v>4.082825613778289E-2</v>
      </c>
      <c r="C10" s="54">
        <f>'Exxon Income Statement'!C16/'Exxon Income Statement'!C$6</f>
        <v>4.3889318836350721E-2</v>
      </c>
      <c r="D10" s="54">
        <f>'Exxon Income Statement'!D16/'Exxon Income Statement'!D$6</f>
        <v>6.9552349241583419E-2</v>
      </c>
      <c r="E10" s="54">
        <f>'Exxon Income Statement'!E16/'Exxon Income Statement'!E$6</f>
        <v>0.10204567078972407</v>
      </c>
      <c r="F10" s="54">
        <f>'Exxon Income Statement'!F16/'Exxon Income Statement'!F$6</f>
        <v>8.3879373592734077E-2</v>
      </c>
    </row>
    <row r="11" spans="1:6" x14ac:dyDescent="0.25">
      <c r="A11" s="13" t="s">
        <v>11</v>
      </c>
      <c r="B11" s="54">
        <f>'Exxon Income Statement'!B17/'Exxon Income Statement'!B$6</f>
        <v>4.6954157914246876E-3</v>
      </c>
      <c r="C11" s="54">
        <f>'Exxon Income Statement'!C17/'Exxon Income Statement'!C$6</f>
        <v>4.2349120158333437E-3</v>
      </c>
      <c r="D11" s="54">
        <f>'Exxon Income Statement'!D17/'Exxon Income Statement'!D$6</f>
        <v>5.8692502158095945E-3</v>
      </c>
      <c r="E11" s="54">
        <f>'Exxon Income Statement'!E17/'Exxon Income Statement'!E$6</f>
        <v>6.7106418795286537E-3</v>
      </c>
      <c r="F11" s="54">
        <f>'Exxon Income Statement'!F17/'Exxon Income Statement'!F$6</f>
        <v>7.547583508319208E-3</v>
      </c>
    </row>
    <row r="12" spans="1:6" x14ac:dyDescent="0.25">
      <c r="A12" s="13" t="s">
        <v>12</v>
      </c>
      <c r="B12" s="54">
        <f>'Exxon Income Statement'!B18/'Exxon Income Statement'!B$6</f>
        <v>2.1386003098594228E-5</v>
      </c>
      <c r="C12" s="54">
        <f>'Exxon Income Statement'!C18/'Exxon Income Statement'!C$6</f>
        <v>7.2569492901637883E-4</v>
      </c>
      <c r="D12" s="54">
        <f>'Exxon Income Statement'!D18/'Exxon Income Statement'!D$6</f>
        <v>1.198513996793686E-3</v>
      </c>
      <c r="E12" s="54">
        <f>'Exxon Income Statement'!E18/'Exxon Income Statement'!E$6</f>
        <v>2.0722022981775599E-3</v>
      </c>
      <c r="F12" s="54">
        <f>'Exxon Income Statement'!F18/'Exxon Income Statement'!F$6</f>
        <v>2.534132786871421E-3</v>
      </c>
    </row>
    <row r="13" spans="1:6" x14ac:dyDescent="0.25">
      <c r="A13" s="13" t="s">
        <v>82</v>
      </c>
      <c r="B13" s="54">
        <f>'Exxon Income Statement'!B20/'Exxon Income Statement'!B$6</f>
        <v>7.8961875885142904E-2</v>
      </c>
      <c r="C13" s="54">
        <f>'Exxon Income Statement'!C20/'Exxon Income Statement'!C$6</f>
        <v>8.1922330343436392E-2</v>
      </c>
      <c r="D13" s="54">
        <f>'Exxon Income Statement'!D20/'Exxon Income Statement'!D$6</f>
        <v>0.10507229621408312</v>
      </c>
      <c r="E13" s="54">
        <f>'Exxon Income Statement'!E20/'Exxon Income Statement'!E$6</f>
        <v>0.11852265241894167</v>
      </c>
      <c r="F13" s="54">
        <f>'Exxon Income Statement'!F20/'Exxon Income Statement'!F$6</f>
        <v>0.12693433180695052</v>
      </c>
    </row>
    <row r="14" spans="1:6" x14ac:dyDescent="0.25">
      <c r="A14" s="13"/>
      <c r="B14" s="54"/>
      <c r="C14" s="54"/>
      <c r="D14" s="54"/>
      <c r="E14" s="54"/>
      <c r="F14" s="54"/>
    </row>
    <row r="15" spans="1:6" x14ac:dyDescent="0.25">
      <c r="A15" s="81" t="s">
        <v>186</v>
      </c>
      <c r="B15" s="54">
        <f>('Exxon Income Statement'!C31-'Exxon Income Statement'!B31)/'Exxon Income Statement'!B31</f>
        <v>9.7560975609756184E-2</v>
      </c>
      <c r="C15" s="54">
        <f>('Exxon Income Statement'!D31-'Exxon Income Statement'!C31)/'Exxon Income Statement'!C31</f>
        <v>6.6666666666666555E-2</v>
      </c>
      <c r="D15" s="54">
        <f>('Exxon Income Statement'!E31-'Exxon Income Statement'!D31)/'Exxon Income Statement'!D31</f>
        <v>3.4722222222222252E-2</v>
      </c>
      <c r="E15" s="54">
        <f>('Exxon Income Statement'!F31-'Exxon Income Statement'!E31)/'Exxon Income Statement'!E31</f>
        <v>2.6845637583892641E-2</v>
      </c>
      <c r="F15" s="54"/>
    </row>
    <row r="16" spans="1:6" x14ac:dyDescent="0.25">
      <c r="A16" s="13"/>
      <c r="B16" s="54"/>
      <c r="C16" s="54"/>
      <c r="D16" s="54"/>
      <c r="E16" s="54"/>
      <c r="F16" s="54"/>
    </row>
    <row r="18" spans="1:6" x14ac:dyDescent="0.25">
      <c r="A18" s="7" t="s">
        <v>99</v>
      </c>
      <c r="B18" s="79">
        <f>'Exxon Balance Sheet'!B9/'Exxon Income Statement'!B9</f>
        <v>1.1210368392830659E-2</v>
      </c>
      <c r="C18" s="79">
        <f>'Exxon Balance Sheet'!C9/'Exxon Income Statement'!C9</f>
        <v>1.1307499411320608E-2</v>
      </c>
      <c r="D18" s="79">
        <f>'Exxon Balance Sheet'!D9/'Exxon Income Statement'!D9</f>
        <v>1.4864713056875081E-2</v>
      </c>
      <c r="E18" s="79">
        <f>'Exxon Balance Sheet'!E9/'Exxon Income Statement'!E9</f>
        <v>1.7572099906781859E-2</v>
      </c>
      <c r="F18" s="79">
        <f>'Exxon Balance Sheet'!F9/'Exxon Income Statement'!F9</f>
        <v>1.3001149928589844E-2</v>
      </c>
    </row>
    <row r="19" spans="1:6" x14ac:dyDescent="0.25">
      <c r="A19" s="81" t="s">
        <v>102</v>
      </c>
      <c r="B19">
        <f>'Exxon Income Statement'!B9/'Exxon Balance Sheet'!B10</f>
        <v>13.219564430501931</v>
      </c>
      <c r="C19">
        <f>'Exxon Income Statement'!C9/'Exxon Balance Sheet'!C10</f>
        <v>14.707379770787961</v>
      </c>
      <c r="D19">
        <f>'Exxon Income Statement'!D9/'Exxon Balance Sheet'!D10</f>
        <v>12.540779874213836</v>
      </c>
      <c r="E19">
        <f>'Exxon Income Statement'!E9/'Exxon Balance Sheet'!E10</f>
        <v>9.7276806581284472</v>
      </c>
      <c r="F19">
        <f>'Exxon Income Statement'!F9/'Exxon Balance Sheet'!F10</f>
        <v>9.5465484236433955</v>
      </c>
    </row>
    <row r="20" spans="1:6" x14ac:dyDescent="0.25">
      <c r="A20" s="81" t="s">
        <v>103</v>
      </c>
      <c r="B20">
        <f>365/B19</f>
        <v>27.610592006936599</v>
      </c>
      <c r="C20">
        <f t="shared" ref="C20:F20" si="0">365/C19</f>
        <v>24.817472975367711</v>
      </c>
      <c r="D20">
        <f t="shared" si="0"/>
        <v>29.105047984336885</v>
      </c>
      <c r="E20">
        <f t="shared" si="0"/>
        <v>37.521790941503212</v>
      </c>
      <c r="F20">
        <f t="shared" si="0"/>
        <v>38.233713778272488</v>
      </c>
    </row>
    <row r="22" spans="1:6" x14ac:dyDescent="0.25">
      <c r="A22" t="s">
        <v>105</v>
      </c>
      <c r="B22">
        <f>Crude_oil_and_product_purchases+Production_and_manufacturing_expenses+Exploration_expenses__including_dry_holes</f>
        <v>286657</v>
      </c>
      <c r="C22">
        <f>Crude_oil_and_product_purchases+Production_and_manufacturing_expenses+Exploration_expenses__including_dry_holes</f>
        <v>268500</v>
      </c>
      <c r="D22">
        <f>Crude_oil_and_product_purchases+Production_and_manufacturing_expenses+Exploration_expenses__including_dry_holes</f>
        <v>167113</v>
      </c>
      <c r="E22">
        <f>Crude_oil_and_product_purchases+Production_and_manufacturing_expenses+Exploration_expenses__including_dry_holes</f>
        <v>137565</v>
      </c>
      <c r="F22">
        <f>Crude_oil_and_product_purchases+Production_and_manufacturing_expenses+Exploration_expenses__including_dry_holes</f>
        <v>164135</v>
      </c>
    </row>
    <row r="23" spans="1:6" x14ac:dyDescent="0.25">
      <c r="A23" t="s">
        <v>106</v>
      </c>
      <c r="B23">
        <f>B22/(Crude_oil__products_and_merchandise+Materials_and_supplies+Other_current_assets)</f>
        <v>13.494186320199596</v>
      </c>
      <c r="C23">
        <f>C22/(Crude_oil__products_and_merchandise+Materials_and_supplies+Other_current_assets)</f>
        <v>13.263844291853975</v>
      </c>
      <c r="D23">
        <f>D22/(Crude_oil__products_and_merchandise+Materials_and_supplies+Other_current_assets)</f>
        <v>8.7755605734390585</v>
      </c>
      <c r="E23">
        <f>E22/(Crude_oil__products_and_merchandise+Materials_and_supplies+Other_current_assets)</f>
        <v>8.4060494958753438</v>
      </c>
      <c r="F23">
        <f>F22/(Crude_oil__products_and_merchandise+Materials_and_supplies+Other_current_assets)</f>
        <v>8.9398148148148149</v>
      </c>
    </row>
    <row r="24" spans="1:6" x14ac:dyDescent="0.25">
      <c r="A24" t="s">
        <v>107</v>
      </c>
      <c r="B24">
        <f>365/B23</f>
        <v>27.048685362645948</v>
      </c>
      <c r="C24">
        <f t="shared" ref="C24:F24" si="1">365/C23</f>
        <v>27.518417132216015</v>
      </c>
      <c r="D24">
        <f t="shared" si="1"/>
        <v>41.592784523047278</v>
      </c>
      <c r="E24">
        <f t="shared" si="1"/>
        <v>43.421110020717478</v>
      </c>
      <c r="F24">
        <f t="shared" si="1"/>
        <v>40.828586224754012</v>
      </c>
    </row>
    <row r="25" spans="1:6" x14ac:dyDescent="0.25">
      <c r="A25" t="s">
        <v>124</v>
      </c>
      <c r="B25">
        <f>'Additional calculations'!B22/SUM('Exxon Balance Sheet'!B24:B25)</f>
        <v>4.4865165198065515</v>
      </c>
      <c r="C25">
        <f>'Additional calculations'!C22/SUM('Exxon Balance Sheet'!C24:C25)</f>
        <v>4.497864142725521</v>
      </c>
      <c r="D25">
        <f>'Additional calculations'!D22/SUM('Exxon Balance Sheet'!D24:D25)</f>
        <v>3.2655840856685034</v>
      </c>
      <c r="E25">
        <f>'Additional calculations'!E22/SUM('Exxon Balance Sheet'!E24:E25)</f>
        <v>3.0554383315194458</v>
      </c>
      <c r="F25">
        <f>'Additional calculations'!F22/SUM('Exxon Balance Sheet'!F24:F25)</f>
        <v>2.9992142674414355</v>
      </c>
    </row>
    <row r="26" spans="1:6" x14ac:dyDescent="0.25">
      <c r="A26" t="s">
        <v>125</v>
      </c>
      <c r="B26">
        <f>365/B25</f>
        <v>81.354877083064423</v>
      </c>
      <c r="C26">
        <f t="shared" ref="C26:F26" si="2">365/C25</f>
        <v>81.149627560521424</v>
      </c>
      <c r="D26">
        <f t="shared" si="2"/>
        <v>111.77173529288565</v>
      </c>
      <c r="E26">
        <f t="shared" si="2"/>
        <v>119.4591284120234</v>
      </c>
      <c r="F26">
        <f t="shared" si="2"/>
        <v>121.69854083528803</v>
      </c>
    </row>
    <row r="28" spans="1:6" x14ac:dyDescent="0.25">
      <c r="A28" t="s">
        <v>112</v>
      </c>
      <c r="B28">
        <v>2013</v>
      </c>
      <c r="C28">
        <v>2014</v>
      </c>
      <c r="D28">
        <v>2015</v>
      </c>
      <c r="E28">
        <v>2016</v>
      </c>
      <c r="F28">
        <v>2017</v>
      </c>
    </row>
    <row r="29" spans="1:6" x14ac:dyDescent="0.25">
      <c r="A29" t="s">
        <v>111</v>
      </c>
      <c r="B29">
        <v>661.8</v>
      </c>
      <c r="C29">
        <v>688.5</v>
      </c>
      <c r="D29">
        <v>660</v>
      </c>
      <c r="E29">
        <v>657</v>
      </c>
      <c r="F29">
        <v>680</v>
      </c>
    </row>
    <row r="30" spans="1:6" x14ac:dyDescent="0.25">
      <c r="A30" t="s">
        <v>113</v>
      </c>
      <c r="C30" s="54">
        <f>(C29-B29)/B29</f>
        <v>4.034451495920225E-2</v>
      </c>
      <c r="D30" s="54">
        <f t="shared" ref="D30:F30" si="3">(D29-C29)/C29</f>
        <v>-4.1394335511982572E-2</v>
      </c>
      <c r="E30" s="54">
        <f t="shared" si="3"/>
        <v>-4.5454545454545452E-3</v>
      </c>
      <c r="F30" s="54">
        <f t="shared" si="3"/>
        <v>3.5007610350076102E-2</v>
      </c>
    </row>
    <row r="33" spans="1:13" x14ac:dyDescent="0.25">
      <c r="A33" t="s">
        <v>194</v>
      </c>
      <c r="C33">
        <f>('Exxon Balance Sheet'!C44-'Exxon Balance Sheet'!B44)/'Exxon Balance Sheet'!B44</f>
        <v>2.6648182378311767E-2</v>
      </c>
      <c r="D33">
        <f>('Exxon Balance Sheet'!D44-'Exxon Balance Sheet'!C44)/'Exxon Balance Sheet'!C44</f>
        <v>-9.9924981245311323E-2</v>
      </c>
      <c r="E33">
        <f>('Exxon Balance Sheet'!E44-'Exxon Balance Sheet'!D44)/'Exxon Balance Sheet'!D44</f>
        <v>8.4347391231871974E-2</v>
      </c>
      <c r="F33">
        <f>('Exxon Balance Sheet'!F44-'Exxon Balance Sheet'!E44)/'Exxon Balance Sheet'!E44</f>
        <v>4.7194465795541894E-2</v>
      </c>
    </row>
    <row r="36" spans="1:13" x14ac:dyDescent="0.25">
      <c r="B36">
        <f>'Exxon Balance Sheet'!B24/'Exxon Income Statement'!B9</f>
        <v>3.6070324354542445E-2</v>
      </c>
      <c r="C36">
        <f>'Exxon Balance Sheet'!C24/'Exxon Income Statement'!C9</f>
        <v>4.240433656439424E-2</v>
      </c>
      <c r="D36">
        <f>'Exxon Balance Sheet'!D24/'Exxon Income Statement'!D9</f>
        <v>7.5274425471819228E-2</v>
      </c>
      <c r="E36">
        <f>'Exxon Balance Sheet'!E24/'Exxon Income Statement'!E9</f>
        <v>6.6453962731964217E-2</v>
      </c>
      <c r="F36">
        <f>'Exxon Balance Sheet'!F24/'Exxon Income Statement'!F9</f>
        <v>7.3374447031670093E-2</v>
      </c>
      <c r="G36">
        <f>'Exxon Balance Sheet'!G24/'Exxon Income Statement'!G9</f>
        <v>7.0000000000000007E-2</v>
      </c>
      <c r="H36">
        <f>'Exxon Balance Sheet'!H24/'Exxon Income Statement'!H9</f>
        <v>7.0000000000000007E-2</v>
      </c>
      <c r="I36">
        <f>'Exxon Balance Sheet'!I24/'Exxon Income Statement'!I9</f>
        <v>7.0000000000000007E-2</v>
      </c>
      <c r="J36">
        <f>'Exxon Balance Sheet'!J24/'Exxon Income Statement'!J9</f>
        <v>7.0000000000000007E-2</v>
      </c>
      <c r="K36">
        <f>'Exxon Balance Sheet'!K24/'Exxon Income Statement'!K9</f>
        <v>7.0000000000000007E-2</v>
      </c>
      <c r="L36">
        <f>'Exxon Balance Sheet'!L24/'Exxon Income Statement'!L9</f>
        <v>7.0000000000000007E-2</v>
      </c>
      <c r="M36">
        <f>'Exxon Balance Sheet'!M24/'Exxon Income Statement'!M9</f>
        <v>7.0000000000000007E-2</v>
      </c>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3"/>
  <dimension ref="A3:R23"/>
  <sheetViews>
    <sheetView workbookViewId="0">
      <selection activeCell="F8" sqref="F8"/>
    </sheetView>
  </sheetViews>
  <sheetFormatPr defaultRowHeight="15" x14ac:dyDescent="0.25"/>
  <cols>
    <col min="1" max="1" width="43.140625" bestFit="1" customWidth="1"/>
    <col min="2" max="2" width="11" bestFit="1" customWidth="1"/>
  </cols>
  <sheetData>
    <row r="3" spans="1:9" x14ac:dyDescent="0.25">
      <c r="A3" t="s">
        <v>94</v>
      </c>
      <c r="C3" t="s">
        <v>95</v>
      </c>
      <c r="F3" t="s">
        <v>166</v>
      </c>
      <c r="I3" t="s">
        <v>172</v>
      </c>
    </row>
    <row r="4" spans="1:9" x14ac:dyDescent="0.25">
      <c r="A4" t="s">
        <v>297</v>
      </c>
      <c r="C4">
        <f>MATCH(Scenario_Selector,Scenario_List,0)</f>
        <v>1</v>
      </c>
      <c r="F4" t="s">
        <v>167</v>
      </c>
      <c r="I4">
        <f>MATCH(Roll_Over_Selector,Yes_No_Roll_Over,0)</f>
        <v>1</v>
      </c>
    </row>
    <row r="5" spans="1:9" x14ac:dyDescent="0.25">
      <c r="A5" t="s">
        <v>298</v>
      </c>
      <c r="F5" t="s">
        <v>168</v>
      </c>
    </row>
    <row r="6" spans="1:9" x14ac:dyDescent="0.25">
      <c r="A6" t="s">
        <v>300</v>
      </c>
    </row>
    <row r="7" spans="1:9" x14ac:dyDescent="0.25">
      <c r="A7" t="s">
        <v>301</v>
      </c>
      <c r="C7" t="s">
        <v>318</v>
      </c>
    </row>
    <row r="8" spans="1:9" x14ac:dyDescent="0.25">
      <c r="C8" t="str">
        <f>IF(ROUND('Exxon Balance Sheet'!O19,0)=ROUND('Exxon Balance Sheet'!O47,0),"Balance Sheet is Balanced","Financials are not balanced! Please click the Re-balance button. You will also be taken back to the critical inputs tab. Re-balancing may take a moment…")</f>
        <v>Balance Sheet is Balanced</v>
      </c>
    </row>
    <row r="12" spans="1:9" x14ac:dyDescent="0.25">
      <c r="A12" t="s">
        <v>188</v>
      </c>
    </row>
    <row r="13" spans="1:9" x14ac:dyDescent="0.25">
      <c r="A13">
        <v>4230000000</v>
      </c>
    </row>
    <row r="17" spans="1:18" s="217" customFormat="1" x14ac:dyDescent="0.25">
      <c r="A17" s="227"/>
      <c r="B17" s="227"/>
      <c r="C17" s="228"/>
      <c r="D17" s="228"/>
      <c r="E17" s="228"/>
      <c r="F17" s="228"/>
      <c r="G17" s="228"/>
      <c r="H17" s="228"/>
      <c r="I17" s="228"/>
      <c r="J17" s="228"/>
      <c r="K17" s="228"/>
      <c r="L17" s="228"/>
    </row>
    <row r="22" spans="1:18" x14ac:dyDescent="0.25">
      <c r="E22" s="216">
        <v>2013</v>
      </c>
      <c r="F22" s="216">
        <v>2014</v>
      </c>
      <c r="G22" s="59">
        <v>2015</v>
      </c>
      <c r="H22" s="59">
        <v>2016</v>
      </c>
      <c r="I22" s="59">
        <v>2017</v>
      </c>
      <c r="J22" s="6">
        <v>2018</v>
      </c>
      <c r="K22" s="6">
        <v>2019</v>
      </c>
      <c r="L22" s="6">
        <v>2020</v>
      </c>
      <c r="M22" s="6">
        <v>2021</v>
      </c>
      <c r="N22" s="6">
        <v>2022</v>
      </c>
      <c r="O22" s="6">
        <v>2023</v>
      </c>
      <c r="P22" s="6">
        <v>2024</v>
      </c>
      <c r="Q22" s="6">
        <v>2025</v>
      </c>
      <c r="R22" s="6">
        <v>2026</v>
      </c>
    </row>
    <row r="23" spans="1:18" x14ac:dyDescent="0.25">
      <c r="E23">
        <v>1000000</v>
      </c>
      <c r="F23" s="217">
        <v>1000000</v>
      </c>
      <c r="G23" s="217">
        <v>1000000</v>
      </c>
      <c r="H23" s="217">
        <v>1000000</v>
      </c>
      <c r="I23" s="217">
        <v>1000000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80</vt:i4>
      </vt:variant>
    </vt:vector>
  </HeadingPairs>
  <TitlesOfParts>
    <vt:vector size="96" baseType="lpstr">
      <vt:lpstr>Home Page</vt:lpstr>
      <vt:lpstr>Summary</vt:lpstr>
      <vt:lpstr>Intro Discussion</vt:lpstr>
      <vt:lpstr>Critical Inputs</vt:lpstr>
      <vt:lpstr>DCF Valuation</vt:lpstr>
      <vt:lpstr>Exxon Income Statement</vt:lpstr>
      <vt:lpstr>Exxon Balance Sheet</vt:lpstr>
      <vt:lpstr>Exxon Cash Flow</vt:lpstr>
      <vt:lpstr>Segment Projections</vt:lpstr>
      <vt:lpstr>Net Working Capital</vt:lpstr>
      <vt:lpstr>PP&amp;E</vt:lpstr>
      <vt:lpstr>Long Term Debt</vt:lpstr>
      <vt:lpstr>Vectors</vt:lpstr>
      <vt:lpstr>Consistency Check</vt:lpstr>
      <vt:lpstr>Additional calculations</vt:lpstr>
      <vt:lpstr>Hidden</vt:lpstr>
      <vt:lpstr>Accounts_payable_and_accrued_liabilities</vt:lpstr>
      <vt:lpstr>Accumulated_other_comprehensive_income</vt:lpstr>
      <vt:lpstr>CAPEX_DEPR_Long_Term</vt:lpstr>
      <vt:lpstr>CAPEX_Long_Term_Growth</vt:lpstr>
      <vt:lpstr>Cash_and_cash_equivalents</vt:lpstr>
      <vt:lpstr>Chemical_NonUS</vt:lpstr>
      <vt:lpstr>Chemical_US</vt:lpstr>
      <vt:lpstr>Choose_Rollover</vt:lpstr>
      <vt:lpstr>Common_stock_held_in_treasury</vt:lpstr>
      <vt:lpstr>Common_stock_without_par_value</vt:lpstr>
      <vt:lpstr>Crude_oil__products_and_merchandise</vt:lpstr>
      <vt:lpstr>Crude_oil_and_product_purchases</vt:lpstr>
      <vt:lpstr>Deferred_income_tax_liabilities</vt:lpstr>
      <vt:lpstr>Depreciation_and_depletion</vt:lpstr>
      <vt:lpstr>Dividend_Growth_Rate</vt:lpstr>
      <vt:lpstr>Downstream_Non_US</vt:lpstr>
      <vt:lpstr>Downstream_US</vt:lpstr>
      <vt:lpstr>Earnings_reinvested</vt:lpstr>
      <vt:lpstr>EPS</vt:lpstr>
      <vt:lpstr>Equity_Valuation</vt:lpstr>
      <vt:lpstr>ExM_Balance_Sheet</vt:lpstr>
      <vt:lpstr>ExM_Income_Statement</vt:lpstr>
      <vt:lpstr>Exploration_expenses__including_dry_holes</vt:lpstr>
      <vt:lpstr>ExxonMobil_share_of_equity</vt:lpstr>
      <vt:lpstr>'Intro Discussion'!Home_page</vt:lpstr>
      <vt:lpstr>Home_page</vt:lpstr>
      <vt:lpstr>Income_before_income_taxes</vt:lpstr>
      <vt:lpstr>Income_from_equity_affiliates</vt:lpstr>
      <vt:lpstr>Income_taxes</vt:lpstr>
      <vt:lpstr>Income_taxes_payable</vt:lpstr>
      <vt:lpstr>Interest_expense</vt:lpstr>
      <vt:lpstr>Interest_on_Short_term_debt</vt:lpstr>
      <vt:lpstr>Investments__advances_and_long_term_receivables</vt:lpstr>
      <vt:lpstr>Long_term_debt</vt:lpstr>
      <vt:lpstr>Long_term_obligations_to_equity_companies</vt:lpstr>
      <vt:lpstr>Materials_and_supplies</vt:lpstr>
      <vt:lpstr>Min_Cash_Input</vt:lpstr>
      <vt:lpstr>Net_income_attributable_to_ExxonMobil</vt:lpstr>
      <vt:lpstr>Net_income_attributable_to_noncontrolling_interests</vt:lpstr>
      <vt:lpstr>Net_income_including_noncontrolling_interests</vt:lpstr>
      <vt:lpstr>Noncontrolling_interests</vt:lpstr>
      <vt:lpstr>Notes_and_accounts_receivable__less_estimated_doubtful_amounts</vt:lpstr>
      <vt:lpstr>Notes_and_loans_payable</vt:lpstr>
      <vt:lpstr>Other_assets__including_intangibles__net</vt:lpstr>
      <vt:lpstr>Other_current_assets</vt:lpstr>
      <vt:lpstr>Other_income</vt:lpstr>
      <vt:lpstr>Other_long_term_obligations</vt:lpstr>
      <vt:lpstr>Other_taxes_and_duties</vt:lpstr>
      <vt:lpstr>Perpetual_Growth_Rate</vt:lpstr>
      <vt:lpstr>Postretirement_benefits_reserves</vt:lpstr>
      <vt:lpstr>Production_and_manufacturing_expenses</vt:lpstr>
      <vt:lpstr>Project_Years</vt:lpstr>
      <vt:lpstr>Property__plant_and_equipment__at_cost__less_accumulated_depreciation_and_depletion</vt:lpstr>
      <vt:lpstr>range_STDebtIn</vt:lpstr>
      <vt:lpstr>range_STDebtOut</vt:lpstr>
      <vt:lpstr>range_SurplusIn</vt:lpstr>
      <vt:lpstr>range_SurplusOut</vt:lpstr>
      <vt:lpstr>Rebalance_check</vt:lpstr>
      <vt:lpstr>Roll_Over_Selector</vt:lpstr>
      <vt:lpstr>Sales_and_other_operating_revenue</vt:lpstr>
      <vt:lpstr>Sales_based_taxes</vt:lpstr>
      <vt:lpstr>Scenario_List</vt:lpstr>
      <vt:lpstr>Scenario_Selector</vt:lpstr>
      <vt:lpstr>Scenario_Value</vt:lpstr>
      <vt:lpstr>Selling__general_and_administrative_expenses</vt:lpstr>
      <vt:lpstr>Share_Price</vt:lpstr>
      <vt:lpstr>Shares_Outstanding</vt:lpstr>
      <vt:lpstr>Tax_Rate</vt:lpstr>
      <vt:lpstr>Total_assets</vt:lpstr>
      <vt:lpstr>Total_costs_and_other_deductions</vt:lpstr>
      <vt:lpstr>Total_current_assets</vt:lpstr>
      <vt:lpstr>Total_current_liabilities</vt:lpstr>
      <vt:lpstr>Total_equity</vt:lpstr>
      <vt:lpstr>Total_liabilities</vt:lpstr>
      <vt:lpstr>Total_liabilities_and_equity</vt:lpstr>
      <vt:lpstr>Total_revenues_and_other_income</vt:lpstr>
      <vt:lpstr>Upstream_NonUS</vt:lpstr>
      <vt:lpstr>Upstream_US</vt:lpstr>
      <vt:lpstr>WACC</vt:lpstr>
      <vt:lpstr>Yes_No_Roll_Over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Timothy Newton</dc:creator>
  <cp:lastModifiedBy>Timothy Newton</cp:lastModifiedBy>
  <dcterms:created xsi:type="dcterms:W3CDTF">2019-01-11T21:06:22Z</dcterms:created>
  <dcterms:modified xsi:type="dcterms:W3CDTF">2019-07-03T18:01:09Z</dcterms:modified>
</cp:coreProperties>
</file>